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0370" windowHeight="1221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比较法-商业 (2)" sheetId="82" r:id="rId25"/>
    <sheet name="案例" sheetId="80" r:id="rId26"/>
    <sheet name="Sheet2" sheetId="81" r:id="rId27"/>
    <sheet name="收益法-酒店模型" sheetId="77" state="hidden" r:id="rId28"/>
    <sheet name="收益法（汇总）" sheetId="70"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r:id="rId47"/>
    <sheet name="存贷款利率" sheetId="73" r:id="rId48"/>
  </sheets>
  <externalReferences>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2" hidden="1">'比较法-商业'!$A$1:$L$49</definedName>
    <definedName name="_xlnm._FilterDatabase" localSheetId="24" hidden="1">'比较法-商业 (2)'!$A$1:$L$49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2">'比较法-商业'!$A$1:$K$54,'比较法-商业'!$A$57:$M$131</definedName>
    <definedName name="_xlnm.Print_Area" localSheetId="24">'比较法-商业 (2)'!$A$1:$K$54,'比较法-商业 (2)'!$A$57:$M$131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4">'比较法-商业 (2)'!$B$116:$M$116</definedName>
    <definedName name="商业层高">'比较法-商业'!$B$116:$M$116</definedName>
    <definedName name="商业成新度" localSheetId="24">'比较法-商业 (2)'!$B$109:$M$109</definedName>
    <definedName name="商业成新度">'比较法-商业'!$B$109:$M$109</definedName>
    <definedName name="商业繁华度">定义!$L$1:$L$6</definedName>
    <definedName name="商业公共部分装修" localSheetId="24">'比较法-商业 (2)'!$B$107:$M$107</definedName>
    <definedName name="商业公共部分装修">'比较法-商业'!$B$107:$M$107</definedName>
    <definedName name="商业基础设施水平" localSheetId="24">'比较法-商业 (2)'!$B$112:$M$112</definedName>
    <definedName name="商业基础设施水平">'比较法-商业'!$B$112:$M$112</definedName>
    <definedName name="商业建筑结构" localSheetId="24">'比较法-商业 (2)'!$B$105:$M$105</definedName>
    <definedName name="商业建筑结构">'比较法-商业'!$B$105:$M$105</definedName>
    <definedName name="商业交易情况" localSheetId="24">'比较法-商业 (2)'!$A$61:$M$61</definedName>
    <definedName name="商业交易情况">'比较法-商业'!$A$61:$M$61</definedName>
    <definedName name="商业街名称">修正!$C$71:$C$138</definedName>
    <definedName name="商业进深比" localSheetId="24">'比较法-商业 (2)'!$B$120:$M$120</definedName>
    <definedName name="商业进深比">'比较法-商业'!$B$120:$M$120</definedName>
    <definedName name="商业类型" localSheetId="24">'比较法-商业 (2)'!$B$100:$M$100</definedName>
    <definedName name="商业类型">'比较法-商业'!$B$100:$M$100</definedName>
    <definedName name="商业临街状况" localSheetId="24">'比较法-商业 (2)'!$B$86:$M$86</definedName>
    <definedName name="商业临街状况">'比较法-商业'!$B$86:$M$86</definedName>
    <definedName name="商业楼层" localSheetId="24">'比较法-商业 (2)'!$B$92:$M$92</definedName>
    <definedName name="商业楼层">'比较法-商业'!$B$92:$M$92</definedName>
    <definedName name="商业内部装修" localSheetId="24">'比较法-商业 (2)'!$B$122:$M$122</definedName>
    <definedName name="商业内部装修">'比较法-商业'!$B$122:$M$122</definedName>
    <definedName name="商业人流量" localSheetId="24">'比较法-商业 (2)'!$B$90:$M$90</definedName>
    <definedName name="商业人流量">'比较法-商业'!$B$90:$M$90</definedName>
    <definedName name="商业业态" localSheetId="24">'比较法-商业 (2)'!$B$114:$M$114</definedName>
    <definedName name="商业业态">'比较法-商业'!$B$114:$M$114</definedName>
    <definedName name="商业用途" localSheetId="24">'比较法-商业 (2)'!$B$63:$M$63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P92" i="33" l="1"/>
  <c r="N6" i="1"/>
  <c r="I47" i="82" l="1"/>
  <c r="E47" i="82"/>
  <c r="G47" i="82"/>
  <c r="B130" i="82" l="1"/>
  <c r="B128" i="82"/>
  <c r="B126" i="82"/>
  <c r="G125" i="82"/>
  <c r="D125" i="82"/>
  <c r="E125" i="82" s="1"/>
  <c r="F125" i="82" s="1"/>
  <c r="D123" i="82"/>
  <c r="E123" i="82" s="1"/>
  <c r="D121" i="82"/>
  <c r="E121" i="82" s="1"/>
  <c r="F121" i="82" s="1"/>
  <c r="G121" i="82" s="1"/>
  <c r="H121" i="82" s="1"/>
  <c r="I121" i="82" s="1"/>
  <c r="J121" i="82" s="1"/>
  <c r="K121" i="82" s="1"/>
  <c r="L121" i="82" s="1"/>
  <c r="M121" i="82" s="1"/>
  <c r="D117" i="82"/>
  <c r="E117" i="82" s="1"/>
  <c r="F117" i="82" s="1"/>
  <c r="G117" i="82" s="1"/>
  <c r="D115" i="82"/>
  <c r="E115" i="82" s="1"/>
  <c r="F115" i="82" s="1"/>
  <c r="G115" i="82" s="1"/>
  <c r="H115" i="82" s="1"/>
  <c r="I115" i="82" s="1"/>
  <c r="J115" i="82" s="1"/>
  <c r="K115" i="82" s="1"/>
  <c r="L115" i="82" s="1"/>
  <c r="M115" i="82" s="1"/>
  <c r="G113" i="82"/>
  <c r="H113" i="82" s="1"/>
  <c r="I113" i="82" s="1"/>
  <c r="J113" i="82" s="1"/>
  <c r="K113" i="82" s="1"/>
  <c r="L113" i="82" s="1"/>
  <c r="M113" i="82" s="1"/>
  <c r="D113" i="82"/>
  <c r="E113" i="82" s="1"/>
  <c r="F113" i="82" s="1"/>
  <c r="E111" i="82"/>
  <c r="F111" i="82" s="1"/>
  <c r="G111" i="82" s="1"/>
  <c r="H111" i="82" s="1"/>
  <c r="I111" i="82" s="1"/>
  <c r="J111" i="82" s="1"/>
  <c r="K111" i="82" s="1"/>
  <c r="L111" i="82" s="1"/>
  <c r="M111" i="82" s="1"/>
  <c r="D111" i="82"/>
  <c r="G109" i="82"/>
  <c r="F109" i="82"/>
  <c r="E109" i="82"/>
  <c r="D109" i="82"/>
  <c r="C109" i="82"/>
  <c r="H108" i="82"/>
  <c r="I108" i="82" s="1"/>
  <c r="J108" i="82" s="1"/>
  <c r="K108" i="82" s="1"/>
  <c r="L108" i="82" s="1"/>
  <c r="M108" i="82" s="1"/>
  <c r="D108" i="82"/>
  <c r="E108" i="82" s="1"/>
  <c r="F108" i="82" s="1"/>
  <c r="G108" i="82" s="1"/>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D101" i="82"/>
  <c r="E101" i="82" s="1"/>
  <c r="B98" i="82"/>
  <c r="B96" i="82"/>
  <c r="O94" i="82"/>
  <c r="B94" i="82"/>
  <c r="E93" i="82"/>
  <c r="P92" i="82"/>
  <c r="C93" i="82" s="1"/>
  <c r="B92" i="82"/>
  <c r="E91" i="82"/>
  <c r="F91" i="82" s="1"/>
  <c r="G91" i="82" s="1"/>
  <c r="H91" i="82" s="1"/>
  <c r="I91" i="82" s="1"/>
  <c r="J91" i="82" s="1"/>
  <c r="K91" i="82" s="1"/>
  <c r="L91" i="82" s="1"/>
  <c r="M91" i="82" s="1"/>
  <c r="D91" i="82"/>
  <c r="B90" i="82"/>
  <c r="B88" i="82"/>
  <c r="E87" i="82"/>
  <c r="F87" i="82" s="1"/>
  <c r="G87" i="82" s="1"/>
  <c r="H87" i="82" s="1"/>
  <c r="I87" i="82" s="1"/>
  <c r="J87" i="82" s="1"/>
  <c r="K87" i="82" s="1"/>
  <c r="L87" i="82" s="1"/>
  <c r="M87" i="82" s="1"/>
  <c r="D87" i="82"/>
  <c r="E85" i="82"/>
  <c r="F85" i="82" s="1"/>
  <c r="G85" i="82" s="1"/>
  <c r="D85" i="82"/>
  <c r="E83" i="82"/>
  <c r="F83" i="82" s="1"/>
  <c r="G83" i="82" s="1"/>
  <c r="D83" i="82"/>
  <c r="E81" i="82"/>
  <c r="F81" i="82" s="1"/>
  <c r="G81" i="82" s="1"/>
  <c r="D81" i="82"/>
  <c r="E79" i="82"/>
  <c r="F79" i="82" s="1"/>
  <c r="G79" i="82" s="1"/>
  <c r="D79" i="82"/>
  <c r="E77" i="82"/>
  <c r="F77" i="82" s="1"/>
  <c r="G77" i="82" s="1"/>
  <c r="D77" i="82"/>
  <c r="B74" i="82"/>
  <c r="B72" i="82"/>
  <c r="B70" i="82"/>
  <c r="H12" i="82" s="1"/>
  <c r="F69" i="82"/>
  <c r="G69" i="82" s="1"/>
  <c r="H69" i="82" s="1"/>
  <c r="I69" i="82" s="1"/>
  <c r="J69" i="82" s="1"/>
  <c r="K69" i="82" s="1"/>
  <c r="L69" i="82" s="1"/>
  <c r="M69" i="82" s="1"/>
  <c r="D69" i="82"/>
  <c r="E69" i="82" s="1"/>
  <c r="M67" i="82"/>
  <c r="L67" i="82"/>
  <c r="K67" i="82"/>
  <c r="J67" i="82"/>
  <c r="I67" i="82"/>
  <c r="H67" i="82"/>
  <c r="G67" i="82"/>
  <c r="F67" i="82"/>
  <c r="E67" i="82"/>
  <c r="D67" i="82"/>
  <c r="C67" i="82"/>
  <c r="C63" i="82"/>
  <c r="P49" i="82"/>
  <c r="P48" i="82"/>
  <c r="K48" i="82"/>
  <c r="P47" i="82"/>
  <c r="G54" i="82"/>
  <c r="H54" i="82" s="1"/>
  <c r="Z46" i="82"/>
  <c r="Q46" i="82"/>
  <c r="J46" i="82"/>
  <c r="AC46" i="82" s="1"/>
  <c r="H46" i="82"/>
  <c r="AB46" i="82" s="1"/>
  <c r="F46" i="82"/>
  <c r="AA46" i="82" s="1"/>
  <c r="W45" i="82"/>
  <c r="Q45" i="82"/>
  <c r="Z45" i="82" s="1"/>
  <c r="J45" i="82"/>
  <c r="AC45" i="82" s="1"/>
  <c r="H45" i="82"/>
  <c r="AB45" i="82" s="1"/>
  <c r="F45" i="82"/>
  <c r="AA45" i="82" s="1"/>
  <c r="U44" i="82"/>
  <c r="Q44" i="82"/>
  <c r="Z44" i="82" s="1"/>
  <c r="J44" i="82"/>
  <c r="AC44" i="82" s="1"/>
  <c r="H44" i="82"/>
  <c r="AB44" i="82" s="1"/>
  <c r="F44" i="82"/>
  <c r="AA44" i="82" s="1"/>
  <c r="Q43" i="82"/>
  <c r="Z43" i="82" s="1"/>
  <c r="J43" i="82"/>
  <c r="AC43" i="82" s="1"/>
  <c r="H43" i="82"/>
  <c r="AB43" i="82" s="1"/>
  <c r="F43" i="82"/>
  <c r="AA43" i="82" s="1"/>
  <c r="Z42" i="82"/>
  <c r="Q42" i="82"/>
  <c r="W41" i="82"/>
  <c r="Q41" i="82"/>
  <c r="Z41" i="82" s="1"/>
  <c r="J41" i="82"/>
  <c r="AC41" i="82" s="1"/>
  <c r="H41" i="82"/>
  <c r="AB41" i="82" s="1"/>
  <c r="F41" i="82"/>
  <c r="AA41" i="82" s="1"/>
  <c r="U40" i="82"/>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C36" i="82"/>
  <c r="F36" i="82" s="1"/>
  <c r="Q35" i="82"/>
  <c r="Z35" i="82" s="1"/>
  <c r="J35" i="82"/>
  <c r="AC35" i="82" s="1"/>
  <c r="H35" i="82"/>
  <c r="AB35" i="82" s="1"/>
  <c r="F35" i="82"/>
  <c r="AA35" i="82" s="1"/>
  <c r="Q34" i="82"/>
  <c r="Z34" i="82" s="1"/>
  <c r="J34" i="82"/>
  <c r="AC34" i="82" s="1"/>
  <c r="H34" i="82"/>
  <c r="AB34" i="82" s="1"/>
  <c r="F34" i="82"/>
  <c r="S34" i="82" s="1"/>
  <c r="Z33" i="82"/>
  <c r="Q33" i="82"/>
  <c r="J33" i="82"/>
  <c r="H33" i="82"/>
  <c r="F33" i="82"/>
  <c r="C33" i="82"/>
  <c r="Q32" i="82"/>
  <c r="Z32" i="82" s="1"/>
  <c r="J32" i="82"/>
  <c r="AC32" i="82" s="1"/>
  <c r="F32" i="82"/>
  <c r="AA32" i="82" s="1"/>
  <c r="AB31" i="82"/>
  <c r="U31" i="82"/>
  <c r="Q31" i="82"/>
  <c r="Z31" i="82" s="1"/>
  <c r="H31" i="82"/>
  <c r="AA30" i="82"/>
  <c r="Q30" i="82"/>
  <c r="Z30" i="82" s="1"/>
  <c r="J30" i="82"/>
  <c r="AC30" i="82" s="1"/>
  <c r="H30" i="82"/>
  <c r="AB30" i="82" s="1"/>
  <c r="F30" i="82"/>
  <c r="S30" i="82" s="1"/>
  <c r="Z29" i="82"/>
  <c r="Q29" i="82"/>
  <c r="J29" i="82"/>
  <c r="AC29" i="82" s="1"/>
  <c r="H29" i="82"/>
  <c r="AB29" i="82" s="1"/>
  <c r="F29" i="82"/>
  <c r="AA29" i="82" s="1"/>
  <c r="Q28" i="82"/>
  <c r="Z28" i="82" s="1"/>
  <c r="W27" i="82"/>
  <c r="Q27" i="82"/>
  <c r="Z27" i="82" s="1"/>
  <c r="J27" i="82"/>
  <c r="AC27" i="82" s="1"/>
  <c r="H27" i="82"/>
  <c r="AB27" i="82" s="1"/>
  <c r="F27" i="82"/>
  <c r="AA27" i="82" s="1"/>
  <c r="Q26" i="82"/>
  <c r="Z26" i="82" s="1"/>
  <c r="J26" i="82"/>
  <c r="AC26" i="82" s="1"/>
  <c r="H26" i="82"/>
  <c r="AB26" i="82" s="1"/>
  <c r="F26" i="82"/>
  <c r="AA26" i="82" s="1"/>
  <c r="Q25" i="82"/>
  <c r="Z25" i="82" s="1"/>
  <c r="J25" i="82"/>
  <c r="AC25" i="82" s="1"/>
  <c r="H25" i="82"/>
  <c r="AB25" i="82" s="1"/>
  <c r="F25" i="82"/>
  <c r="AA25" i="82" s="1"/>
  <c r="AB23" i="82"/>
  <c r="Q23" i="82"/>
  <c r="Z23" i="82" s="1"/>
  <c r="J23" i="82"/>
  <c r="H23" i="82"/>
  <c r="U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J8" i="82"/>
  <c r="W8" i="82" s="1"/>
  <c r="H8" i="82"/>
  <c r="AB8" i="82" s="1"/>
  <c r="F8" i="82"/>
  <c r="S8" i="82" s="1"/>
  <c r="C7" i="82"/>
  <c r="C58" i="82" s="1"/>
  <c r="D58" i="82" s="1"/>
  <c r="E58" i="82" s="1"/>
  <c r="F58" i="82" s="1"/>
  <c r="D3" i="82"/>
  <c r="D2" i="82"/>
  <c r="AC8" i="82" l="1"/>
  <c r="U8" i="82"/>
  <c r="W32" i="82"/>
  <c r="G58" i="82"/>
  <c r="H58" i="82" s="1"/>
  <c r="I58" i="82" s="1"/>
  <c r="J58" i="82" s="1"/>
  <c r="K58" i="82" s="1"/>
  <c r="L58" i="82" s="1"/>
  <c r="M58" i="82" s="1"/>
  <c r="N58" i="82" s="1"/>
  <c r="O58" i="82" s="1"/>
  <c r="AB12" i="82"/>
  <c r="U12" i="82"/>
  <c r="U11" i="82"/>
  <c r="S14" i="82"/>
  <c r="S19" i="82"/>
  <c r="S25" i="82"/>
  <c r="S39" i="82"/>
  <c r="S43" i="82"/>
  <c r="J28" i="82"/>
  <c r="H28" i="82"/>
  <c r="F28" i="82"/>
  <c r="J42" i="82"/>
  <c r="H42" i="82"/>
  <c r="F123" i="82"/>
  <c r="G123" i="82" s="1"/>
  <c r="H123" i="82" s="1"/>
  <c r="I123" i="82" s="1"/>
  <c r="J123" i="82" s="1"/>
  <c r="K123" i="82" s="1"/>
  <c r="L123" i="82" s="1"/>
  <c r="M123" i="82" s="1"/>
  <c r="F42" i="82"/>
  <c r="S9" i="82"/>
  <c r="U10" i="82"/>
  <c r="W11" i="82"/>
  <c r="S13" i="82"/>
  <c r="U14" i="82"/>
  <c r="H15" i="82"/>
  <c r="U17" i="82"/>
  <c r="U19" i="82"/>
  <c r="U21" i="82"/>
  <c r="AC33" i="82"/>
  <c r="W33" i="82"/>
  <c r="AA34" i="82"/>
  <c r="H36" i="82"/>
  <c r="W37" i="82"/>
  <c r="I54" i="82"/>
  <c r="J54" i="82" s="1"/>
  <c r="F31" i="82"/>
  <c r="J31" i="82"/>
  <c r="S10" i="82"/>
  <c r="W12" i="82"/>
  <c r="S17" i="82"/>
  <c r="S23" i="82"/>
  <c r="AB33" i="82"/>
  <c r="U33" i="82"/>
  <c r="AA8" i="82"/>
  <c r="W17" i="82"/>
  <c r="W19" i="82"/>
  <c r="W21" i="82"/>
  <c r="AC23" i="82"/>
  <c r="W23" i="82"/>
  <c r="U26" i="82"/>
  <c r="U35" i="82"/>
  <c r="F101" i="82"/>
  <c r="G101" i="82" s="1"/>
  <c r="H101" i="82" s="1"/>
  <c r="I101" i="82" s="1"/>
  <c r="J101" i="82" s="1"/>
  <c r="K101" i="82" s="1"/>
  <c r="L101" i="82" s="1"/>
  <c r="M101" i="82" s="1"/>
  <c r="H32" i="82"/>
  <c r="S15" i="82"/>
  <c r="S21" i="82"/>
  <c r="AA36" i="82"/>
  <c r="S36" i="82"/>
  <c r="U9" i="82"/>
  <c r="W10" i="82"/>
  <c r="F12" i="82"/>
  <c r="U13" i="82"/>
  <c r="W14" i="82"/>
  <c r="J15" i="82"/>
  <c r="W9" i="82"/>
  <c r="S11" i="82"/>
  <c r="W13" i="82"/>
  <c r="AA33" i="82"/>
  <c r="S33" i="82"/>
  <c r="E54" i="82"/>
  <c r="F54" i="82" s="1"/>
  <c r="R47" i="82"/>
  <c r="U25" i="82"/>
  <c r="W26" i="82"/>
  <c r="S29" i="82"/>
  <c r="U30" i="82"/>
  <c r="U34" i="82"/>
  <c r="W35" i="82"/>
  <c r="J36" i="82"/>
  <c r="S38" i="82"/>
  <c r="U39" i="82"/>
  <c r="W40" i="82"/>
  <c r="U43" i="82"/>
  <c r="W44" i="82"/>
  <c r="S46" i="82"/>
  <c r="T47" i="82"/>
  <c r="W25" i="82"/>
  <c r="S27" i="82"/>
  <c r="U29" i="82"/>
  <c r="W30" i="82"/>
  <c r="S32" i="82"/>
  <c r="W34" i="82"/>
  <c r="S37" i="82"/>
  <c r="U38" i="82"/>
  <c r="W39" i="82"/>
  <c r="S41" i="82"/>
  <c r="W43" i="82"/>
  <c r="S45" i="82"/>
  <c r="U46" i="82"/>
  <c r="V47" i="82"/>
  <c r="S26" i="82"/>
  <c r="U27" i="82"/>
  <c r="W29" i="82"/>
  <c r="S35" i="82"/>
  <c r="U37" i="82"/>
  <c r="W38" i="82"/>
  <c r="S40" i="82"/>
  <c r="U41" i="82"/>
  <c r="S44" i="82"/>
  <c r="U45" i="82"/>
  <c r="W46" i="82"/>
  <c r="F7" i="82" l="1"/>
  <c r="S7" i="82" s="1"/>
  <c r="J7" i="82"/>
  <c r="AC7" i="82" s="1"/>
  <c r="H7" i="82"/>
  <c r="U7" i="82" s="1"/>
  <c r="AB28" i="82"/>
  <c r="U28" i="82"/>
  <c r="AB32" i="82"/>
  <c r="U32" i="82"/>
  <c r="AC31" i="82"/>
  <c r="W31" i="82"/>
  <c r="U36" i="82"/>
  <c r="AB36" i="82"/>
  <c r="AB42" i="82"/>
  <c r="U42" i="82"/>
  <c r="AC28" i="82"/>
  <c r="W28" i="82"/>
  <c r="AA12" i="82"/>
  <c r="S12" i="82"/>
  <c r="AA31" i="82"/>
  <c r="S31" i="82"/>
  <c r="AC42" i="82"/>
  <c r="W42" i="82"/>
  <c r="AB15" i="82"/>
  <c r="U15" i="82"/>
  <c r="AC36" i="82"/>
  <c r="W36" i="82"/>
  <c r="AC15" i="82"/>
  <c r="W15" i="82"/>
  <c r="AA42" i="82"/>
  <c r="S42" i="82"/>
  <c r="AA28" i="82"/>
  <c r="S28" i="82"/>
  <c r="W7" i="82" l="1"/>
  <c r="AB7" i="82"/>
  <c r="T48" i="82" s="1"/>
  <c r="G48" i="82" s="1"/>
  <c r="G52" i="82" s="1"/>
  <c r="H52" i="82" s="1"/>
  <c r="AA7" i="82"/>
  <c r="V48" i="82"/>
  <c r="I48" i="82" s="1"/>
  <c r="I52" i="82" s="1"/>
  <c r="J52" i="82" s="1"/>
  <c r="R48" i="82"/>
  <c r="R49" i="82" l="1"/>
  <c r="C49" i="82" s="1"/>
  <c r="U6" i="1" s="1"/>
  <c r="G53" i="82"/>
  <c r="H53" i="82" s="1"/>
  <c r="E48" i="82"/>
  <c r="E52" i="82" s="1"/>
  <c r="F52" i="82" s="1"/>
  <c r="C48" i="82" l="1"/>
  <c r="E53" i="82"/>
  <c r="F53" i="82" s="1"/>
  <c r="I53" i="82"/>
  <c r="J53" i="82" s="1"/>
  <c r="B2" i="82"/>
  <c r="B3" i="82"/>
  <c r="J49" i="67" l="1"/>
  <c r="M28" i="33"/>
  <c r="C36" i="33"/>
  <c r="C33" i="33"/>
  <c r="E93" i="33"/>
  <c r="C93" i="33"/>
  <c r="O94" i="33"/>
  <c r="I47" i="33"/>
  <c r="I33" i="33"/>
  <c r="I5" i="33"/>
  <c r="G47" i="33"/>
  <c r="G33" i="33"/>
  <c r="G5" i="33"/>
  <c r="E47" i="33"/>
  <c r="E33" i="33"/>
  <c r="E5" i="33"/>
  <c r="B14" i="74" l="1"/>
  <c r="B59" i="1"/>
  <c r="Y6" i="1"/>
  <c r="M23" i="1"/>
  <c r="N22" i="1"/>
  <c r="M21" i="1"/>
  <c r="F19" i="6" l="1"/>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34" i="79" l="1"/>
  <c r="W34" i="79" s="1"/>
  <c r="U40" i="79"/>
  <c r="AD41" i="79"/>
  <c r="S42" i="79"/>
  <c r="U44" i="79"/>
  <c r="AD45" i="79"/>
  <c r="Z3" i="79"/>
  <c r="AA28" i="79"/>
  <c r="AD28" i="79" s="1"/>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AA3" i="71" s="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S80" i="71" s="1"/>
  <c r="Q79" i="71"/>
  <c r="P79" i="71"/>
  <c r="O79" i="71"/>
  <c r="N79" i="7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C67" i="71" s="1"/>
  <c r="B68" i="71"/>
  <c r="S68" i="71"/>
  <c r="F67" i="71"/>
  <c r="F66" i="71" s="1"/>
  <c r="B67" i="71"/>
  <c r="N67" i="71" s="1"/>
  <c r="D65" i="71"/>
  <c r="Q64" i="71"/>
  <c r="P64" i="71"/>
  <c r="O64" i="71"/>
  <c r="N64" i="71"/>
  <c r="Q63" i="71"/>
  <c r="P63" i="71"/>
  <c r="O63" i="71"/>
  <c r="N63" i="71"/>
  <c r="Q62" i="71"/>
  <c r="P62" i="71"/>
  <c r="O62" i="71"/>
  <c r="N62" i="71"/>
  <c r="Q61" i="71"/>
  <c r="F62" i="71"/>
  <c r="F63" i="7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AA38" i="71" s="1"/>
  <c r="O38" i="71"/>
  <c r="N38" i="71"/>
  <c r="Q37" i="71"/>
  <c r="AB37" i="71" s="1"/>
  <c r="P37" i="71"/>
  <c r="O37" i="71"/>
  <c r="N37" i="71"/>
  <c r="B38" i="71" s="1"/>
  <c r="B39" i="71" s="1"/>
  <c r="B40" i="71" s="1"/>
  <c r="S40" i="71" s="1"/>
  <c r="D37" i="71"/>
  <c r="Q36" i="71"/>
  <c r="P36" i="71"/>
  <c r="O36" i="71"/>
  <c r="N36" i="71"/>
  <c r="X36" i="71" s="1"/>
  <c r="Q35" i="71"/>
  <c r="P35" i="71"/>
  <c r="O35" i="71"/>
  <c r="Y35" i="71" s="1"/>
  <c r="Z35" i="71" s="1"/>
  <c r="N35" i="71"/>
  <c r="Q34" i="71"/>
  <c r="AB34" i="71" s="1"/>
  <c r="P34" i="71"/>
  <c r="O34" i="71"/>
  <c r="N34" i="71"/>
  <c r="X33" i="71" s="1"/>
  <c r="Q33" i="71"/>
  <c r="F34" i="71" s="1"/>
  <c r="P33" i="71"/>
  <c r="E34" i="71" s="1"/>
  <c r="E35" i="71" s="1"/>
  <c r="E36" i="71" s="1"/>
  <c r="U36" i="71" s="1"/>
  <c r="O33" i="71"/>
  <c r="Y30" i="71" s="1"/>
  <c r="Z30" i="71" s="1"/>
  <c r="N33" i="71"/>
  <c r="D33" i="71"/>
  <c r="Q32" i="71"/>
  <c r="AB32" i="71"/>
  <c r="P32" i="71"/>
  <c r="O32" i="71"/>
  <c r="N32" i="71"/>
  <c r="Q31" i="71"/>
  <c r="P31" i="71"/>
  <c r="O31" i="71"/>
  <c r="N31" i="71"/>
  <c r="Q30" i="71"/>
  <c r="P30" i="71"/>
  <c r="O30" i="71"/>
  <c r="N30" i="71"/>
  <c r="Q29" i="71"/>
  <c r="F30" i="71" s="1"/>
  <c r="P29" i="71"/>
  <c r="O29" i="71"/>
  <c r="N29" i="71"/>
  <c r="D29" i="71"/>
  <c r="O28" i="71"/>
  <c r="N28" i="71"/>
  <c r="B28" i="71" s="1"/>
  <c r="B30" i="71"/>
  <c r="B31" i="71" s="1"/>
  <c r="B32" i="71" s="1"/>
  <c r="S32" i="71" s="1"/>
  <c r="E30" i="71"/>
  <c r="E31" i="71"/>
  <c r="E32" i="71" s="1"/>
  <c r="U32" i="71" s="1"/>
  <c r="B34" i="71"/>
  <c r="B35" i="71" s="1"/>
  <c r="B36" i="71" s="1"/>
  <c r="S36" i="71" s="1"/>
  <c r="E38" i="71"/>
  <c r="E39" i="71" s="1"/>
  <c r="E40" i="71" s="1"/>
  <c r="U40" i="71" s="1"/>
  <c r="N68" i="71"/>
  <c r="C30" i="71"/>
  <c r="C31" i="71" s="1"/>
  <c r="D31" i="71" s="1"/>
  <c r="Y29" i="71"/>
  <c r="Z29" i="71" s="1"/>
  <c r="AA35" i="71"/>
  <c r="C38" i="71"/>
  <c r="D38" i="71" s="1"/>
  <c r="X38" i="71"/>
  <c r="C28" i="71"/>
  <c r="T28" i="71" s="1"/>
  <c r="Y25" i="71"/>
  <c r="Z25" i="71" s="1"/>
  <c r="X26" i="71"/>
  <c r="C39" i="71"/>
  <c r="C40" i="71" s="1"/>
  <c r="C43" i="71"/>
  <c r="C44" i="71" s="1"/>
  <c r="D44" i="71" s="1"/>
  <c r="C51" i="71"/>
  <c r="P28" i="71"/>
  <c r="E28" i="71" s="1"/>
  <c r="E55" i="71"/>
  <c r="E56" i="71" s="1"/>
  <c r="U56" i="71"/>
  <c r="E63" i="71"/>
  <c r="E64" i="71"/>
  <c r="U64" i="71" s="1"/>
  <c r="E67" i="71"/>
  <c r="Q28" i="71"/>
  <c r="C59" i="71"/>
  <c r="D58" i="71"/>
  <c r="B66" i="71"/>
  <c r="N65" i="71" s="1"/>
  <c r="D68" i="71"/>
  <c r="Q68" i="71"/>
  <c r="C71" i="71"/>
  <c r="C70" i="71" s="1"/>
  <c r="D70" i="71" s="1"/>
  <c r="E71" i="71"/>
  <c r="E70" i="71" s="1"/>
  <c r="D72" i="71"/>
  <c r="E75" i="71"/>
  <c r="E74" i="71" s="1"/>
  <c r="C79" i="71"/>
  <c r="D79" i="71" s="1"/>
  <c r="E79" i="71"/>
  <c r="E78" i="71" s="1"/>
  <c r="D80" i="71"/>
  <c r="C83" i="71"/>
  <c r="D83" i="71" s="1"/>
  <c r="C87" i="71"/>
  <c r="AB27" i="71"/>
  <c r="AA28" i="71"/>
  <c r="O67" i="71"/>
  <c r="C82" i="71"/>
  <c r="D82" i="71"/>
  <c r="N66" i="71"/>
  <c r="C78" i="71"/>
  <c r="D78" i="71" s="1"/>
  <c r="D71" i="71"/>
  <c r="C60" i="71"/>
  <c r="D60" i="71" s="1"/>
  <c r="D59" i="71"/>
  <c r="P67" i="71"/>
  <c r="E66" i="71"/>
  <c r="D43" i="71"/>
  <c r="C32"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C29" i="39"/>
  <c r="S25" i="40"/>
  <c r="S18" i="36"/>
  <c r="H25" i="40"/>
  <c r="AB25" i="40" s="1"/>
  <c r="J25" i="40"/>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AC25" i="40"/>
  <c r="W25" i="40"/>
  <c r="W29" i="39"/>
  <c r="W18" i="36"/>
  <c r="S21" i="37"/>
  <c r="U21" i="34"/>
  <c r="AC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AC21" i="21" s="1"/>
  <c r="F38" i="68"/>
  <c r="E37" i="68"/>
  <c r="F36" i="68"/>
  <c r="F35" i="68"/>
  <c r="F21" i="68"/>
  <c r="F40" i="68" s="1"/>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L469" i="3" s="1"/>
  <c r="BN469" i="3"/>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5" i="6" s="1"/>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A493" i="3" s="1"/>
  <c r="BD493" i="3"/>
  <c r="BE493" i="3"/>
  <c r="BF493" i="3"/>
  <c r="BG493" i="3"/>
  <c r="BH493" i="3"/>
  <c r="BI493" i="3"/>
  <c r="BJ493" i="3"/>
  <c r="BK493" i="3"/>
  <c r="BK5" i="3" s="1"/>
  <c r="BM493" i="3"/>
  <c r="BN493" i="3"/>
  <c r="BO493" i="3"/>
  <c r="BP493" i="3"/>
  <c r="BR493" i="3"/>
  <c r="BS493" i="3"/>
  <c r="BT493" i="3"/>
  <c r="H494" i="3"/>
  <c r="G494" i="3" s="1"/>
  <c r="AC494" i="3"/>
  <c r="BB494" i="3"/>
  <c r="BC494" i="3"/>
  <c r="BD494" i="3"/>
  <c r="BA494" i="3" s="1"/>
  <c r="AZ494" i="3" s="1"/>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L495" i="3" s="1"/>
  <c r="BN495" i="3"/>
  <c r="BO495" i="3"/>
  <c r="BP495" i="3"/>
  <c r="BR495" i="3"/>
  <c r="BS495" i="3"/>
  <c r="BT495" i="3"/>
  <c r="H496" i="3"/>
  <c r="AC496" i="3"/>
  <c r="BB496" i="3"/>
  <c r="BC496" i="3"/>
  <c r="BD496" i="3"/>
  <c r="BE496" i="3"/>
  <c r="BF496" i="3"/>
  <c r="BG496" i="3"/>
  <c r="BH496" i="3"/>
  <c r="BI496" i="3"/>
  <c r="BJ496" i="3"/>
  <c r="BK496" i="3"/>
  <c r="BM496" i="3"/>
  <c r="BN496" i="3"/>
  <c r="BL496" i="3" s="1"/>
  <c r="BO496" i="3"/>
  <c r="BP496" i="3"/>
  <c r="BQ496" i="3"/>
  <c r="BR496" i="3"/>
  <c r="BS496" i="3"/>
  <c r="BT496" i="3"/>
  <c r="H497" i="3"/>
  <c r="AC497" i="3"/>
  <c r="G497" i="3" s="1"/>
  <c r="BB497" i="3"/>
  <c r="BC497" i="3"/>
  <c r="BD497" i="3"/>
  <c r="BE497" i="3"/>
  <c r="BA497" i="3" s="1"/>
  <c r="BF497" i="3"/>
  <c r="BG497" i="3"/>
  <c r="BH497" i="3"/>
  <c r="BI497" i="3"/>
  <c r="BJ497" i="3"/>
  <c r="BK497" i="3"/>
  <c r="BM497" i="3"/>
  <c r="BN497" i="3"/>
  <c r="BL497" i="3" s="1"/>
  <c r="BO497" i="3"/>
  <c r="BP497" i="3"/>
  <c r="BR497" i="3"/>
  <c r="BS497" i="3"/>
  <c r="BT497" i="3"/>
  <c r="H498" i="3"/>
  <c r="AC498" i="3"/>
  <c r="BB498" i="3"/>
  <c r="BB5" i="3" s="1"/>
  <c r="BC498" i="3"/>
  <c r="BD498" i="3"/>
  <c r="BE498" i="3"/>
  <c r="BF498" i="3"/>
  <c r="BG498" i="3"/>
  <c r="BH498" i="3"/>
  <c r="BI498" i="3"/>
  <c r="BJ498" i="3"/>
  <c r="BJ5" i="3" s="1"/>
  <c r="BK498" i="3"/>
  <c r="BM498" i="3"/>
  <c r="BN498" i="3"/>
  <c r="BO498" i="3"/>
  <c r="BL498" i="3" s="1"/>
  <c r="BP498" i="3"/>
  <c r="BQ498" i="3"/>
  <c r="BR498" i="3"/>
  <c r="BS498" i="3"/>
  <c r="BT498" i="3"/>
  <c r="H499" i="3"/>
  <c r="AC499" i="3"/>
  <c r="BB499" i="3"/>
  <c r="BC499" i="3"/>
  <c r="BD499" i="3"/>
  <c r="BE499" i="3"/>
  <c r="BF499" i="3"/>
  <c r="BG499" i="3"/>
  <c r="BH499" i="3"/>
  <c r="BI499" i="3"/>
  <c r="BJ499" i="3"/>
  <c r="BK499" i="3"/>
  <c r="BM499" i="3"/>
  <c r="BN499" i="3"/>
  <c r="BO499" i="3"/>
  <c r="BL499" i="3" s="1"/>
  <c r="BP499" i="3"/>
  <c r="BR499" i="3"/>
  <c r="BS499" i="3"/>
  <c r="BT499" i="3"/>
  <c r="H500" i="3"/>
  <c r="AC500" i="3"/>
  <c r="BB500" i="3"/>
  <c r="BC500" i="3"/>
  <c r="BA500" i="3" s="1"/>
  <c r="AZ500" i="3" s="1"/>
  <c r="BD500" i="3"/>
  <c r="BE500" i="3"/>
  <c r="BF500" i="3"/>
  <c r="BG500" i="3"/>
  <c r="BH500" i="3"/>
  <c r="BI500" i="3"/>
  <c r="BJ500" i="3"/>
  <c r="BK500" i="3"/>
  <c r="BM500" i="3"/>
  <c r="BN500" i="3"/>
  <c r="BO500" i="3"/>
  <c r="BP500" i="3"/>
  <c r="BQ500" i="3"/>
  <c r="BR500" i="3"/>
  <c r="BS500" i="3"/>
  <c r="BT500" i="3"/>
  <c r="H501" i="3"/>
  <c r="AC501" i="3"/>
  <c r="BB501" i="3"/>
  <c r="BC501" i="3"/>
  <c r="BA501" i="3" s="1"/>
  <c r="BD501" i="3"/>
  <c r="BE501" i="3"/>
  <c r="BF501" i="3"/>
  <c r="BG501" i="3"/>
  <c r="BH501" i="3"/>
  <c r="BI501" i="3"/>
  <c r="BJ501" i="3"/>
  <c r="BK501" i="3"/>
  <c r="BM501" i="3"/>
  <c r="BN501" i="3"/>
  <c r="BO501" i="3"/>
  <c r="BP501" i="3"/>
  <c r="BL501" i="3" s="1"/>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L504" i="3" s="1"/>
  <c r="BO504" i="3"/>
  <c r="BP504" i="3"/>
  <c r="BQ504" i="3"/>
  <c r="BR504" i="3"/>
  <c r="BS504" i="3"/>
  <c r="BT504" i="3"/>
  <c r="H505" i="3"/>
  <c r="AC505" i="3"/>
  <c r="G505" i="3" s="1"/>
  <c r="BB505" i="3"/>
  <c r="BC505" i="3"/>
  <c r="BD505" i="3"/>
  <c r="BE505" i="3"/>
  <c r="BA505" i="3" s="1"/>
  <c r="BF505" i="3"/>
  <c r="BG505" i="3"/>
  <c r="BH505" i="3"/>
  <c r="BI505" i="3"/>
  <c r="BJ505" i="3"/>
  <c r="BK505" i="3"/>
  <c r="BM505" i="3"/>
  <c r="BN505" i="3"/>
  <c r="BL505" i="3" s="1"/>
  <c r="AZ505" i="3" s="1"/>
  <c r="BO505" i="3"/>
  <c r="BP505" i="3"/>
  <c r="BR505" i="3"/>
  <c r="BS505" i="3"/>
  <c r="BT505" i="3"/>
  <c r="H506" i="3"/>
  <c r="AC506" i="3"/>
  <c r="BB506" i="3"/>
  <c r="BA506" i="3" s="1"/>
  <c r="BC506" i="3"/>
  <c r="BD506" i="3"/>
  <c r="BE506" i="3"/>
  <c r="BF506" i="3"/>
  <c r="BG506" i="3"/>
  <c r="BH506" i="3"/>
  <c r="BI506" i="3"/>
  <c r="BJ506" i="3"/>
  <c r="BK506" i="3"/>
  <c r="BM506" i="3"/>
  <c r="BN506" i="3"/>
  <c r="BO506" i="3"/>
  <c r="BL506" i="3" s="1"/>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L509" i="3" s="1"/>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A511" i="3" s="1"/>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A514" i="3" s="1"/>
  <c r="BD514" i="3"/>
  <c r="BE514" i="3"/>
  <c r="BF514" i="3"/>
  <c r="BG514" i="3"/>
  <c r="BH514" i="3"/>
  <c r="BI514" i="3"/>
  <c r="BJ514" i="3"/>
  <c r="BK514" i="3"/>
  <c r="BM514" i="3"/>
  <c r="BN514" i="3"/>
  <c r="BO514" i="3"/>
  <c r="BP514" i="3"/>
  <c r="BL514" i="3" s="1"/>
  <c r="BQ514" i="3"/>
  <c r="BR514" i="3"/>
  <c r="BS514" i="3"/>
  <c r="BT514" i="3"/>
  <c r="H515" i="3"/>
  <c r="AC515" i="3"/>
  <c r="BB515" i="3"/>
  <c r="BC515" i="3"/>
  <c r="BA515" i="3" s="1"/>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L516" i="3" s="1"/>
  <c r="BN516" i="3"/>
  <c r="BO516" i="3"/>
  <c r="BP516" i="3"/>
  <c r="BQ516" i="3"/>
  <c r="BR516" i="3"/>
  <c r="BS516" i="3"/>
  <c r="BT516" i="3"/>
  <c r="H517" i="3"/>
  <c r="G517" i="3" s="1"/>
  <c r="AC517" i="3"/>
  <c r="BB517" i="3"/>
  <c r="BC517" i="3"/>
  <c r="BD517" i="3"/>
  <c r="BE517" i="3"/>
  <c r="BF517" i="3"/>
  <c r="BG517" i="3"/>
  <c r="BH517" i="3"/>
  <c r="BI517" i="3"/>
  <c r="BJ517" i="3"/>
  <c r="BK517" i="3"/>
  <c r="BM517" i="3"/>
  <c r="BL517" i="3" s="1"/>
  <c r="BN517" i="3"/>
  <c r="BO517" i="3"/>
  <c r="BP517" i="3"/>
  <c r="BR517" i="3"/>
  <c r="BS517" i="3"/>
  <c r="BT517" i="3"/>
  <c r="H518" i="3"/>
  <c r="AC518" i="3"/>
  <c r="BB518" i="3"/>
  <c r="BC518" i="3"/>
  <c r="BD518" i="3"/>
  <c r="BE518" i="3"/>
  <c r="BA518" i="3" s="1"/>
  <c r="AZ518" i="3" s="1"/>
  <c r="BF518" i="3"/>
  <c r="BG518" i="3"/>
  <c r="BH518" i="3"/>
  <c r="BI518" i="3"/>
  <c r="BJ518" i="3"/>
  <c r="BK518" i="3"/>
  <c r="BM518" i="3"/>
  <c r="BN518" i="3"/>
  <c r="BO518" i="3"/>
  <c r="BP518" i="3"/>
  <c r="BQ518" i="3"/>
  <c r="BR518" i="3"/>
  <c r="BS518" i="3"/>
  <c r="BT518" i="3"/>
  <c r="H519" i="3"/>
  <c r="AC519" i="3"/>
  <c r="BB519" i="3"/>
  <c r="BC519" i="3"/>
  <c r="BD519" i="3"/>
  <c r="BE519" i="3"/>
  <c r="BA519" i="3" s="1"/>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A521" i="3" s="1"/>
  <c r="BD521" i="3"/>
  <c r="BE521" i="3"/>
  <c r="BF521" i="3"/>
  <c r="BG521" i="3"/>
  <c r="BH521" i="3"/>
  <c r="BI521" i="3"/>
  <c r="BJ521" i="3"/>
  <c r="BK521" i="3"/>
  <c r="BM521" i="3"/>
  <c r="BN521" i="3"/>
  <c r="BO521" i="3"/>
  <c r="BP521" i="3"/>
  <c r="BL521" i="3" s="1"/>
  <c r="AZ521" i="3" s="1"/>
  <c r="BR521" i="3"/>
  <c r="BS521" i="3"/>
  <c r="BT521" i="3"/>
  <c r="H522" i="3"/>
  <c r="AC522" i="3"/>
  <c r="BB522" i="3"/>
  <c r="BC522" i="3"/>
  <c r="BD522" i="3"/>
  <c r="BA522" i="3" s="1"/>
  <c r="AZ522" i="3" s="1"/>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L524" i="3" s="1"/>
  <c r="BO524" i="3"/>
  <c r="BP524" i="3"/>
  <c r="BQ524" i="3"/>
  <c r="BR524" i="3"/>
  <c r="BS524" i="3"/>
  <c r="BT524" i="3"/>
  <c r="H525" i="3"/>
  <c r="AC525" i="3"/>
  <c r="BB525" i="3"/>
  <c r="BC525" i="3"/>
  <c r="BD525" i="3"/>
  <c r="BE525" i="3"/>
  <c r="BA525" i="3" s="1"/>
  <c r="BF525" i="3"/>
  <c r="BG525" i="3"/>
  <c r="BH525" i="3"/>
  <c r="BI525" i="3"/>
  <c r="BJ525" i="3"/>
  <c r="BK525" i="3"/>
  <c r="BM525" i="3"/>
  <c r="BN525" i="3"/>
  <c r="BL525" i="3" s="1"/>
  <c r="AZ525" i="3" s="1"/>
  <c r="BO525" i="3"/>
  <c r="BP525" i="3"/>
  <c r="BR525" i="3"/>
  <c r="BS525" i="3"/>
  <c r="BT525" i="3"/>
  <c r="H526" i="3"/>
  <c r="AC526" i="3"/>
  <c r="BB526" i="3"/>
  <c r="BA526" i="3" s="1"/>
  <c r="BC526" i="3"/>
  <c r="BD526" i="3"/>
  <c r="BE526" i="3"/>
  <c r="BF526" i="3"/>
  <c r="BG526" i="3"/>
  <c r="BH526" i="3"/>
  <c r="BI526" i="3"/>
  <c r="BJ526" i="3"/>
  <c r="BK526" i="3"/>
  <c r="BM526" i="3"/>
  <c r="BN526" i="3"/>
  <c r="BO526" i="3"/>
  <c r="BL526" i="3" s="1"/>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L528" i="3" s="1"/>
  <c r="BQ528" i="3"/>
  <c r="BR528" i="3"/>
  <c r="BS528" i="3"/>
  <c r="BT528" i="3"/>
  <c r="H529" i="3"/>
  <c r="AC529" i="3"/>
  <c r="BB529" i="3"/>
  <c r="BC529" i="3"/>
  <c r="BA529" i="3" s="1"/>
  <c r="BD529" i="3"/>
  <c r="BE529" i="3"/>
  <c r="BF529" i="3"/>
  <c r="BG529" i="3"/>
  <c r="BH529" i="3"/>
  <c r="BI529" i="3"/>
  <c r="BJ529" i="3"/>
  <c r="BK529" i="3"/>
  <c r="BM529" i="3"/>
  <c r="BN529" i="3"/>
  <c r="BO529" i="3"/>
  <c r="BP529" i="3"/>
  <c r="BL529" i="3" s="1"/>
  <c r="BR529" i="3"/>
  <c r="BS529" i="3"/>
  <c r="BT529" i="3"/>
  <c r="H530" i="3"/>
  <c r="AC530" i="3"/>
  <c r="BB530" i="3"/>
  <c r="BC530" i="3"/>
  <c r="BD530" i="3"/>
  <c r="BA530" i="3" s="1"/>
  <c r="AZ530" i="3" s="1"/>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A532" i="3" s="1"/>
  <c r="BF532" i="3"/>
  <c r="BG532" i="3"/>
  <c r="BH532" i="3"/>
  <c r="BI532" i="3"/>
  <c r="BJ532" i="3"/>
  <c r="BK532" i="3"/>
  <c r="BM532" i="3"/>
  <c r="BN532" i="3"/>
  <c r="BL532" i="3" s="1"/>
  <c r="BO532" i="3"/>
  <c r="BP532" i="3"/>
  <c r="BQ532" i="3"/>
  <c r="BR532" i="3"/>
  <c r="BS532" i="3"/>
  <c r="BT532" i="3"/>
  <c r="H533" i="3"/>
  <c r="AC533" i="3"/>
  <c r="BB533" i="3"/>
  <c r="BC533" i="3"/>
  <c r="BD533" i="3"/>
  <c r="BE533" i="3"/>
  <c r="BA533" i="3" s="1"/>
  <c r="BF533" i="3"/>
  <c r="BG533" i="3"/>
  <c r="BH533" i="3"/>
  <c r="BI533" i="3"/>
  <c r="BJ533" i="3"/>
  <c r="BK533" i="3"/>
  <c r="BM533" i="3"/>
  <c r="BN533" i="3"/>
  <c r="BO533" i="3"/>
  <c r="BP533" i="3"/>
  <c r="BR533" i="3"/>
  <c r="BS533" i="3"/>
  <c r="BT533" i="3"/>
  <c r="H534" i="3"/>
  <c r="AC534" i="3"/>
  <c r="BB534" i="3"/>
  <c r="BA534" i="3" s="1"/>
  <c r="BC534" i="3"/>
  <c r="BD534" i="3"/>
  <c r="BE534" i="3"/>
  <c r="BF534" i="3"/>
  <c r="BG534" i="3"/>
  <c r="BH534" i="3"/>
  <c r="BI534" i="3"/>
  <c r="BJ534" i="3"/>
  <c r="BK534" i="3"/>
  <c r="BM534" i="3"/>
  <c r="BN534" i="3"/>
  <c r="BO534" i="3"/>
  <c r="BL534" i="3" s="1"/>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A536" i="3" s="1"/>
  <c r="BD536" i="3"/>
  <c r="BE536" i="3"/>
  <c r="BF536" i="3"/>
  <c r="BG536" i="3"/>
  <c r="BH536" i="3"/>
  <c r="BI536" i="3"/>
  <c r="BJ536" i="3"/>
  <c r="BK536" i="3"/>
  <c r="BM536" i="3"/>
  <c r="BN536" i="3"/>
  <c r="BO536" i="3"/>
  <c r="BP536" i="3"/>
  <c r="BL536" i="3" s="1"/>
  <c r="BQ536" i="3"/>
  <c r="BR536" i="3"/>
  <c r="BS536" i="3"/>
  <c r="BT536" i="3"/>
  <c r="H537" i="3"/>
  <c r="AC537" i="3"/>
  <c r="BB537" i="3"/>
  <c r="BC537" i="3"/>
  <c r="BA537" i="3" s="1"/>
  <c r="BD537" i="3"/>
  <c r="BE537" i="3"/>
  <c r="BF537" i="3"/>
  <c r="BG537" i="3"/>
  <c r="BH537" i="3"/>
  <c r="BI537" i="3"/>
  <c r="BJ537" i="3"/>
  <c r="BK537" i="3"/>
  <c r="BM537" i="3"/>
  <c r="BN537" i="3"/>
  <c r="BO537" i="3"/>
  <c r="BP537" i="3"/>
  <c r="BL537" i="3" s="1"/>
  <c r="BR537" i="3"/>
  <c r="BS537" i="3"/>
  <c r="BT537" i="3"/>
  <c r="H538" i="3"/>
  <c r="AC538" i="3"/>
  <c r="BB538" i="3"/>
  <c r="BC538" i="3"/>
  <c r="BD538" i="3"/>
  <c r="BA538" i="3" s="1"/>
  <c r="BE538" i="3"/>
  <c r="BF538" i="3"/>
  <c r="BG538" i="3"/>
  <c r="BH538" i="3"/>
  <c r="BI538" i="3"/>
  <c r="BJ538" i="3"/>
  <c r="BK538" i="3"/>
  <c r="BM538" i="3"/>
  <c r="BL538" i="3" s="1"/>
  <c r="BN538" i="3"/>
  <c r="BO538" i="3"/>
  <c r="BP538" i="3"/>
  <c r="BQ538" i="3"/>
  <c r="BR538" i="3"/>
  <c r="BS538" i="3"/>
  <c r="BT538" i="3"/>
  <c r="H539" i="3"/>
  <c r="G539" i="3" s="1"/>
  <c r="AC539" i="3"/>
  <c r="BB539" i="3"/>
  <c r="BC539" i="3"/>
  <c r="BD539" i="3"/>
  <c r="BA539" i="3" s="1"/>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L540" i="3" s="1"/>
  <c r="AZ540" i="3" s="1"/>
  <c r="BO540" i="3"/>
  <c r="BP540" i="3"/>
  <c r="BQ540" i="3"/>
  <c r="BR540" i="3"/>
  <c r="BS540" i="3"/>
  <c r="BT540" i="3"/>
  <c r="H541" i="3"/>
  <c r="AC541" i="3"/>
  <c r="G541" i="3" s="1"/>
  <c r="BB541" i="3"/>
  <c r="BC541" i="3"/>
  <c r="BD541" i="3"/>
  <c r="BE541" i="3"/>
  <c r="BA541" i="3" s="1"/>
  <c r="BF541" i="3"/>
  <c r="BG541" i="3"/>
  <c r="BH541" i="3"/>
  <c r="BI541" i="3"/>
  <c r="BJ541" i="3"/>
  <c r="BK541" i="3"/>
  <c r="BM541" i="3"/>
  <c r="BN541" i="3"/>
  <c r="BL541" i="3" s="1"/>
  <c r="AZ541" i="3" s="1"/>
  <c r="BO541" i="3"/>
  <c r="BP541" i="3"/>
  <c r="BR541" i="3"/>
  <c r="BS541" i="3"/>
  <c r="BT541" i="3"/>
  <c r="H542" i="3"/>
  <c r="G542" i="3" s="1"/>
  <c r="AC542" i="3"/>
  <c r="BB542" i="3"/>
  <c r="BA542" i="3" s="1"/>
  <c r="BC542" i="3"/>
  <c r="BD542" i="3"/>
  <c r="BE542" i="3"/>
  <c r="BF542" i="3"/>
  <c r="BG542" i="3"/>
  <c r="BH542" i="3"/>
  <c r="BI542" i="3"/>
  <c r="BJ542" i="3"/>
  <c r="BK542" i="3"/>
  <c r="BM542" i="3"/>
  <c r="BN542" i="3"/>
  <c r="BO542" i="3"/>
  <c r="BL542" i="3" s="1"/>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L544" i="3" s="1"/>
  <c r="BQ544" i="3"/>
  <c r="BR544" i="3"/>
  <c r="BS544" i="3"/>
  <c r="BT544" i="3"/>
  <c r="H545" i="3"/>
  <c r="AC545" i="3"/>
  <c r="BB545" i="3"/>
  <c r="BC545" i="3"/>
  <c r="BA545" i="3" s="1"/>
  <c r="BD545" i="3"/>
  <c r="BE545" i="3"/>
  <c r="BF545" i="3"/>
  <c r="BG545" i="3"/>
  <c r="BH545" i="3"/>
  <c r="BI545" i="3"/>
  <c r="BJ545" i="3"/>
  <c r="BK545" i="3"/>
  <c r="BM545" i="3"/>
  <c r="BN545" i="3"/>
  <c r="BO545" i="3"/>
  <c r="BP545" i="3"/>
  <c r="BL545" i="3" s="1"/>
  <c r="BR545" i="3"/>
  <c r="BS545" i="3"/>
  <c r="BT545" i="3"/>
  <c r="H546" i="3"/>
  <c r="AC546" i="3"/>
  <c r="BB546" i="3"/>
  <c r="BC546" i="3"/>
  <c r="BD546" i="3"/>
  <c r="BA546" i="3" s="1"/>
  <c r="AZ546" i="3" s="1"/>
  <c r="BE546" i="3"/>
  <c r="BF546" i="3"/>
  <c r="BG546" i="3"/>
  <c r="BH546" i="3"/>
  <c r="BI546" i="3"/>
  <c r="BJ546" i="3"/>
  <c r="BK546" i="3"/>
  <c r="BM546" i="3"/>
  <c r="BN546" i="3"/>
  <c r="BO546" i="3"/>
  <c r="BP546" i="3"/>
  <c r="BQ546" i="3"/>
  <c r="BR546" i="3"/>
  <c r="BS546" i="3"/>
  <c r="BT546" i="3"/>
  <c r="H547" i="3"/>
  <c r="G547" i="3" s="1"/>
  <c r="AC547" i="3"/>
  <c r="BB547" i="3"/>
  <c r="BC547" i="3"/>
  <c r="BD547" i="3"/>
  <c r="BA547" i="3" s="1"/>
  <c r="BE547" i="3"/>
  <c r="BF547" i="3"/>
  <c r="BG547" i="3"/>
  <c r="BH547" i="3"/>
  <c r="BI547" i="3"/>
  <c r="BJ547" i="3"/>
  <c r="BK547" i="3"/>
  <c r="BM547" i="3"/>
  <c r="BN547" i="3"/>
  <c r="BO547" i="3"/>
  <c r="BP547" i="3"/>
  <c r="BR547" i="3"/>
  <c r="BS547" i="3"/>
  <c r="BT547" i="3"/>
  <c r="H548" i="3"/>
  <c r="AC548" i="3"/>
  <c r="BB548" i="3"/>
  <c r="BC548" i="3"/>
  <c r="BD548" i="3"/>
  <c r="BE548" i="3"/>
  <c r="BA548" i="3" s="1"/>
  <c r="BF548" i="3"/>
  <c r="BG548" i="3"/>
  <c r="BH548" i="3"/>
  <c r="BI548" i="3"/>
  <c r="BJ548" i="3"/>
  <c r="BK548" i="3"/>
  <c r="BM548" i="3"/>
  <c r="BN548" i="3"/>
  <c r="BO548" i="3"/>
  <c r="BP548" i="3"/>
  <c r="BQ548" i="3"/>
  <c r="BR548" i="3"/>
  <c r="BS548" i="3"/>
  <c r="BT548" i="3"/>
  <c r="H549" i="3"/>
  <c r="AC549" i="3"/>
  <c r="G549" i="3" s="1"/>
  <c r="BB549" i="3"/>
  <c r="BC549" i="3"/>
  <c r="BD549" i="3"/>
  <c r="BE549" i="3"/>
  <c r="BA549" i="3" s="1"/>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L551" i="3" s="1"/>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A566" i="3" s="1"/>
  <c r="BC566" i="3"/>
  <c r="BD566" i="3"/>
  <c r="BE566" i="3"/>
  <c r="BF566" i="3"/>
  <c r="BG566" i="3"/>
  <c r="BH566" i="3"/>
  <c r="BI566" i="3"/>
  <c r="BJ566" i="3"/>
  <c r="BK566" i="3"/>
  <c r="BM566" i="3"/>
  <c r="BN566" i="3"/>
  <c r="BO566" i="3"/>
  <c r="BL566" i="3" s="1"/>
  <c r="BP566" i="3"/>
  <c r="BQ566" i="3"/>
  <c r="BR566" i="3"/>
  <c r="BS566" i="3"/>
  <c r="BT566" i="3"/>
  <c r="H567" i="3"/>
  <c r="AC567" i="3"/>
  <c r="BB567" i="3"/>
  <c r="BA567" i="3" s="1"/>
  <c r="BC567" i="3"/>
  <c r="BD567" i="3"/>
  <c r="BE567" i="3"/>
  <c r="BF567" i="3"/>
  <c r="BG567" i="3"/>
  <c r="BH567" i="3"/>
  <c r="BI567" i="3"/>
  <c r="BJ567" i="3"/>
  <c r="BK567" i="3"/>
  <c r="BM567" i="3"/>
  <c r="BN567" i="3"/>
  <c r="BO567" i="3"/>
  <c r="BL567" i="3" s="1"/>
  <c r="BP567" i="3"/>
  <c r="BR567" i="3"/>
  <c r="BS567" i="3"/>
  <c r="BT567" i="3"/>
  <c r="H568" i="3"/>
  <c r="AC568" i="3"/>
  <c r="BB568" i="3"/>
  <c r="BC568" i="3"/>
  <c r="BA568" i="3" s="1"/>
  <c r="AZ568" i="3" s="1"/>
  <c r="BD568" i="3"/>
  <c r="BE568" i="3"/>
  <c r="BF568" i="3"/>
  <c r="BG568" i="3"/>
  <c r="BH568" i="3"/>
  <c r="BI568" i="3"/>
  <c r="BJ568" i="3"/>
  <c r="BK568" i="3"/>
  <c r="BM568" i="3"/>
  <c r="BN568" i="3"/>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L571" i="3" s="1"/>
  <c r="BR571" i="3"/>
  <c r="BS571" i="3"/>
  <c r="BT571" i="3"/>
  <c r="H572" i="3"/>
  <c r="G572" i="3" s="1"/>
  <c r="AC572" i="3"/>
  <c r="BB572" i="3"/>
  <c r="BC572" i="3"/>
  <c r="BD572" i="3"/>
  <c r="BA572" i="3" s="1"/>
  <c r="BE572" i="3"/>
  <c r="BF572" i="3"/>
  <c r="BG572" i="3"/>
  <c r="BH572" i="3"/>
  <c r="BI572" i="3"/>
  <c r="BJ572" i="3"/>
  <c r="BK572" i="3"/>
  <c r="BM572" i="3"/>
  <c r="BL572" i="3" s="1"/>
  <c r="BN572" i="3"/>
  <c r="BO572" i="3"/>
  <c r="BP572" i="3"/>
  <c r="BQ572" i="3"/>
  <c r="BR572" i="3"/>
  <c r="BS572" i="3"/>
  <c r="BT572" i="3"/>
  <c r="H573" i="3"/>
  <c r="G573" i="3" s="1"/>
  <c r="AC573" i="3"/>
  <c r="BB573" i="3"/>
  <c r="BC573" i="3"/>
  <c r="BD573" i="3"/>
  <c r="BA573" i="3" s="1"/>
  <c r="BE573" i="3"/>
  <c r="BF573" i="3"/>
  <c r="BG573" i="3"/>
  <c r="BH573" i="3"/>
  <c r="BI573" i="3"/>
  <c r="BJ573" i="3"/>
  <c r="BK573" i="3"/>
  <c r="BM573" i="3"/>
  <c r="BN573" i="3"/>
  <c r="BO573" i="3"/>
  <c r="BP573" i="3"/>
  <c r="BR573" i="3"/>
  <c r="BS573" i="3"/>
  <c r="BT573" i="3"/>
  <c r="H574" i="3"/>
  <c r="AC574" i="3"/>
  <c r="BB574" i="3"/>
  <c r="BC574" i="3"/>
  <c r="BD574" i="3"/>
  <c r="BE574" i="3"/>
  <c r="BA574" i="3" s="1"/>
  <c r="BF574" i="3"/>
  <c r="BG574" i="3"/>
  <c r="BH574" i="3"/>
  <c r="BI574" i="3"/>
  <c r="BJ574" i="3"/>
  <c r="BK574" i="3"/>
  <c r="BM574" i="3"/>
  <c r="BN574" i="3"/>
  <c r="BL574" i="3" s="1"/>
  <c r="BO574" i="3"/>
  <c r="BP574" i="3"/>
  <c r="BQ574" i="3"/>
  <c r="BR574" i="3"/>
  <c r="BS574" i="3"/>
  <c r="BT574" i="3"/>
  <c r="H575" i="3"/>
  <c r="AC575" i="3"/>
  <c r="G575" i="3" s="1"/>
  <c r="BB575" i="3"/>
  <c r="BC575" i="3"/>
  <c r="BD575" i="3"/>
  <c r="BE575" i="3"/>
  <c r="BA575" i="3" s="1"/>
  <c r="AZ575" i="3" s="1"/>
  <c r="BF575" i="3"/>
  <c r="BG575" i="3"/>
  <c r="BH575" i="3"/>
  <c r="BI575" i="3"/>
  <c r="BJ575" i="3"/>
  <c r="BK575" i="3"/>
  <c r="BM575" i="3"/>
  <c r="BN575" i="3"/>
  <c r="BO575" i="3"/>
  <c r="BP575" i="3"/>
  <c r="BR575" i="3"/>
  <c r="BS575" i="3"/>
  <c r="BT575" i="3"/>
  <c r="H576" i="3"/>
  <c r="AC576" i="3"/>
  <c r="BB576" i="3"/>
  <c r="BA576" i="3" s="1"/>
  <c r="BC576" i="3"/>
  <c r="BD576" i="3"/>
  <c r="BE576" i="3"/>
  <c r="BF576" i="3"/>
  <c r="BG576" i="3"/>
  <c r="BH576" i="3"/>
  <c r="BI576" i="3"/>
  <c r="BJ576" i="3"/>
  <c r="BK576" i="3"/>
  <c r="BM576" i="3"/>
  <c r="BN576" i="3"/>
  <c r="BO576" i="3"/>
  <c r="BL576" i="3" s="1"/>
  <c r="BP576" i="3"/>
  <c r="BQ576" i="3"/>
  <c r="BR576" i="3"/>
  <c r="BS576" i="3"/>
  <c r="BT576" i="3"/>
  <c r="H577" i="3"/>
  <c r="AC577" i="3"/>
  <c r="BB577" i="3"/>
  <c r="BA577" i="3" s="1"/>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L578" i="3" s="1"/>
  <c r="BQ578" i="3"/>
  <c r="BR578" i="3"/>
  <c r="BS578" i="3"/>
  <c r="BT578" i="3"/>
  <c r="H579" i="3"/>
  <c r="AC579" i="3"/>
  <c r="BB579" i="3"/>
  <c r="BC579" i="3"/>
  <c r="BD579" i="3"/>
  <c r="BE579" i="3"/>
  <c r="BF579" i="3"/>
  <c r="BG579" i="3"/>
  <c r="BH579" i="3"/>
  <c r="BI579" i="3"/>
  <c r="BJ579" i="3"/>
  <c r="BK579" i="3"/>
  <c r="BM579" i="3"/>
  <c r="BN579" i="3"/>
  <c r="BO579" i="3"/>
  <c r="BP579" i="3"/>
  <c r="BL579" i="3" s="1"/>
  <c r="BR579" i="3"/>
  <c r="BS579" i="3"/>
  <c r="BT579" i="3"/>
  <c r="H580" i="3"/>
  <c r="AC580" i="3"/>
  <c r="BB580" i="3"/>
  <c r="BC580" i="3"/>
  <c r="BD580" i="3"/>
  <c r="BA580" i="3" s="1"/>
  <c r="BE580" i="3"/>
  <c r="BF580" i="3"/>
  <c r="BG580" i="3"/>
  <c r="BH580" i="3"/>
  <c r="BI580" i="3"/>
  <c r="BJ580" i="3"/>
  <c r="BK580" i="3"/>
  <c r="BM580" i="3"/>
  <c r="BL580" i="3" s="1"/>
  <c r="BN580" i="3"/>
  <c r="BO580" i="3"/>
  <c r="BP580" i="3"/>
  <c r="BQ580" i="3"/>
  <c r="BR580" i="3"/>
  <c r="BS580" i="3"/>
  <c r="BT580" i="3"/>
  <c r="H581" i="3"/>
  <c r="G581" i="3" s="1"/>
  <c r="AC581" i="3"/>
  <c r="BB581" i="3"/>
  <c r="BC581" i="3"/>
  <c r="BD581" i="3"/>
  <c r="BA581" i="3" s="1"/>
  <c r="BE581" i="3"/>
  <c r="BF581" i="3"/>
  <c r="BG581" i="3"/>
  <c r="BH581" i="3"/>
  <c r="BI581" i="3"/>
  <c r="BJ581" i="3"/>
  <c r="BK581" i="3"/>
  <c r="BM581" i="3"/>
  <c r="BL581" i="3" s="1"/>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S42" i="34" s="1"/>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c r="D86" i="40"/>
  <c r="E86" i="40" s="1"/>
  <c r="F86" i="40" s="1"/>
  <c r="G86" i="40"/>
  <c r="D84" i="40"/>
  <c r="E84" i="40" s="1"/>
  <c r="F84" i="40" s="1"/>
  <c r="G84" i="40"/>
  <c r="B81" i="40"/>
  <c r="B79" i="40"/>
  <c r="J13" i="40" s="1"/>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F13" i="39" s="1"/>
  <c r="S13" i="39" s="1"/>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F24" i="36" s="1"/>
  <c r="B71" i="36"/>
  <c r="H23" i="36" s="1"/>
  <c r="AB23" i="36" s="1"/>
  <c r="D70" i="36"/>
  <c r="H22" i="36"/>
  <c r="AB22" i="36" s="1"/>
  <c r="D68" i="36"/>
  <c r="E68" i="36" s="1"/>
  <c r="F68" i="36"/>
  <c r="G68" i="36" s="1"/>
  <c r="D64" i="36"/>
  <c r="E64" i="36" s="1"/>
  <c r="F64" i="36" s="1"/>
  <c r="G64" i="36" s="1"/>
  <c r="J16" i="36"/>
  <c r="W16" i="36" s="1"/>
  <c r="D62" i="36"/>
  <c r="E62" i="36" s="1"/>
  <c r="F62" i="36"/>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s="1"/>
  <c r="H26" i="36"/>
  <c r="AB26" i="36" s="1"/>
  <c r="Q25" i="36"/>
  <c r="Z25" i="36" s="1"/>
  <c r="Q24" i="36"/>
  <c r="Z24" i="36"/>
  <c r="Q23" i="36"/>
  <c r="Z23" i="36" s="1"/>
  <c r="J23" i="36"/>
  <c r="AC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B88" i="33"/>
  <c r="J26" i="33" s="1"/>
  <c r="W26" i="33" s="1"/>
  <c r="C23" i="33"/>
  <c r="C19" i="33"/>
  <c r="C17" i="33"/>
  <c r="C15" i="33"/>
  <c r="C15" i="21"/>
  <c r="D125" i="33"/>
  <c r="D123" i="33"/>
  <c r="E123" i="33" s="1"/>
  <c r="D117" i="33"/>
  <c r="J39" i="33" s="1"/>
  <c r="AC39"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U28" i="33" s="1"/>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s="1"/>
  <c r="W41" i="33"/>
  <c r="Q41" i="33"/>
  <c r="Z41" i="33" s="1"/>
  <c r="Q40" i="33"/>
  <c r="Z40" i="33" s="1"/>
  <c r="J40" i="33"/>
  <c r="AC40" i="33" s="1"/>
  <c r="H40" i="33"/>
  <c r="AB40" i="33"/>
  <c r="AA40" i="33"/>
  <c r="Q39" i="33"/>
  <c r="Z39" i="33" s="1"/>
  <c r="Q38" i="33"/>
  <c r="Z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s="1"/>
  <c r="B96" i="21"/>
  <c r="B94" i="21"/>
  <c r="J29" i="21"/>
  <c r="AC29" i="21" s="1"/>
  <c r="B92" i="21"/>
  <c r="B90" i="21"/>
  <c r="J27" i="21"/>
  <c r="W27" i="21" s="1"/>
  <c r="B74" i="21"/>
  <c r="F14" i="21" s="1"/>
  <c r="S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A585" i="3" s="1"/>
  <c r="BD585" i="3"/>
  <c r="BE585" i="3"/>
  <c r="BF585" i="3"/>
  <c r="BG585" i="3"/>
  <c r="BH585" i="3"/>
  <c r="BI585" i="3"/>
  <c r="BJ585" i="3"/>
  <c r="BK585" i="3"/>
  <c r="BM585" i="3"/>
  <c r="BN585" i="3"/>
  <c r="BO585" i="3"/>
  <c r="BP585" i="3"/>
  <c r="BQ585" i="3"/>
  <c r="BR585" i="3"/>
  <c r="BS585" i="3"/>
  <c r="BT585" i="3"/>
  <c r="BB586" i="3"/>
  <c r="BC586" i="3"/>
  <c r="BD586" i="3"/>
  <c r="BE586" i="3"/>
  <c r="BA586" i="3" s="1"/>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AB39" i="21" s="1"/>
  <c r="J34" i="21"/>
  <c r="W34" i="21"/>
  <c r="H36" i="21"/>
  <c r="U36" i="21" s="1"/>
  <c r="F35" i="21"/>
  <c r="AA35" i="21"/>
  <c r="J10" i="21"/>
  <c r="AC10" i="21" s="1"/>
  <c r="H26" i="21"/>
  <c r="AB26" i="21" s="1"/>
  <c r="AB19" i="21"/>
  <c r="J19" i="21"/>
  <c r="W19" i="21"/>
  <c r="J26" i="21"/>
  <c r="W26" i="21" s="1"/>
  <c r="F26" i="21"/>
  <c r="S26" i="21" s="1"/>
  <c r="AB41" i="21"/>
  <c r="F45" i="39"/>
  <c r="S45" i="39" s="1"/>
  <c r="J45" i="39"/>
  <c r="W45" i="39" s="1"/>
  <c r="J44" i="39"/>
  <c r="AC44" i="39"/>
  <c r="F36" i="39"/>
  <c r="S36" i="39" s="1"/>
  <c r="H36" i="39"/>
  <c r="AB36" i="39"/>
  <c r="J35" i="39"/>
  <c r="AC35" i="39" s="1"/>
  <c r="F35" i="39"/>
  <c r="AA35" i="39" s="1"/>
  <c r="J36" i="39"/>
  <c r="AC36" i="39" s="1"/>
  <c r="W40" i="39"/>
  <c r="W25" i="37"/>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8" i="35"/>
  <c r="U31" i="35"/>
  <c r="W22" i="35"/>
  <c r="S31" i="35"/>
  <c r="U34" i="35"/>
  <c r="F36" i="34"/>
  <c r="J35" i="34"/>
  <c r="W9" i="34"/>
  <c r="U34" i="34"/>
  <c r="F26" i="33"/>
  <c r="AA26" i="33" s="1"/>
  <c r="S40" i="33"/>
  <c r="F11" i="40"/>
  <c r="AA11" i="40" s="1"/>
  <c r="H11" i="40"/>
  <c r="AB11" i="40"/>
  <c r="W8" i="40"/>
  <c r="AA9" i="40"/>
  <c r="U9" i="40"/>
  <c r="S34" i="40"/>
  <c r="U34" i="40"/>
  <c r="S38"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W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W17" i="39" s="1"/>
  <c r="J27" i="39"/>
  <c r="AC27" i="39"/>
  <c r="F27" i="39"/>
  <c r="F11" i="21"/>
  <c r="S11" i="21" s="1"/>
  <c r="S40" i="21"/>
  <c r="U34" i="21"/>
  <c r="C25" i="39"/>
  <c r="H11" i="39"/>
  <c r="AB11" i="39" s="1"/>
  <c r="C15" i="39"/>
  <c r="H32" i="33"/>
  <c r="AB32" i="33" s="1"/>
  <c r="H11" i="21"/>
  <c r="U11" i="21" s="1"/>
  <c r="J11" i="21"/>
  <c r="W11" i="21" s="1"/>
  <c r="H37" i="40"/>
  <c r="U37" i="40" s="1"/>
  <c r="H36" i="40"/>
  <c r="AB36" i="40" s="1"/>
  <c r="F35" i="40"/>
  <c r="AA35" i="40"/>
  <c r="H23" i="40"/>
  <c r="AB23" i="40" s="1"/>
  <c r="H17" i="40"/>
  <c r="U17" i="40"/>
  <c r="J15" i="40"/>
  <c r="W15" i="40" s="1"/>
  <c r="J11" i="40"/>
  <c r="W11" i="40"/>
  <c r="AB8" i="39"/>
  <c r="AC12" i="34"/>
  <c r="AB12" i="35"/>
  <c r="F37" i="39"/>
  <c r="AA37" i="39" s="1"/>
  <c r="J34" i="36"/>
  <c r="W34" i="36" s="1"/>
  <c r="U30" i="36"/>
  <c r="J30" i="35"/>
  <c r="W30" i="35" s="1"/>
  <c r="H30" i="35"/>
  <c r="AB30" i="35" s="1"/>
  <c r="F22" i="35"/>
  <c r="S22" i="35" s="1"/>
  <c r="H10" i="35"/>
  <c r="U10" i="35" s="1"/>
  <c r="F33" i="36"/>
  <c r="AA33" i="36"/>
  <c r="W30" i="36"/>
  <c r="H16" i="36"/>
  <c r="AB16" i="36" s="1"/>
  <c r="E85" i="36"/>
  <c r="F85" i="36" s="1"/>
  <c r="G85" i="36" s="1"/>
  <c r="H85" i="36" s="1"/>
  <c r="I85" i="36" s="1"/>
  <c r="J85" i="36" s="1"/>
  <c r="K85" i="36" s="1"/>
  <c r="L85" i="36" s="1"/>
  <c r="M85" i="36" s="1"/>
  <c r="J29" i="36"/>
  <c r="AC29" i="36" s="1"/>
  <c r="F12" i="36"/>
  <c r="S12" i="36" s="1"/>
  <c r="F34" i="36"/>
  <c r="S34" i="36" s="1"/>
  <c r="F14" i="35"/>
  <c r="S14" i="35" s="1"/>
  <c r="F23" i="35"/>
  <c r="AA23" i="35" s="1"/>
  <c r="J32" i="35"/>
  <c r="AC32" i="35" s="1"/>
  <c r="J16" i="35"/>
  <c r="W16" i="35" s="1"/>
  <c r="H16" i="35"/>
  <c r="U16" i="35" s="1"/>
  <c r="F16" i="35"/>
  <c r="AA16" i="35" s="1"/>
  <c r="H14" i="35"/>
  <c r="AB14" i="35" s="1"/>
  <c r="J29" i="35"/>
  <c r="AC29" i="35" s="1"/>
  <c r="H33" i="35"/>
  <c r="J20" i="35"/>
  <c r="W20" i="35" s="1"/>
  <c r="F35" i="37"/>
  <c r="S35" i="37" s="1"/>
  <c r="E101" i="37"/>
  <c r="F101" i="37"/>
  <c r="G101" i="37" s="1"/>
  <c r="H101" i="37" s="1"/>
  <c r="I101" i="37" s="1"/>
  <c r="J101" i="37" s="1"/>
  <c r="K101" i="37" s="1"/>
  <c r="L101" i="37" s="1"/>
  <c r="M101" i="37" s="1"/>
  <c r="J34" i="37"/>
  <c r="W34" i="37"/>
  <c r="AB34" i="37"/>
  <c r="J33" i="37"/>
  <c r="AC33" i="37" s="1"/>
  <c r="H40" i="34"/>
  <c r="U40" i="34" s="1"/>
  <c r="E114" i="34"/>
  <c r="H36" i="34"/>
  <c r="U36" i="34" s="1"/>
  <c r="F37" i="34"/>
  <c r="AA37" i="34" s="1"/>
  <c r="S35" i="34"/>
  <c r="F28" i="34"/>
  <c r="AA28" i="34" s="1"/>
  <c r="F25" i="34"/>
  <c r="S25" i="34" s="1"/>
  <c r="H23" i="34"/>
  <c r="U23" i="34" s="1"/>
  <c r="J23" i="34"/>
  <c r="AC23" i="34" s="1"/>
  <c r="F19" i="34"/>
  <c r="H17" i="34"/>
  <c r="U17" i="34" s="1"/>
  <c r="F15" i="34"/>
  <c r="AA15" i="34" s="1"/>
  <c r="J15" i="34"/>
  <c r="H15" i="34"/>
  <c r="AB15" i="34" s="1"/>
  <c r="W8" i="34"/>
  <c r="J28" i="34"/>
  <c r="W28" i="34" s="1"/>
  <c r="F41" i="33"/>
  <c r="AA41" i="33" s="1"/>
  <c r="E113" i="33"/>
  <c r="F32" i="33"/>
  <c r="AA32" i="33" s="1"/>
  <c r="J19" i="33"/>
  <c r="AC19" i="33" s="1"/>
  <c r="J15" i="33"/>
  <c r="AC15" i="33" s="1"/>
  <c r="F11" i="33"/>
  <c r="AA11" i="33" s="1"/>
  <c r="U40" i="33"/>
  <c r="F37" i="40"/>
  <c r="AA37" i="40" s="1"/>
  <c r="F36" i="40"/>
  <c r="AA36" i="40" s="1"/>
  <c r="H28" i="40"/>
  <c r="AB28" i="40" s="1"/>
  <c r="F23" i="40"/>
  <c r="AA23" i="40" s="1"/>
  <c r="F17" i="40"/>
  <c r="AA17" i="40" s="1"/>
  <c r="J17" i="40"/>
  <c r="W17" i="40"/>
  <c r="F15" i="40"/>
  <c r="S15" i="40" s="1"/>
  <c r="H15" i="40"/>
  <c r="AB15" i="40" s="1"/>
  <c r="AC11" i="40"/>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S17" i="34" s="1"/>
  <c r="J17" i="34"/>
  <c r="W17" i="34" s="1"/>
  <c r="S41" i="33"/>
  <c r="F113" i="33"/>
  <c r="G113" i="33"/>
  <c r="H113" i="33" s="1"/>
  <c r="I113" i="33" s="1"/>
  <c r="J113" i="33" s="1"/>
  <c r="K113" i="33" s="1"/>
  <c r="L113" i="33" s="1"/>
  <c r="M113" i="33" s="1"/>
  <c r="H37" i="33"/>
  <c r="AB37" i="33" s="1"/>
  <c r="H11" i="33"/>
  <c r="AB11" i="33" s="1"/>
  <c r="F28" i="40"/>
  <c r="AA28" i="40"/>
  <c r="AA42" i="34"/>
  <c r="AC38" i="34"/>
  <c r="J37" i="34"/>
  <c r="AC37" i="34" s="1"/>
  <c r="J11" i="33"/>
  <c r="W11" i="33" s="1"/>
  <c r="I123" i="21"/>
  <c r="J123" i="21" s="1"/>
  <c r="K123" i="21" s="1"/>
  <c r="L123" i="21" s="1"/>
  <c r="M123" i="21"/>
  <c r="J42" i="21"/>
  <c r="AC42" i="21"/>
  <c r="H42" i="21"/>
  <c r="U42" i="21"/>
  <c r="J44" i="34"/>
  <c r="F44" i="34"/>
  <c r="AA44" i="34" s="1"/>
  <c r="J10" i="35"/>
  <c r="AC10" i="35" s="1"/>
  <c r="H14" i="21"/>
  <c r="U14" i="21" s="1"/>
  <c r="H28" i="21"/>
  <c r="AB28" i="21" s="1"/>
  <c r="F28" i="21"/>
  <c r="AA28" i="21"/>
  <c r="J28" i="21"/>
  <c r="W28" i="21" s="1"/>
  <c r="H30" i="21"/>
  <c r="U30" i="21" s="1"/>
  <c r="F30" i="21"/>
  <c r="S30" i="21" s="1"/>
  <c r="J30" i="21"/>
  <c r="AC30" i="21"/>
  <c r="J44" i="21"/>
  <c r="AC44" i="21" s="1"/>
  <c r="H44" i="21"/>
  <c r="AB44" i="21" s="1"/>
  <c r="F44" i="21"/>
  <c r="AA44" i="21" s="1"/>
  <c r="H46" i="21"/>
  <c r="U46" i="21"/>
  <c r="J46" i="21"/>
  <c r="F46" i="21"/>
  <c r="AA46" i="21" s="1"/>
  <c r="E119" i="21"/>
  <c r="F119" i="21" s="1"/>
  <c r="G119" i="21" s="1"/>
  <c r="H119" i="21" s="1"/>
  <c r="I119" i="21" s="1"/>
  <c r="J119" i="21" s="1"/>
  <c r="K119" i="21" s="1"/>
  <c r="L119" i="21" s="1"/>
  <c r="M119" i="21" s="1"/>
  <c r="F28" i="33"/>
  <c r="AA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S27" i="33" s="1"/>
  <c r="J13" i="33"/>
  <c r="H13" i="33"/>
  <c r="U13" i="33" s="1"/>
  <c r="F13" i="33"/>
  <c r="AA13" i="33" s="1"/>
  <c r="J29" i="33"/>
  <c r="H29" i="33"/>
  <c r="U29" i="33" s="1"/>
  <c r="F29" i="33"/>
  <c r="S29" i="33" s="1"/>
  <c r="J31" i="33"/>
  <c r="W31" i="33" s="1"/>
  <c r="H31" i="33"/>
  <c r="F31" i="33"/>
  <c r="H45" i="33"/>
  <c r="U45" i="33" s="1"/>
  <c r="J45" i="33"/>
  <c r="W45" i="33" s="1"/>
  <c r="F45" i="33"/>
  <c r="AA45" i="33"/>
  <c r="J14" i="34"/>
  <c r="W14" i="34" s="1"/>
  <c r="F14" i="34"/>
  <c r="S14" i="34" s="1"/>
  <c r="H14" i="34"/>
  <c r="AB14" i="34" s="1"/>
  <c r="H30" i="34"/>
  <c r="F30" i="34"/>
  <c r="AA30" i="34" s="1"/>
  <c r="J30" i="34"/>
  <c r="H32" i="34"/>
  <c r="F32" i="34"/>
  <c r="S32" i="34" s="1"/>
  <c r="J32" i="34"/>
  <c r="W32" i="34" s="1"/>
  <c r="H46" i="34"/>
  <c r="U46" i="34" s="1"/>
  <c r="F46" i="34"/>
  <c r="S46" i="34" s="1"/>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W40" i="37" s="1"/>
  <c r="AC40" i="37"/>
  <c r="F40" i="37"/>
  <c r="AA40" i="37" s="1"/>
  <c r="AC12" i="40"/>
  <c r="W12" i="40"/>
  <c r="H14" i="33"/>
  <c r="U14" i="33" s="1"/>
  <c r="F14" i="33"/>
  <c r="S14" i="33"/>
  <c r="J14" i="33"/>
  <c r="H30" i="33"/>
  <c r="AB30" i="33" s="1"/>
  <c r="F30" i="33"/>
  <c r="AA30" i="33" s="1"/>
  <c r="J30" i="33"/>
  <c r="H44" i="33"/>
  <c r="U44" i="33" s="1"/>
  <c r="J44" i="33"/>
  <c r="AC44" i="33"/>
  <c r="F44" i="33"/>
  <c r="S44" i="33" s="1"/>
  <c r="J46" i="33"/>
  <c r="AC46" i="33" s="1"/>
  <c r="F46" i="33"/>
  <c r="AA46" i="33" s="1"/>
  <c r="H46" i="33"/>
  <c r="AB46" i="33"/>
  <c r="H13" i="34"/>
  <c r="U13" i="34" s="1"/>
  <c r="J13" i="34"/>
  <c r="AC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U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U14" i="39" s="1"/>
  <c r="F12" i="40"/>
  <c r="S12" i="40" s="1"/>
  <c r="H12" i="40"/>
  <c r="AB12" i="40" s="1"/>
  <c r="H30" i="40"/>
  <c r="AB30" i="40" s="1"/>
  <c r="F33" i="40"/>
  <c r="AA33" i="40" s="1"/>
  <c r="H33" i="40"/>
  <c r="U33" i="40" s="1"/>
  <c r="J35" i="40"/>
  <c r="W35" i="40" s="1"/>
  <c r="J37" i="40"/>
  <c r="AC37" i="40" s="1"/>
  <c r="H13" i="40"/>
  <c r="U13" i="40" s="1"/>
  <c r="F13" i="40"/>
  <c r="S13" i="40" s="1"/>
  <c r="F14" i="37"/>
  <c r="S14" i="37" s="1"/>
  <c r="F27" i="37"/>
  <c r="S27" i="37" s="1"/>
  <c r="H13" i="39"/>
  <c r="U13" i="39" s="1"/>
  <c r="H14" i="40"/>
  <c r="AB14" i="40"/>
  <c r="J14" i="40"/>
  <c r="W14" i="40" s="1"/>
  <c r="F14" i="40"/>
  <c r="AA14" i="40" s="1"/>
  <c r="J14" i="37"/>
  <c r="J27" i="37"/>
  <c r="AC27" i="37"/>
  <c r="AA44" i="33"/>
  <c r="U46" i="33"/>
  <c r="AA14" i="33"/>
  <c r="J36" i="37"/>
  <c r="AC36" i="37" s="1"/>
  <c r="J10" i="36"/>
  <c r="AC10" i="36" s="1"/>
  <c r="AB30" i="21"/>
  <c r="W31" i="34"/>
  <c r="AB46" i="34"/>
  <c r="S45" i="33"/>
  <c r="AC28" i="21"/>
  <c r="F17" i="21"/>
  <c r="AA17" i="21" s="1"/>
  <c r="H17" i="21"/>
  <c r="AB17" i="21" s="1"/>
  <c r="F15" i="21"/>
  <c r="S15" i="21" s="1"/>
  <c r="J41" i="39"/>
  <c r="W41" i="39" s="1"/>
  <c r="W44" i="39"/>
  <c r="U36" i="39"/>
  <c r="S35" i="39"/>
  <c r="G544" i="3"/>
  <c r="G540" i="3"/>
  <c r="G536" i="3"/>
  <c r="G535" i="3"/>
  <c r="G531" i="3"/>
  <c r="G528" i="3"/>
  <c r="G527" i="3"/>
  <c r="G518" i="3"/>
  <c r="G514" i="3"/>
  <c r="G510" i="3"/>
  <c r="G508" i="3"/>
  <c r="G504" i="3"/>
  <c r="G500" i="3"/>
  <c r="G496" i="3"/>
  <c r="G584" i="3"/>
  <c r="G580" i="3"/>
  <c r="G576" i="3"/>
  <c r="G568" i="3"/>
  <c r="G564" i="3"/>
  <c r="G560" i="3"/>
  <c r="G554" i="3"/>
  <c r="G550" i="3"/>
  <c r="BL584" i="3"/>
  <c r="BL568" i="3"/>
  <c r="BL564" i="3"/>
  <c r="BL560" i="3"/>
  <c r="BL554" i="3"/>
  <c r="BL546" i="3"/>
  <c r="BL530" i="3"/>
  <c r="BL522" i="3"/>
  <c r="BL512" i="3"/>
  <c r="BL502" i="3"/>
  <c r="BL494" i="3"/>
  <c r="BL582" i="3"/>
  <c r="BL570" i="3"/>
  <c r="BL562" i="3"/>
  <c r="BL556" i="3"/>
  <c r="BL552" i="3"/>
  <c r="G533" i="3"/>
  <c r="G529" i="3"/>
  <c r="G525" i="3"/>
  <c r="BL518" i="3"/>
  <c r="BL510" i="3"/>
  <c r="BL500" i="3"/>
  <c r="G493" i="3"/>
  <c r="BA584" i="3"/>
  <c r="AZ584" i="3" s="1"/>
  <c r="BA582" i="3"/>
  <c r="AZ582" i="3" s="1"/>
  <c r="BA578" i="3"/>
  <c r="BA570" i="3"/>
  <c r="AZ570" i="3" s="1"/>
  <c r="BA564" i="3"/>
  <c r="BA562" i="3"/>
  <c r="BA560" i="3"/>
  <c r="BA558" i="3"/>
  <c r="AZ558" i="3" s="1"/>
  <c r="BA556" i="3"/>
  <c r="AZ556" i="3" s="1"/>
  <c r="BA554" i="3"/>
  <c r="AZ554" i="3" s="1"/>
  <c r="BA552" i="3"/>
  <c r="AZ552" i="3" s="1"/>
  <c r="BA544" i="3"/>
  <c r="AZ544" i="3" s="1"/>
  <c r="BA540" i="3"/>
  <c r="BA528" i="3"/>
  <c r="BA524" i="3"/>
  <c r="BA520" i="3"/>
  <c r="AZ520" i="3" s="1"/>
  <c r="BA516" i="3"/>
  <c r="BA512" i="3"/>
  <c r="AZ512" i="3" s="1"/>
  <c r="BA510" i="3"/>
  <c r="AZ510" i="3" s="1"/>
  <c r="BA508" i="3"/>
  <c r="AZ508" i="3" s="1"/>
  <c r="BA504" i="3"/>
  <c r="AZ504" i="3" s="1"/>
  <c r="BA502" i="3"/>
  <c r="BA498" i="3"/>
  <c r="AZ498" i="3" s="1"/>
  <c r="BA496" i="3"/>
  <c r="AZ496" i="3" s="1"/>
  <c r="BA587" i="3"/>
  <c r="BA583" i="3"/>
  <c r="BA579" i="3"/>
  <c r="BA571" i="3"/>
  <c r="BA565" i="3"/>
  <c r="BA563" i="3"/>
  <c r="BA561" i="3"/>
  <c r="BA559" i="3"/>
  <c r="BA555" i="3"/>
  <c r="BA553" i="3"/>
  <c r="BA543" i="3"/>
  <c r="BA535" i="3"/>
  <c r="BA531" i="3"/>
  <c r="BA527" i="3"/>
  <c r="AZ527" i="3" s="1"/>
  <c r="BA523" i="3"/>
  <c r="BA517" i="3"/>
  <c r="BA513" i="3"/>
  <c r="BA507" i="3"/>
  <c r="BA503" i="3"/>
  <c r="AZ503" i="3" s="1"/>
  <c r="BA499" i="3"/>
  <c r="AZ499" i="3" s="1"/>
  <c r="BA495" i="3"/>
  <c r="AZ560" i="3"/>
  <c r="G583" i="3"/>
  <c r="G579" i="3"/>
  <c r="G577" i="3"/>
  <c r="G571" i="3"/>
  <c r="G569" i="3"/>
  <c r="G567" i="3"/>
  <c r="G565" i="3"/>
  <c r="G563" i="3"/>
  <c r="G561" i="3"/>
  <c r="BL558" i="3"/>
  <c r="BA557" i="3"/>
  <c r="AC557" i="3"/>
  <c r="G557" i="3" s="1"/>
  <c r="BQ557" i="3"/>
  <c r="BL557" i="3" s="1"/>
  <c r="BQ583" i="3"/>
  <c r="BL583" i="3" s="1"/>
  <c r="BQ581" i="3"/>
  <c r="BQ579" i="3"/>
  <c r="BQ577" i="3"/>
  <c r="BQ575" i="3"/>
  <c r="BL575" i="3"/>
  <c r="BQ573" i="3"/>
  <c r="BQ571" i="3"/>
  <c r="BQ569" i="3"/>
  <c r="BL569" i="3" s="1"/>
  <c r="BQ567" i="3"/>
  <c r="BQ565" i="3"/>
  <c r="BL565" i="3" s="1"/>
  <c r="AZ565" i="3"/>
  <c r="BQ563" i="3"/>
  <c r="BL563" i="3"/>
  <c r="BQ561" i="3"/>
  <c r="BL561" i="3"/>
  <c r="AZ561" i="3" s="1"/>
  <c r="BQ559" i="3"/>
  <c r="BL559" i="3" s="1"/>
  <c r="AZ559" i="3"/>
  <c r="G559" i="3"/>
  <c r="G555" i="3"/>
  <c r="G553" i="3"/>
  <c r="G545" i="3"/>
  <c r="G543" i="3"/>
  <c r="G537" i="3"/>
  <c r="BQ555" i="3"/>
  <c r="BL555" i="3"/>
  <c r="BQ553" i="3"/>
  <c r="BL553" i="3" s="1"/>
  <c r="AZ553" i="3"/>
  <c r="BQ551" i="3"/>
  <c r="BQ549" i="3"/>
  <c r="BQ547" i="3"/>
  <c r="BL547" i="3" s="1"/>
  <c r="BQ545" i="3"/>
  <c r="BQ543" i="3"/>
  <c r="BQ541" i="3"/>
  <c r="BQ539" i="3"/>
  <c r="BQ537" i="3"/>
  <c r="BQ535" i="3"/>
  <c r="BL535" i="3" s="1"/>
  <c r="BQ533" i="3"/>
  <c r="BL533" i="3"/>
  <c r="BQ531" i="3"/>
  <c r="BQ529" i="3"/>
  <c r="BQ527" i="3"/>
  <c r="BL527" i="3" s="1"/>
  <c r="BQ525" i="3"/>
  <c r="BQ523" i="3"/>
  <c r="BL523" i="3" s="1"/>
  <c r="AZ523" i="3" s="1"/>
  <c r="AC521" i="3"/>
  <c r="G521" i="3" s="1"/>
  <c r="BQ521" i="3"/>
  <c r="BL520" i="3"/>
  <c r="G519" i="3"/>
  <c r="G515" i="3"/>
  <c r="G513" i="3"/>
  <c r="G511" i="3"/>
  <c r="BQ519" i="3"/>
  <c r="BQ517" i="3"/>
  <c r="BQ515" i="3"/>
  <c r="BL515" i="3" s="1"/>
  <c r="BQ513" i="3"/>
  <c r="BL513" i="3"/>
  <c r="BQ511" i="3"/>
  <c r="BA509" i="3"/>
  <c r="AC509" i="3"/>
  <c r="BQ509" i="3"/>
  <c r="BL508" i="3"/>
  <c r="G507" i="3"/>
  <c r="G503" i="3"/>
  <c r="G501" i="3"/>
  <c r="G499" i="3"/>
  <c r="G495" i="3"/>
  <c r="BQ507" i="3"/>
  <c r="BQ505" i="3"/>
  <c r="BQ503" i="3"/>
  <c r="BL503" i="3" s="1"/>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AA36" i="39"/>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S37" i="37" s="1"/>
  <c r="F31" i="40"/>
  <c r="AA31" i="40" s="1"/>
  <c r="H31" i="40"/>
  <c r="U31" i="40" s="1"/>
  <c r="H32" i="40"/>
  <c r="AB32" i="40" s="1"/>
  <c r="J36" i="40"/>
  <c r="W36" i="40" s="1"/>
  <c r="H19" i="37"/>
  <c r="AB19" i="37" s="1"/>
  <c r="J43" i="33"/>
  <c r="AC43" i="33" s="1"/>
  <c r="S28" i="31"/>
  <c r="S27" i="31"/>
  <c r="S26" i="31"/>
  <c r="U14" i="40"/>
  <c r="W23" i="35"/>
  <c r="U26" i="37"/>
  <c r="W47" i="34"/>
  <c r="AC36" i="34"/>
  <c r="AC45" i="33"/>
  <c r="W44" i="33"/>
  <c r="U19" i="21"/>
  <c r="W44" i="21"/>
  <c r="AB38" i="21"/>
  <c r="F43" i="33"/>
  <c r="AA43" i="33" s="1"/>
  <c r="W15" i="34"/>
  <c r="AC15" i="34"/>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5" i="3"/>
  <c r="H19" i="40"/>
  <c r="U19" i="40" s="1"/>
  <c r="F88" i="40"/>
  <c r="G88" i="40" s="1"/>
  <c r="F19" i="40"/>
  <c r="S19" i="40" s="1"/>
  <c r="S14" i="40"/>
  <c r="W23" i="39"/>
  <c r="AC43" i="39"/>
  <c r="W43" i="39"/>
  <c r="U45" i="39"/>
  <c r="AB45" i="39"/>
  <c r="AB44" i="39"/>
  <c r="U44" i="39"/>
  <c r="G100" i="39"/>
  <c r="H37" i="39"/>
  <c r="AB37" i="39" s="1"/>
  <c r="AC37" i="39"/>
  <c r="W37" i="39"/>
  <c r="H25" i="39"/>
  <c r="U25" i="39" s="1"/>
  <c r="J25" i="39"/>
  <c r="F25" i="39"/>
  <c r="AA25" i="39" s="1"/>
  <c r="F15" i="39"/>
  <c r="AA15" i="39" s="1"/>
  <c r="H15" i="39"/>
  <c r="U15" i="39" s="1"/>
  <c r="J15" i="39"/>
  <c r="W15" i="39" s="1"/>
  <c r="H41" i="39"/>
  <c r="AB41" i="39" s="1"/>
  <c r="W27" i="39"/>
  <c r="AB34" i="39"/>
  <c r="S42" i="39"/>
  <c r="AA41" i="39"/>
  <c r="W9" i="39"/>
  <c r="J19" i="40"/>
  <c r="AC19" i="40" s="1"/>
  <c r="J50" i="40"/>
  <c r="H103" i="9"/>
  <c r="D8" i="53" s="1"/>
  <c r="B16" i="53"/>
  <c r="B33" i="72" s="1"/>
  <c r="A4" i="52"/>
  <c r="B41" i="72" s="1"/>
  <c r="J11" i="39"/>
  <c r="W11" i="39" s="1"/>
  <c r="F11" i="39"/>
  <c r="S11" i="39" s="1"/>
  <c r="AA11" i="39"/>
  <c r="G4" i="4"/>
  <c r="I4" i="4"/>
  <c r="F61" i="43"/>
  <c r="H64" i="43" s="1"/>
  <c r="BL549" i="3"/>
  <c r="G546" i="3"/>
  <c r="G524" i="3"/>
  <c r="G303" i="3"/>
  <c r="BL304" i="3"/>
  <c r="G305" i="3"/>
  <c r="BL306" i="3"/>
  <c r="BA308" i="3"/>
  <c r="AZ308" i="3" s="1"/>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AZ115" i="3" s="1"/>
  <c r="BL116" i="3"/>
  <c r="G117" i="3"/>
  <c r="BA119" i="3"/>
  <c r="BL120" i="3"/>
  <c r="G121" i="3"/>
  <c r="BA123" i="3"/>
  <c r="BL124" i="3"/>
  <c r="G125" i="3"/>
  <c r="BA127" i="3"/>
  <c r="AZ127" i="3"/>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AZ155" i="3" s="1"/>
  <c r="BL156" i="3"/>
  <c r="AZ156" i="3" s="1"/>
  <c r="G157" i="3"/>
  <c r="BA159" i="3"/>
  <c r="BL160" i="3"/>
  <c r="G161" i="3"/>
  <c r="BA163" i="3"/>
  <c r="AZ163" i="3"/>
  <c r="BL164" i="3"/>
  <c r="G165" i="3"/>
  <c r="BA167" i="3"/>
  <c r="AZ167" i="3"/>
  <c r="BL168" i="3"/>
  <c r="G169" i="3"/>
  <c r="BA171" i="3"/>
  <c r="AZ171" i="3"/>
  <c r="BL172" i="3"/>
  <c r="G173" i="3"/>
  <c r="BA175" i="3"/>
  <c r="AZ175" i="3"/>
  <c r="BL176" i="3"/>
  <c r="G177" i="3"/>
  <c r="BA179" i="3"/>
  <c r="BL180" i="3"/>
  <c r="AZ180" i="3" s="1"/>
  <c r="G181" i="3"/>
  <c r="BA183" i="3"/>
  <c r="BL184" i="3"/>
  <c r="G185" i="3"/>
  <c r="BA187" i="3"/>
  <c r="BL188" i="3"/>
  <c r="AZ188" i="3" s="1"/>
  <c r="G189" i="3"/>
  <c r="BA191" i="3"/>
  <c r="AZ191" i="3" s="1"/>
  <c r="BL192" i="3"/>
  <c r="G193" i="3"/>
  <c r="BA195" i="3"/>
  <c r="AZ195" i="3" s="1"/>
  <c r="BL196" i="3"/>
  <c r="AZ196" i="3" s="1"/>
  <c r="G197" i="3"/>
  <c r="BA199" i="3"/>
  <c r="BL200" i="3"/>
  <c r="G201" i="3"/>
  <c r="BA203" i="3"/>
  <c r="BL204" i="3"/>
  <c r="AZ47" i="3"/>
  <c r="AZ67" i="3"/>
  <c r="AZ144" i="3"/>
  <c r="AZ168" i="3"/>
  <c r="AZ120" i="3"/>
  <c r="G534" i="3"/>
  <c r="G530" i="3"/>
  <c r="G522" i="3"/>
  <c r="G512" i="3"/>
  <c r="G506" i="3"/>
  <c r="G498"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AZ344" i="3" s="1"/>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BA16" i="3"/>
  <c r="AZ16" i="3" s="1"/>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s="1"/>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AZ349" i="3" s="1"/>
  <c r="BL352" i="3"/>
  <c r="G353" i="3"/>
  <c r="BA357" i="3"/>
  <c r="BL358" i="3"/>
  <c r="AZ358" i="3" s="1"/>
  <c r="G359" i="3"/>
  <c r="BA361" i="3"/>
  <c r="BL362" i="3"/>
  <c r="G363" i="3"/>
  <c r="BA365" i="3"/>
  <c r="AZ365" i="3" s="1"/>
  <c r="BL366" i="3"/>
  <c r="G367" i="3"/>
  <c r="BA369" i="3"/>
  <c r="AZ369" i="3" s="1"/>
  <c r="BL370" i="3"/>
  <c r="G371" i="3"/>
  <c r="BA373" i="3"/>
  <c r="AZ373" i="3" s="1"/>
  <c r="BL374" i="3"/>
  <c r="AZ374" i="3" s="1"/>
  <c r="G375" i="3"/>
  <c r="BA377" i="3"/>
  <c r="AZ229" i="3"/>
  <c r="AZ233" i="3"/>
  <c r="AZ249" i="3"/>
  <c r="BA379" i="3"/>
  <c r="AZ379" i="3" s="1"/>
  <c r="BL380" i="3"/>
  <c r="G381" i="3"/>
  <c r="BA383" i="3"/>
  <c r="AZ383" i="3" s="1"/>
  <c r="BL384" i="3"/>
  <c r="G385" i="3"/>
  <c r="BA387" i="3"/>
  <c r="BL388" i="3"/>
  <c r="G389" i="3"/>
  <c r="BA391" i="3"/>
  <c r="AZ391" i="3" s="1"/>
  <c r="BL392" i="3"/>
  <c r="G393" i="3"/>
  <c r="AZ275" i="3"/>
  <c r="BO5" i="3"/>
  <c r="BM5" i="3"/>
  <c r="BH5" i="3"/>
  <c r="BF5" i="3"/>
  <c r="BD5" i="3"/>
  <c r="AZ341" i="3"/>
  <c r="AC5" i="3"/>
  <c r="G548" i="3"/>
  <c r="G538" i="3"/>
  <c r="G520" i="3"/>
  <c r="BS5" i="3"/>
  <c r="BP5" i="3"/>
  <c r="BN5" i="3"/>
  <c r="G29" i="6" s="1"/>
  <c r="BI5" i="3"/>
  <c r="BG5" i="3"/>
  <c r="BE5" i="3"/>
  <c r="G17" i="3"/>
  <c r="BA17" i="3"/>
  <c r="BT5" i="3"/>
  <c r="AZ356" i="3"/>
  <c r="AZ368" i="3"/>
  <c r="BA15" i="3"/>
  <c r="BR5" i="3"/>
  <c r="AZ380" i="3"/>
  <c r="AZ392" i="3"/>
  <c r="AZ509" i="3"/>
  <c r="G509" i="3"/>
  <c r="BL493" i="3"/>
  <c r="AZ493" i="3"/>
  <c r="U36" i="40"/>
  <c r="F83" i="43"/>
  <c r="H85" i="43" s="1"/>
  <c r="F50" i="43"/>
  <c r="H54" i="43" s="1"/>
  <c r="F72" i="43"/>
  <c r="H75" i="43" s="1"/>
  <c r="U17" i="39"/>
  <c r="U43" i="21"/>
  <c r="U35" i="21"/>
  <c r="AC35" i="21"/>
  <c r="G10" i="1"/>
  <c r="AC11" i="39"/>
  <c r="AZ563" i="3"/>
  <c r="W37" i="37"/>
  <c r="W44" i="34"/>
  <c r="AC44" i="34"/>
  <c r="U13" i="37"/>
  <c r="U12" i="40"/>
  <c r="AA12" i="40"/>
  <c r="J37" i="33"/>
  <c r="W37" i="33" s="1"/>
  <c r="AC17" i="34"/>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H35" i="37"/>
  <c r="AC14" i="35"/>
  <c r="H20" i="35"/>
  <c r="U20" i="35" s="1"/>
  <c r="F20" i="35"/>
  <c r="AA20" i="35" s="1"/>
  <c r="AB23" i="35"/>
  <c r="AB29" i="36"/>
  <c r="U29" i="36"/>
  <c r="H32" i="37"/>
  <c r="AB32" i="37" s="1"/>
  <c r="F96" i="37"/>
  <c r="H27" i="40"/>
  <c r="U27" i="40"/>
  <c r="J27" i="40"/>
  <c r="AC27" i="40" s="1"/>
  <c r="F27" i="40"/>
  <c r="S27" i="40"/>
  <c r="J30" i="40"/>
  <c r="F30" i="40"/>
  <c r="AA30" i="40"/>
  <c r="AC21" i="40"/>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H44" i="34"/>
  <c r="U44" i="34" s="1"/>
  <c r="AC38" i="39"/>
  <c r="F39" i="39"/>
  <c r="S39" i="39" s="1"/>
  <c r="J39" i="39"/>
  <c r="AC39" i="39" s="1"/>
  <c r="E96" i="39"/>
  <c r="F96" i="39" s="1"/>
  <c r="G96" i="39" s="1"/>
  <c r="AZ353" i="3"/>
  <c r="C40" i="11"/>
  <c r="AZ227" i="3"/>
  <c r="AZ235" i="3"/>
  <c r="AZ251" i="3"/>
  <c r="AZ82" i="3"/>
  <c r="AZ94" i="3"/>
  <c r="F23" i="39"/>
  <c r="S23" i="39" s="1"/>
  <c r="AA23" i="39"/>
  <c r="H27" i="36"/>
  <c r="U27" i="36" s="1"/>
  <c r="F27" i="36"/>
  <c r="AA27" i="36" s="1"/>
  <c r="H33" i="34"/>
  <c r="AB33" i="34" s="1"/>
  <c r="F32" i="37"/>
  <c r="AA32" i="37" s="1"/>
  <c r="G96" i="37"/>
  <c r="H96" i="37" s="1"/>
  <c r="I96" i="37" s="1"/>
  <c r="J96" i="37" s="1"/>
  <c r="K96" i="37" s="1"/>
  <c r="L96" i="37" s="1"/>
  <c r="M96" i="37" s="1"/>
  <c r="F20" i="36"/>
  <c r="AA20" i="36" s="1"/>
  <c r="J33" i="34"/>
  <c r="AC33" i="34" s="1"/>
  <c r="H23" i="39"/>
  <c r="U23" i="39" s="1"/>
  <c r="D48" i="9"/>
  <c r="M52" i="9" s="1"/>
  <c r="K9" i="1"/>
  <c r="M9" i="1" s="1"/>
  <c r="D93" i="9"/>
  <c r="W27" i="34"/>
  <c r="AC27" i="34"/>
  <c r="AB34" i="36"/>
  <c r="U34" i="36"/>
  <c r="AB33" i="36"/>
  <c r="U33" i="36"/>
  <c r="AC12" i="39"/>
  <c r="W12" i="39"/>
  <c r="AC39" i="40"/>
  <c r="W39" i="40"/>
  <c r="AZ465" i="3"/>
  <c r="AA32" i="36"/>
  <c r="S32" i="36"/>
  <c r="BL14" i="3"/>
  <c r="U30" i="33"/>
  <c r="W28" i="37"/>
  <c r="S19" i="39"/>
  <c r="F12" i="33"/>
  <c r="AA12" i="33" s="1"/>
  <c r="H12" i="39"/>
  <c r="AB12" i="39"/>
  <c r="F39" i="40"/>
  <c r="BA14" i="3"/>
  <c r="B12" i="1"/>
  <c r="E12" i="1" s="1"/>
  <c r="B10" i="1"/>
  <c r="E10" i="1" s="1"/>
  <c r="K12" i="1"/>
  <c r="M12" i="1" s="1"/>
  <c r="S13" i="1"/>
  <c r="AR13" i="1" s="1"/>
  <c r="R13" i="1"/>
  <c r="J51" i="67"/>
  <c r="B41" i="1"/>
  <c r="F48" i="9" s="1"/>
  <c r="O52" i="9" s="1"/>
  <c r="AB37" i="40"/>
  <c r="S35" i="40"/>
  <c r="U35" i="40"/>
  <c r="AC36" i="40"/>
  <c r="W38" i="40"/>
  <c r="S17" i="40"/>
  <c r="S23" i="40"/>
  <c r="AC17" i="40"/>
  <c r="AC15" i="40"/>
  <c r="AB27" i="40"/>
  <c r="S30" i="40"/>
  <c r="S28" i="40"/>
  <c r="AA27" i="40"/>
  <c r="U21" i="40"/>
  <c r="U37" i="39"/>
  <c r="S43" i="39"/>
  <c r="S37" i="39"/>
  <c r="U35" i="39"/>
  <c r="F32" i="39"/>
  <c r="F106" i="39"/>
  <c r="G106" i="39" s="1"/>
  <c r="H106" i="39" s="1"/>
  <c r="I106" i="39" s="1"/>
  <c r="J106" i="39" s="1"/>
  <c r="K106" i="39" s="1"/>
  <c r="L106" i="39" s="1"/>
  <c r="M106" i="39" s="1"/>
  <c r="AB27" i="39"/>
  <c r="U31" i="39"/>
  <c r="J21" i="39"/>
  <c r="W21" i="39" s="1"/>
  <c r="F21" i="39"/>
  <c r="G94" i="39"/>
  <c r="H21" i="39"/>
  <c r="W19" i="39"/>
  <c r="U19" i="39"/>
  <c r="S17" i="39"/>
  <c r="S15" i="39"/>
  <c r="AA12" i="39"/>
  <c r="S9" i="39"/>
  <c r="U12" i="39"/>
  <c r="U26" i="36"/>
  <c r="S33" i="36"/>
  <c r="AA26" i="36"/>
  <c r="AA34" i="36"/>
  <c r="AC26" i="36"/>
  <c r="AA22" i="36"/>
  <c r="W14" i="36"/>
  <c r="U22" i="36"/>
  <c r="S16" i="36"/>
  <c r="U23" i="36"/>
  <c r="AB20" i="36"/>
  <c r="U16" i="36"/>
  <c r="S14" i="36"/>
  <c r="AA25" i="35"/>
  <c r="S23" i="35"/>
  <c r="W24" i="35"/>
  <c r="AB13" i="35"/>
  <c r="U29" i="35"/>
  <c r="U28" i="35"/>
  <c r="AB27" i="35"/>
  <c r="U32" i="35"/>
  <c r="AA33" i="35"/>
  <c r="AC30" i="35"/>
  <c r="S32" i="35"/>
  <c r="AA36" i="35"/>
  <c r="S28" i="35"/>
  <c r="AB16" i="35"/>
  <c r="U22" i="35"/>
  <c r="S20" i="35"/>
  <c r="AC20" i="35"/>
  <c r="U14" i="35"/>
  <c r="AA11" i="35"/>
  <c r="AC9" i="35"/>
  <c r="W9" i="35"/>
  <c r="AC12" i="35"/>
  <c r="W13" i="35"/>
  <c r="F9" i="35"/>
  <c r="S9" i="35" s="1"/>
  <c r="H9" i="35"/>
  <c r="U9" i="35" s="1"/>
  <c r="AB40" i="37"/>
  <c r="S25" i="37"/>
  <c r="W27" i="37"/>
  <c r="U29" i="37"/>
  <c r="S32" i="37"/>
  <c r="AB31" i="37"/>
  <c r="W30" i="37"/>
  <c r="S36" i="37"/>
  <c r="AA38" i="37"/>
  <c r="W38" i="37"/>
  <c r="AC35" i="37"/>
  <c r="S30" i="37"/>
  <c r="AC15" i="37"/>
  <c r="J17" i="37"/>
  <c r="G73" i="37"/>
  <c r="F17" i="37"/>
  <c r="AB17" i="37"/>
  <c r="F75" i="37"/>
  <c r="F19" i="37"/>
  <c r="S19" i="37" s="1"/>
  <c r="F79" i="37"/>
  <c r="F23" i="37"/>
  <c r="U23" i="37"/>
  <c r="U15" i="37"/>
  <c r="AC13" i="37"/>
  <c r="AA13" i="37"/>
  <c r="H10" i="37"/>
  <c r="AB10" i="37" s="1"/>
  <c r="F63" i="37"/>
  <c r="F11" i="37"/>
  <c r="S11" i="37" s="1"/>
  <c r="W25" i="34"/>
  <c r="AB8" i="34"/>
  <c r="AA33" i="34"/>
  <c r="U43" i="34"/>
  <c r="AC39" i="34"/>
  <c r="AC42" i="34"/>
  <c r="AB35" i="34"/>
  <c r="U39" i="34"/>
  <c r="AB41" i="34"/>
  <c r="AA45" i="34"/>
  <c r="AA25" i="34"/>
  <c r="AA29" i="34"/>
  <c r="U27" i="34"/>
  <c r="S23" i="34"/>
  <c r="U15" i="34"/>
  <c r="S13" i="34"/>
  <c r="H10" i="34"/>
  <c r="AB10" i="34" s="1"/>
  <c r="F11" i="34"/>
  <c r="S11" i="34" s="1"/>
  <c r="F70" i="34"/>
  <c r="AA35" i="33"/>
  <c r="S32" i="33"/>
  <c r="AA29" i="33"/>
  <c r="H41" i="33"/>
  <c r="F121" i="33"/>
  <c r="G121" i="33" s="1"/>
  <c r="H121" i="33" s="1"/>
  <c r="I121" i="33" s="1"/>
  <c r="J121" i="33" s="1"/>
  <c r="K121" i="33" s="1"/>
  <c r="L121" i="33" s="1"/>
  <c r="M121" i="33" s="1"/>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AC32" i="33" s="1"/>
  <c r="S46" i="33"/>
  <c r="F91" i="33"/>
  <c r="G91" i="33" s="1"/>
  <c r="H91" i="33" s="1"/>
  <c r="I91" i="33" s="1"/>
  <c r="J91" i="33" s="1"/>
  <c r="K91" i="33" s="1"/>
  <c r="L91" i="33" s="1"/>
  <c r="M91" i="33" s="1"/>
  <c r="H27" i="33"/>
  <c r="F87" i="33"/>
  <c r="G87" i="33" s="1"/>
  <c r="H87" i="33" s="1"/>
  <c r="I87" i="33" s="1"/>
  <c r="J87" i="33" s="1"/>
  <c r="K87" i="33" s="1"/>
  <c r="L87" i="33" s="1"/>
  <c r="M87" i="33" s="1"/>
  <c r="H25" i="33"/>
  <c r="U25" i="33" s="1"/>
  <c r="F25" i="33"/>
  <c r="S25" i="33" s="1"/>
  <c r="J23" i="33"/>
  <c r="AC23" i="33" s="1"/>
  <c r="H23" i="33"/>
  <c r="U23" i="33" s="1"/>
  <c r="F81" i="33"/>
  <c r="G81" i="33" s="1"/>
  <c r="F19" i="33"/>
  <c r="S19" i="33" s="1"/>
  <c r="J17" i="33"/>
  <c r="W17" i="33" s="1"/>
  <c r="F79" i="33"/>
  <c r="G79" i="33" s="1"/>
  <c r="J10" i="33"/>
  <c r="W10" i="33" s="1"/>
  <c r="H10" i="33"/>
  <c r="U10" i="33" s="1"/>
  <c r="AC11" i="33"/>
  <c r="W43" i="21"/>
  <c r="W36" i="21"/>
  <c r="W41" i="21"/>
  <c r="AA43" i="21"/>
  <c r="S39" i="21"/>
  <c r="AA38" i="21"/>
  <c r="AA36" i="21"/>
  <c r="AC40" i="21"/>
  <c r="J15" i="21"/>
  <c r="W15" i="21" s="1"/>
  <c r="F77" i="21"/>
  <c r="G77" i="21"/>
  <c r="F23" i="21"/>
  <c r="S23" i="21" s="1"/>
  <c r="E85" i="21"/>
  <c r="AA14" i="21"/>
  <c r="D120" i="9"/>
  <c r="C18" i="9"/>
  <c r="D18" i="9" s="1"/>
  <c r="M20" i="67"/>
  <c r="F34" i="15"/>
  <c r="F62" i="15" s="1"/>
  <c r="G13" i="3"/>
  <c r="BA13" i="3"/>
  <c r="BL17" i="3"/>
  <c r="AZ17" i="3" s="1"/>
  <c r="BL13" i="3"/>
  <c r="J56" i="9"/>
  <c r="J57" i="9" s="1"/>
  <c r="J59" i="9" s="1"/>
  <c r="J61" i="9" s="1"/>
  <c r="A24" i="51"/>
  <c r="B18" i="72" s="1"/>
  <c r="U29" i="34"/>
  <c r="E32" i="6"/>
  <c r="G1" i="68"/>
  <c r="K1" i="12"/>
  <c r="E19" i="69"/>
  <c r="E19" i="68"/>
  <c r="E19" i="11"/>
  <c r="G22" i="69"/>
  <c r="G22" i="68"/>
  <c r="G26" i="12"/>
  <c r="C6" i="43"/>
  <c r="B19" i="53"/>
  <c r="B37" i="72" s="1"/>
  <c r="C7" i="21"/>
  <c r="A4" i="51"/>
  <c r="B6" i="72" s="1"/>
  <c r="L20" i="6"/>
  <c r="B6" i="1"/>
  <c r="E6" i="1" s="1"/>
  <c r="K11" i="1"/>
  <c r="M11" i="1" s="1"/>
  <c r="O11" i="1" s="1"/>
  <c r="B9" i="1"/>
  <c r="E9" i="1" s="1"/>
  <c r="K7" i="1"/>
  <c r="M7" i="1" s="1"/>
  <c r="O7" i="1" s="1"/>
  <c r="P7" i="1" s="1"/>
  <c r="G1" i="15"/>
  <c r="G1" i="69"/>
  <c r="G1" i="67"/>
  <c r="U32" i="40"/>
  <c r="AB31" i="40"/>
  <c r="S37" i="40"/>
  <c r="W28" i="40"/>
  <c r="W34" i="40"/>
  <c r="W19" i="40"/>
  <c r="S36" i="40"/>
  <c r="W37" i="40"/>
  <c r="AC14" i="40"/>
  <c r="S33" i="40"/>
  <c r="AA15" i="40"/>
  <c r="U11" i="40"/>
  <c r="AB13" i="40"/>
  <c r="U15" i="40"/>
  <c r="AB17" i="40"/>
  <c r="U8" i="40"/>
  <c r="S8" i="40"/>
  <c r="AA39" i="39"/>
  <c r="AC41" i="39"/>
  <c r="U42" i="39"/>
  <c r="U41" i="39"/>
  <c r="W25" i="39"/>
  <c r="AC25" i="39"/>
  <c r="AB13" i="39"/>
  <c r="AA13" i="39"/>
  <c r="S14" i="39"/>
  <c r="AA14" i="39"/>
  <c r="U43" i="39"/>
  <c r="AB43" i="39"/>
  <c r="U11" i="39"/>
  <c r="AA27" i="39"/>
  <c r="S27" i="39"/>
  <c r="AC17" i="39"/>
  <c r="W31" i="39"/>
  <c r="AC31" i="39"/>
  <c r="AA45" i="39"/>
  <c r="AB39" i="39"/>
  <c r="W34" i="39"/>
  <c r="U38" i="39"/>
  <c r="S8" i="39"/>
  <c r="S20" i="36"/>
  <c r="AC25" i="36"/>
  <c r="U32" i="36"/>
  <c r="W29" i="36"/>
  <c r="AC20" i="36"/>
  <c r="U25" i="36"/>
  <c r="AA13" i="36"/>
  <c r="W9" i="36"/>
  <c r="W22" i="36"/>
  <c r="AB20" i="35"/>
  <c r="AC25" i="35"/>
  <c r="U24" i="35"/>
  <c r="S35" i="35"/>
  <c r="W35" i="35"/>
  <c r="AA35" i="37"/>
  <c r="W36" i="37"/>
  <c r="S28" i="37"/>
  <c r="W32" i="37"/>
  <c r="U36" i="37"/>
  <c r="S40" i="37"/>
  <c r="U38" i="37"/>
  <c r="AB37" i="37"/>
  <c r="AC34" i="37"/>
  <c r="U19" i="37"/>
  <c r="AA29" i="37"/>
  <c r="U8" i="37"/>
  <c r="AA40" i="34"/>
  <c r="AB40" i="34"/>
  <c r="U19" i="34"/>
  <c r="W19" i="34"/>
  <c r="AC45" i="34"/>
  <c r="AA31" i="34"/>
  <c r="AB47" i="34"/>
  <c r="U25" i="34"/>
  <c r="AB36" i="34"/>
  <c r="W33" i="34"/>
  <c r="AC14" i="34"/>
  <c r="AC32" i="34"/>
  <c r="AC29" i="34"/>
  <c r="W29" i="34"/>
  <c r="W46" i="34"/>
  <c r="AC46" i="34"/>
  <c r="U30" i="34"/>
  <c r="AB30" i="34"/>
  <c r="S37" i="34"/>
  <c r="U38" i="34"/>
  <c r="AC40" i="34"/>
  <c r="W40" i="34"/>
  <c r="AA19" i="34"/>
  <c r="S19" i="34"/>
  <c r="AA36" i="34"/>
  <c r="S36" i="34"/>
  <c r="AA8" i="34"/>
  <c r="S8" i="34"/>
  <c r="AB9" i="34"/>
  <c r="U9" i="34"/>
  <c r="U32" i="34"/>
  <c r="AB32" i="34"/>
  <c r="U14" i="34"/>
  <c r="AC43" i="34"/>
  <c r="W43" i="34"/>
  <c r="W23" i="34"/>
  <c r="AC35" i="34"/>
  <c r="W35" i="34"/>
  <c r="U12" i="34"/>
  <c r="AB12" i="34"/>
  <c r="AB28" i="33"/>
  <c r="W46" i="33"/>
  <c r="AB44" i="33"/>
  <c r="S30" i="33"/>
  <c r="AC14" i="33"/>
  <c r="W14" i="33"/>
  <c r="AC30" i="33"/>
  <c r="W30" i="33"/>
  <c r="S31" i="33"/>
  <c r="AA31" i="33"/>
  <c r="W13" i="33"/>
  <c r="AC13" i="33"/>
  <c r="S11" i="33"/>
  <c r="U37"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W17" i="21" s="1"/>
  <c r="AC19" i="21"/>
  <c r="W39" i="21"/>
  <c r="W30" i="21"/>
  <c r="S46" i="21"/>
  <c r="H45" i="21"/>
  <c r="U45" i="21" s="1"/>
  <c r="F29" i="21"/>
  <c r="AA29" i="21" s="1"/>
  <c r="F13" i="21"/>
  <c r="AC38" i="21"/>
  <c r="H32" i="21"/>
  <c r="H9" i="21"/>
  <c r="J9" i="21"/>
  <c r="J32" i="21"/>
  <c r="W32" i="21" s="1"/>
  <c r="F32" i="21"/>
  <c r="AA31" i="21"/>
  <c r="U17" i="21"/>
  <c r="W29" i="21"/>
  <c r="S19" i="21"/>
  <c r="S9" i="21"/>
  <c r="AA9" i="21"/>
  <c r="K141" i="21"/>
  <c r="K144" i="21"/>
  <c r="K143" i="21"/>
  <c r="U27" i="21"/>
  <c r="AB25" i="21"/>
  <c r="AA30" i="21"/>
  <c r="W13" i="21"/>
  <c r="W42" i="21"/>
  <c r="AC45" i="21"/>
  <c r="F10" i="21"/>
  <c r="AA10" i="21" s="1"/>
  <c r="K145" i="21"/>
  <c r="W25" i="21"/>
  <c r="W31" i="21"/>
  <c r="S27" i="21"/>
  <c r="AC27" i="21"/>
  <c r="AC26" i="21"/>
  <c r="AB29" i="21"/>
  <c r="S28" i="21"/>
  <c r="AC34" i="21"/>
  <c r="AB36" i="21"/>
  <c r="C19" i="39"/>
  <c r="C15" i="40"/>
  <c r="C17" i="40"/>
  <c r="C23" i="40"/>
  <c r="C21" i="40"/>
  <c r="U30" i="40"/>
  <c r="B56" i="43"/>
  <c r="B67" i="43"/>
  <c r="B51" i="43"/>
  <c r="B54" i="43"/>
  <c r="B58" i="43"/>
  <c r="B62" i="43"/>
  <c r="B69" i="43"/>
  <c r="D23" i="15"/>
  <c r="D22" i="15"/>
  <c r="E4" i="4"/>
  <c r="B5" i="62" s="1"/>
  <c r="B73" i="72" s="1"/>
  <c r="C4" i="4"/>
  <c r="AA39" i="40"/>
  <c r="S39" i="40"/>
  <c r="S12" i="33"/>
  <c r="J32" i="39"/>
  <c r="H32" i="39"/>
  <c r="AB32" i="39" s="1"/>
  <c r="AA32" i="39"/>
  <c r="S32" i="39"/>
  <c r="AA21" i="39"/>
  <c r="S21" i="39"/>
  <c r="J19" i="37"/>
  <c r="W19" i="37" s="1"/>
  <c r="G75" i="37"/>
  <c r="AA19" i="37"/>
  <c r="J23" i="37"/>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J27" i="33"/>
  <c r="J25" i="33"/>
  <c r="W25" i="33" s="1"/>
  <c r="F23" i="33"/>
  <c r="H19" i="33"/>
  <c r="U19" i="33" s="1"/>
  <c r="H17" i="33"/>
  <c r="U17" i="33" s="1"/>
  <c r="F17" i="33"/>
  <c r="S17" i="33" s="1"/>
  <c r="S37" i="21"/>
  <c r="AA23" i="21"/>
  <c r="AB15" i="21"/>
  <c r="J23" i="21"/>
  <c r="F85" i="21"/>
  <c r="G85" i="21" s="1"/>
  <c r="H23" i="21"/>
  <c r="AB23" i="21" s="1"/>
  <c r="AP7" i="1"/>
  <c r="AB45" i="21"/>
  <c r="AA32" i="21"/>
  <c r="S32" i="21"/>
  <c r="AB32" i="21"/>
  <c r="U32" i="21"/>
  <c r="U32" i="39"/>
  <c r="AC32" i="39"/>
  <c r="W32" i="39"/>
  <c r="J63" i="37"/>
  <c r="K63" i="37" s="1"/>
  <c r="L63" i="37" s="1"/>
  <c r="M63" i="37" s="1"/>
  <c r="J11" i="37"/>
  <c r="AC11" i="37" s="1"/>
  <c r="J11" i="34"/>
  <c r="W11" i="34" s="1"/>
  <c r="U23" i="21"/>
  <c r="AC23" i="21"/>
  <c r="W23" i="21"/>
  <c r="H109" i="9"/>
  <c r="H112" i="9"/>
  <c r="D21" i="53" s="1"/>
  <c r="B39" i="72" s="1"/>
  <c r="H111" i="9"/>
  <c r="D126" i="9" s="1"/>
  <c r="AD3" i="71"/>
  <c r="C22" i="71"/>
  <c r="C21" i="71" s="1"/>
  <c r="D21"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 i="69"/>
  <c r="C76" i="67"/>
  <c r="F40" i="67"/>
  <c r="F16" i="67"/>
  <c r="AO13" i="1"/>
  <c r="F6" i="73"/>
  <c r="F38" i="67"/>
  <c r="F7" i="73"/>
  <c r="F8" i="67"/>
  <c r="B7" i="76"/>
  <c r="M6" i="67"/>
  <c r="M22" i="67"/>
  <c r="B10" i="76"/>
  <c r="E2" i="68"/>
  <c r="E13" i="76"/>
  <c r="M24" i="67"/>
  <c r="M24" i="15"/>
  <c r="B12" i="76"/>
  <c r="B8" i="76"/>
  <c r="F6" i="67"/>
  <c r="M6" i="15"/>
  <c r="E11" i="76"/>
  <c r="F3" i="73"/>
  <c r="M23" i="15"/>
  <c r="M8" i="67"/>
  <c r="F38" i="15"/>
  <c r="F36" i="67"/>
  <c r="F20" i="31"/>
  <c r="F43" i="67"/>
  <c r="B9" i="76"/>
  <c r="B11" i="76"/>
  <c r="B13" i="76"/>
  <c r="M29" i="67"/>
  <c r="F37" i="67"/>
  <c r="E12" i="76"/>
  <c r="F5" i="73"/>
  <c r="E7" i="76"/>
  <c r="E9" i="76"/>
  <c r="J15" i="67"/>
  <c r="F13" i="67"/>
  <c r="E10" i="76"/>
  <c r="M9" i="67"/>
  <c r="E8" i="76"/>
  <c r="M26" i="67"/>
  <c r="F4" i="73"/>
  <c r="M28" i="67"/>
  <c r="C5" i="68" l="1"/>
  <c r="H38" i="33"/>
  <c r="AB38" i="33" s="1"/>
  <c r="J38" i="33"/>
  <c r="AC38" i="33" s="1"/>
  <c r="E117" i="33"/>
  <c r="F117" i="33" s="1"/>
  <c r="G117" i="33" s="1"/>
  <c r="F39" i="33"/>
  <c r="AA39" i="33" s="1"/>
  <c r="H39" i="33"/>
  <c r="AB39" i="33" s="1"/>
  <c r="W39" i="33"/>
  <c r="J42" i="33"/>
  <c r="AC42" i="33" s="1"/>
  <c r="H42" i="33"/>
  <c r="AB42" i="33" s="1"/>
  <c r="F123" i="33"/>
  <c r="G123" i="33" s="1"/>
  <c r="H123" i="33" s="1"/>
  <c r="I123" i="33" s="1"/>
  <c r="J123" i="33" s="1"/>
  <c r="K123" i="33" s="1"/>
  <c r="L123" i="33" s="1"/>
  <c r="M123" i="33" s="1"/>
  <c r="F42" i="33"/>
  <c r="AA42" i="33" s="1"/>
  <c r="F111" i="33"/>
  <c r="F36" i="33"/>
  <c r="AA36" i="33" s="1"/>
  <c r="J36" i="33"/>
  <c r="W36" i="33" s="1"/>
  <c r="W43" i="33"/>
  <c r="AC26" i="33"/>
  <c r="H15" i="33"/>
  <c r="AB15" i="33" s="1"/>
  <c r="F15" i="33"/>
  <c r="U32" i="33"/>
  <c r="AB29" i="33"/>
  <c r="S36" i="33"/>
  <c r="AB34" i="33"/>
  <c r="S33" i="33"/>
  <c r="U33" i="33"/>
  <c r="U42" i="33"/>
  <c r="W42" i="33"/>
  <c r="S38" i="33"/>
  <c r="AC37" i="33"/>
  <c r="AA34" i="33"/>
  <c r="AC34" i="33"/>
  <c r="W32" i="33"/>
  <c r="S28" i="33"/>
  <c r="AC25" i="33"/>
  <c r="AA25" i="33"/>
  <c r="AB25" i="33"/>
  <c r="AB23" i="33"/>
  <c r="AA19" i="33"/>
  <c r="W19" i="33"/>
  <c r="AB19" i="33"/>
  <c r="AC17" i="33"/>
  <c r="AA17" i="33"/>
  <c r="U15" i="33"/>
  <c r="W15" i="33"/>
  <c r="W9" i="33"/>
  <c r="U9" i="33"/>
  <c r="W8" i="33"/>
  <c r="W33" i="33"/>
  <c r="J1" i="73"/>
  <c r="F6" i="1"/>
  <c r="F34" i="67"/>
  <c r="F62" i="67" s="1"/>
  <c r="F52" i="9"/>
  <c r="D68" i="9"/>
  <c r="M18" i="15"/>
  <c r="F54" i="9"/>
  <c r="M18" i="67"/>
  <c r="F30" i="68"/>
  <c r="F48" i="68" s="1"/>
  <c r="F32" i="15"/>
  <c r="F60" i="15" s="1"/>
  <c r="F31" i="12"/>
  <c r="F30" i="69"/>
  <c r="F48" i="69" s="1"/>
  <c r="F30" i="11"/>
  <c r="C48" i="11" s="1"/>
  <c r="C40" i="69"/>
  <c r="C21" i="68"/>
  <c r="G22" i="11"/>
  <c r="E1" i="73"/>
  <c r="A15" i="62"/>
  <c r="B61" i="72" s="1"/>
  <c r="F7" i="1"/>
  <c r="G7" i="1" s="1"/>
  <c r="F16" i="4"/>
  <c r="A18" i="51" s="1"/>
  <c r="B13" i="72" s="1"/>
  <c r="A118" i="9"/>
  <c r="A2" i="9"/>
  <c r="G23" i="43"/>
  <c r="C23" i="43" s="1"/>
  <c r="C7" i="33"/>
  <c r="C42" i="1"/>
  <c r="C24" i="12" s="1"/>
  <c r="C7" i="36"/>
  <c r="C46" i="36" s="1"/>
  <c r="D46" i="36" s="1"/>
  <c r="E46" i="36" s="1"/>
  <c r="F46" i="36" s="1"/>
  <c r="G46" i="36" s="1"/>
  <c r="H46" i="36" s="1"/>
  <c r="I46" i="36" s="1"/>
  <c r="J46" i="36" s="1"/>
  <c r="K46" i="36" s="1"/>
  <c r="L46" i="36" s="1"/>
  <c r="M46" i="36" s="1"/>
  <c r="N46" i="36" s="1"/>
  <c r="O46" i="36" s="1"/>
  <c r="M47" i="9"/>
  <c r="C7" i="34"/>
  <c r="C59" i="34" s="1"/>
  <c r="D59" i="34" s="1"/>
  <c r="E59" i="34" s="1"/>
  <c r="F59" i="34" s="1"/>
  <c r="G59" i="34" s="1"/>
  <c r="H59" i="34" s="1"/>
  <c r="I59" i="34" s="1"/>
  <c r="J59" i="34" s="1"/>
  <c r="K59" i="34" s="1"/>
  <c r="L59" i="34" s="1"/>
  <c r="M59" i="34" s="1"/>
  <c r="N59" i="34" s="1"/>
  <c r="O59" i="34" s="1"/>
  <c r="C7" i="35"/>
  <c r="C48" i="35" s="1"/>
  <c r="D48" i="35" s="1"/>
  <c r="E48" i="35" s="1"/>
  <c r="C7" i="40"/>
  <c r="C63" i="40" s="1"/>
  <c r="D63" i="40" s="1"/>
  <c r="C7" i="39"/>
  <c r="C67" i="39" s="1"/>
  <c r="AA17" i="37"/>
  <c r="S17" i="37"/>
  <c r="U35" i="37"/>
  <c r="AB35" i="37"/>
  <c r="AZ542" i="3"/>
  <c r="AZ538" i="3"/>
  <c r="AZ537" i="3"/>
  <c r="AZ536" i="3"/>
  <c r="AZ534" i="3"/>
  <c r="AZ532" i="3"/>
  <c r="AZ529" i="3"/>
  <c r="AZ526" i="3"/>
  <c r="AZ514" i="3"/>
  <c r="AZ506" i="3"/>
  <c r="AZ501" i="3"/>
  <c r="AZ497" i="3"/>
  <c r="S23" i="37"/>
  <c r="AA23" i="37"/>
  <c r="D22" i="71"/>
  <c r="W23" i="37"/>
  <c r="AC23" i="37"/>
  <c r="W9" i="21"/>
  <c r="AC9" i="21"/>
  <c r="AA13" i="21"/>
  <c r="S13" i="21"/>
  <c r="AC17" i="21"/>
  <c r="AB21" i="39"/>
  <c r="U21" i="39"/>
  <c r="U33" i="34"/>
  <c r="AA43" i="34"/>
  <c r="S43" i="34"/>
  <c r="AZ377" i="3"/>
  <c r="AZ361" i="3"/>
  <c r="AC13" i="40"/>
  <c r="W13" i="40"/>
  <c r="AZ566" i="3"/>
  <c r="AA24" i="36"/>
  <c r="S24" i="36"/>
  <c r="W27" i="33"/>
  <c r="AC27" i="33"/>
  <c r="AB9" i="21"/>
  <c r="U9" i="21"/>
  <c r="D121" i="9"/>
  <c r="D7" i="52" s="1"/>
  <c r="D6" i="52"/>
  <c r="U27" i="33"/>
  <c r="AB27" i="33"/>
  <c r="W17" i="37"/>
  <c r="AC17" i="37"/>
  <c r="AC30" i="40"/>
  <c r="W30" i="40"/>
  <c r="AZ580" i="3"/>
  <c r="AZ576" i="3"/>
  <c r="AZ574" i="3"/>
  <c r="AZ572" i="3"/>
  <c r="AZ357" i="3"/>
  <c r="AZ143" i="3"/>
  <c r="AB25" i="39"/>
  <c r="AA25" i="21"/>
  <c r="AA37" i="37"/>
  <c r="AC28" i="34"/>
  <c r="BL519" i="3"/>
  <c r="AZ519" i="3" s="1"/>
  <c r="BL531" i="3"/>
  <c r="AZ531" i="3" s="1"/>
  <c r="BL573" i="3"/>
  <c r="AZ573" i="3" s="1"/>
  <c r="AZ583" i="3"/>
  <c r="S44" i="34"/>
  <c r="AA14" i="34"/>
  <c r="AA14" i="37"/>
  <c r="AA27" i="37"/>
  <c r="AA13" i="40"/>
  <c r="AC35" i="40"/>
  <c r="AB14" i="39"/>
  <c r="AB25" i="35"/>
  <c r="W13" i="34"/>
  <c r="S30" i="34"/>
  <c r="S13" i="33"/>
  <c r="AA27" i="33"/>
  <c r="H26" i="33"/>
  <c r="U44" i="21"/>
  <c r="J14" i="21"/>
  <c r="AA17" i="34"/>
  <c r="U28" i="40"/>
  <c r="S26" i="33"/>
  <c r="S16" i="35"/>
  <c r="AC16" i="35"/>
  <c r="AA14" i="35"/>
  <c r="AA22" i="35"/>
  <c r="W32" i="40"/>
  <c r="AC23" i="40"/>
  <c r="U9" i="39"/>
  <c r="AA41" i="21"/>
  <c r="U39" i="21"/>
  <c r="AB35" i="33"/>
  <c r="U35" i="33"/>
  <c r="J12" i="33"/>
  <c r="H12" i="33"/>
  <c r="U12" i="33" s="1"/>
  <c r="H12" i="36"/>
  <c r="F23" i="36"/>
  <c r="W31" i="35"/>
  <c r="AC31" i="35"/>
  <c r="G552" i="3"/>
  <c r="AZ419" i="3"/>
  <c r="AZ549" i="3"/>
  <c r="B97" i="43"/>
  <c r="B75" i="43"/>
  <c r="AZ515" i="3"/>
  <c r="AZ533" i="3"/>
  <c r="AZ547" i="3"/>
  <c r="AZ569" i="3"/>
  <c r="AZ571" i="3"/>
  <c r="AZ579" i="3"/>
  <c r="AZ516" i="3"/>
  <c r="AZ524" i="3"/>
  <c r="J36" i="35"/>
  <c r="AC36" i="35" s="1"/>
  <c r="H36" i="35"/>
  <c r="BA551" i="3"/>
  <c r="AZ551" i="3" s="1"/>
  <c r="BA550" i="3"/>
  <c r="BL548" i="3"/>
  <c r="AZ548" i="3" s="1"/>
  <c r="H69" i="43"/>
  <c r="F28" i="15"/>
  <c r="F32" i="67"/>
  <c r="F60" i="67" s="1"/>
  <c r="F28" i="67"/>
  <c r="B65" i="43"/>
  <c r="AA15" i="21"/>
  <c r="AA46" i="34"/>
  <c r="AA32" i="34"/>
  <c r="AB45" i="34"/>
  <c r="AA31" i="37"/>
  <c r="S24" i="35"/>
  <c r="W23" i="36"/>
  <c r="AB28" i="36"/>
  <c r="S31" i="40"/>
  <c r="W27" i="40"/>
  <c r="AB14" i="33"/>
  <c r="S43" i="33"/>
  <c r="AC29" i="37"/>
  <c r="AB14" i="36"/>
  <c r="U13" i="36"/>
  <c r="AB19" i="40"/>
  <c r="AA19" i="40"/>
  <c r="AA47" i="34"/>
  <c r="S11" i="40"/>
  <c r="W29" i="35"/>
  <c r="BC5" i="3"/>
  <c r="AZ387" i="3"/>
  <c r="AZ362" i="3"/>
  <c r="AZ338" i="3"/>
  <c r="AZ390" i="3"/>
  <c r="AZ371" i="3"/>
  <c r="AZ351" i="3"/>
  <c r="AZ336" i="3"/>
  <c r="AZ305" i="3"/>
  <c r="AZ204" i="3"/>
  <c r="AZ140" i="3"/>
  <c r="AZ375" i="3"/>
  <c r="AZ360" i="3"/>
  <c r="AB33" i="40"/>
  <c r="AC31" i="33"/>
  <c r="BL511" i="3"/>
  <c r="AZ511" i="3" s="1"/>
  <c r="BL539" i="3"/>
  <c r="AZ539" i="3" s="1"/>
  <c r="BL543" i="3"/>
  <c r="AZ543" i="3" s="1"/>
  <c r="AZ564" i="3"/>
  <c r="AB45" i="33"/>
  <c r="S11" i="36"/>
  <c r="J13" i="39"/>
  <c r="J28" i="33"/>
  <c r="AA38" i="34"/>
  <c r="AA29" i="35"/>
  <c r="AB17" i="34"/>
  <c r="W40" i="33"/>
  <c r="W31" i="40"/>
  <c r="S27" i="35"/>
  <c r="AC28" i="36"/>
  <c r="W28" i="36"/>
  <c r="J39" i="37"/>
  <c r="H39" i="37"/>
  <c r="G582" i="3"/>
  <c r="AZ407" i="3"/>
  <c r="AZ480" i="3"/>
  <c r="S17" i="21"/>
  <c r="U28" i="34"/>
  <c r="W41" i="34"/>
  <c r="U32" i="37"/>
  <c r="AA25" i="36"/>
  <c r="AZ14" i="3"/>
  <c r="S15" i="37"/>
  <c r="F29" i="6"/>
  <c r="AZ318" i="3"/>
  <c r="AZ304" i="3"/>
  <c r="AZ203" i="3"/>
  <c r="AZ139" i="3"/>
  <c r="AZ306" i="3"/>
  <c r="W8" i="39"/>
  <c r="U40" i="39"/>
  <c r="U11" i="33"/>
  <c r="F32" i="40"/>
  <c r="AZ535" i="3"/>
  <c r="BL577" i="3"/>
  <c r="AZ577" i="3" s="1"/>
  <c r="AZ557" i="3"/>
  <c r="AZ513" i="3"/>
  <c r="AZ528" i="3"/>
  <c r="AZ502" i="3"/>
  <c r="S28" i="34"/>
  <c r="S44" i="39"/>
  <c r="J24" i="36"/>
  <c r="H24" i="36"/>
  <c r="AA40" i="39"/>
  <c r="S40" i="39"/>
  <c r="U39" i="40"/>
  <c r="AB39" i="40"/>
  <c r="AB38" i="40"/>
  <c r="U38" i="40"/>
  <c r="BL550" i="3"/>
  <c r="BL585" i="3"/>
  <c r="AZ585" i="3" s="1"/>
  <c r="G558" i="3"/>
  <c r="BL424" i="3"/>
  <c r="G427" i="3"/>
  <c r="BL428" i="3"/>
  <c r="BL429" i="3"/>
  <c r="BL432" i="3"/>
  <c r="BL435" i="3"/>
  <c r="BL436" i="3"/>
  <c r="AZ436" i="3" s="1"/>
  <c r="BA439" i="3"/>
  <c r="BA440" i="3"/>
  <c r="AZ440" i="3" s="1"/>
  <c r="BA442" i="3"/>
  <c r="BA445" i="3"/>
  <c r="AZ445" i="3" s="1"/>
  <c r="BL454" i="3"/>
  <c r="BL459" i="3"/>
  <c r="G461" i="3"/>
  <c r="BA467" i="3"/>
  <c r="AZ467" i="3" s="1"/>
  <c r="BA468" i="3"/>
  <c r="BL471" i="3"/>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AZ434" i="3" s="1"/>
  <c r="BA436" i="3"/>
  <c r="BA438" i="3"/>
  <c r="G443" i="3"/>
  <c r="BA446" i="3"/>
  <c r="BA450" i="3"/>
  <c r="BA453" i="3"/>
  <c r="AZ453" i="3" s="1"/>
  <c r="AZ471" i="3"/>
  <c r="AZ487" i="3"/>
  <c r="BA388" i="3"/>
  <c r="AZ388" i="3" s="1"/>
  <c r="BA396" i="3"/>
  <c r="BA209" i="3"/>
  <c r="BL587" i="3"/>
  <c r="AZ587" i="3" s="1"/>
  <c r="BL586" i="3"/>
  <c r="AZ586" i="3" s="1"/>
  <c r="G574" i="3"/>
  <c r="BL15" i="3"/>
  <c r="AZ15" i="3" s="1"/>
  <c r="BA398" i="3"/>
  <c r="BA399" i="3"/>
  <c r="AZ399" i="3" s="1"/>
  <c r="BL401" i="3"/>
  <c r="BL404" i="3"/>
  <c r="BL405" i="3"/>
  <c r="BL407" i="3"/>
  <c r="BA412" i="3"/>
  <c r="AZ412" i="3" s="1"/>
  <c r="BA414" i="3"/>
  <c r="AZ414" i="3" s="1"/>
  <c r="BA415" i="3"/>
  <c r="BA416" i="3"/>
  <c r="AZ416" i="3" s="1"/>
  <c r="BA418" i="3"/>
  <c r="AZ418" i="3" s="1"/>
  <c r="BA421" i="3"/>
  <c r="AZ421" i="3" s="1"/>
  <c r="BA423" i="3"/>
  <c r="AZ423" i="3" s="1"/>
  <c r="BA425" i="3"/>
  <c r="AZ425" i="3" s="1"/>
  <c r="BA426" i="3"/>
  <c r="BA427" i="3"/>
  <c r="AZ427" i="3" s="1"/>
  <c r="BA433" i="3"/>
  <c r="AZ433" i="3" s="1"/>
  <c r="BA435" i="3"/>
  <c r="BL437" i="3"/>
  <c r="AZ437" i="3" s="1"/>
  <c r="G439" i="3"/>
  <c r="G440" i="3"/>
  <c r="BL441" i="3"/>
  <c r="AZ441" i="3" s="1"/>
  <c r="BL442" i="3"/>
  <c r="BL444" i="3"/>
  <c r="AZ444" i="3" s="1"/>
  <c r="G446" i="3"/>
  <c r="G447" i="3"/>
  <c r="BL448" i="3"/>
  <c r="AZ448" i="3" s="1"/>
  <c r="G450" i="3"/>
  <c r="G451" i="3"/>
  <c r="BA454" i="3"/>
  <c r="AZ454" i="3" s="1"/>
  <c r="BA457" i="3"/>
  <c r="AZ457" i="3" s="1"/>
  <c r="BA459" i="3"/>
  <c r="AZ459" i="3" s="1"/>
  <c r="BA460" i="3"/>
  <c r="AZ460" i="3" s="1"/>
  <c r="BA461" i="3"/>
  <c r="AZ461" i="3" s="1"/>
  <c r="BL464" i="3"/>
  <c r="BL466" i="3"/>
  <c r="AZ466" i="3" s="1"/>
  <c r="G468" i="3"/>
  <c r="G469" i="3"/>
  <c r="BL476" i="3"/>
  <c r="AZ476" i="3" s="1"/>
  <c r="BL477" i="3"/>
  <c r="BL478" i="3"/>
  <c r="BL480" i="3"/>
  <c r="BA483" i="3"/>
  <c r="BL483" i="3"/>
  <c r="AZ483" i="3" s="1"/>
  <c r="BA486" i="3"/>
  <c r="BL489" i="3"/>
  <c r="BL491" i="3"/>
  <c r="BL492" i="3"/>
  <c r="BA315" i="3"/>
  <c r="AZ315" i="3" s="1"/>
  <c r="BA333" i="3"/>
  <c r="BL346" i="3"/>
  <c r="AZ346" i="3" s="1"/>
  <c r="BA384" i="3"/>
  <c r="AZ384" i="3" s="1"/>
  <c r="BA395" i="3"/>
  <c r="AZ395" i="3" s="1"/>
  <c r="BA208" i="3"/>
  <c r="AZ208" i="3" s="1"/>
  <c r="BA211" i="3"/>
  <c r="BL211" i="3"/>
  <c r="BA216" i="3"/>
  <c r="AZ216" i="3" s="1"/>
  <c r="BA401" i="3"/>
  <c r="AZ401" i="3" s="1"/>
  <c r="BA403" i="3"/>
  <c r="AZ403" i="3" s="1"/>
  <c r="BA404" i="3"/>
  <c r="BA405" i="3"/>
  <c r="AZ405" i="3" s="1"/>
  <c r="BL410" i="3"/>
  <c r="G412" i="3"/>
  <c r="G418" i="3"/>
  <c r="BA422" i="3"/>
  <c r="AZ422" i="3" s="1"/>
  <c r="BL446" i="3"/>
  <c r="BL449" i="3"/>
  <c r="BL450" i="3"/>
  <c r="BL452" i="3"/>
  <c r="G454" i="3"/>
  <c r="BL456" i="3"/>
  <c r="BA464" i="3"/>
  <c r="BL467" i="3"/>
  <c r="BL468" i="3"/>
  <c r="AZ468" i="3" s="1"/>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L212" i="3"/>
  <c r="G214" i="3"/>
  <c r="BL214" i="3"/>
  <c r="AZ214" i="3" s="1"/>
  <c r="G216" i="3"/>
  <c r="BL217" i="3"/>
  <c r="AZ217" i="3" s="1"/>
  <c r="BL219" i="3"/>
  <c r="BL225" i="3"/>
  <c r="BL226" i="3"/>
  <c r="BA239" i="3"/>
  <c r="BL239" i="3"/>
  <c r="BA241" i="3"/>
  <c r="BL241" i="3"/>
  <c r="BA244" i="3"/>
  <c r="BL244" i="3"/>
  <c r="BA246" i="3"/>
  <c r="BA252" i="3"/>
  <c r="AZ252" i="3" s="1"/>
  <c r="BA254" i="3"/>
  <c r="AZ254" i="3" s="1"/>
  <c r="BA256" i="3"/>
  <c r="BL256" i="3"/>
  <c r="BA258" i="3"/>
  <c r="BL264" i="3"/>
  <c r="BL266" i="3"/>
  <c r="BA268" i="3"/>
  <c r="BL273" i="3"/>
  <c r="G274" i="3"/>
  <c r="BA277" i="3"/>
  <c r="BL277" i="3"/>
  <c r="BA282" i="3"/>
  <c r="AZ282" i="3" s="1"/>
  <c r="BL282" i="3"/>
  <c r="BA284" i="3"/>
  <c r="BL290" i="3"/>
  <c r="BL291" i="3"/>
  <c r="AZ291" i="3" s="1"/>
  <c r="BL293" i="3"/>
  <c r="BL294" i="3"/>
  <c r="BA297" i="3"/>
  <c r="BL297" i="3"/>
  <c r="BL300" i="3"/>
  <c r="BA302" i="3"/>
  <c r="G115" i="3"/>
  <c r="BA117" i="3"/>
  <c r="BA130" i="3"/>
  <c r="BL130" i="3"/>
  <c r="BA137" i="3"/>
  <c r="AZ137" i="3" s="1"/>
  <c r="BL138" i="3"/>
  <c r="BA140" i="3"/>
  <c r="BA142" i="3"/>
  <c r="BL149" i="3"/>
  <c r="AZ149" i="3" s="1"/>
  <c r="BL150" i="3"/>
  <c r="G151" i="3"/>
  <c r="BA152" i="3"/>
  <c r="AZ152" i="3" s="1"/>
  <c r="BA154" i="3"/>
  <c r="AZ154" i="3" s="1"/>
  <c r="BA160" i="3"/>
  <c r="AZ160" i="3" s="1"/>
  <c r="BA169" i="3"/>
  <c r="AZ169" i="3" s="1"/>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BL271" i="3"/>
  <c r="BA274" i="3"/>
  <c r="BL274" i="3"/>
  <c r="BA276" i="3"/>
  <c r="BA279" i="3"/>
  <c r="BA281" i="3"/>
  <c r="BL286" i="3"/>
  <c r="AZ286" i="3" s="1"/>
  <c r="BA296" i="3"/>
  <c r="BA116" i="3"/>
  <c r="AZ116" i="3" s="1"/>
  <c r="BA121" i="3"/>
  <c r="BL121" i="3"/>
  <c r="BA124" i="3"/>
  <c r="AZ124" i="3" s="1"/>
  <c r="BA126" i="3"/>
  <c r="AZ126" i="3" s="1"/>
  <c r="BA129" i="3"/>
  <c r="BL133" i="3"/>
  <c r="AZ133" i="3" s="1"/>
  <c r="BL139" i="3"/>
  <c r="BL141" i="3"/>
  <c r="BL143" i="3"/>
  <c r="BL157" i="3"/>
  <c r="AZ157" i="3" s="1"/>
  <c r="BL159" i="3"/>
  <c r="AZ159" i="3" s="1"/>
  <c r="BA164" i="3"/>
  <c r="AZ164" i="3" s="1"/>
  <c r="BA166" i="3"/>
  <c r="AZ166" i="3" s="1"/>
  <c r="BA178" i="3"/>
  <c r="AZ178" i="3" s="1"/>
  <c r="BL213" i="3"/>
  <c r="BL215" i="3"/>
  <c r="BA222" i="3"/>
  <c r="AZ222" i="3" s="1"/>
  <c r="BA224" i="3"/>
  <c r="AZ224" i="3" s="1"/>
  <c r="BA226" i="3"/>
  <c r="AZ226" i="3" s="1"/>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AZ301" i="3" s="1"/>
  <c r="BL302" i="3"/>
  <c r="BA114" i="3"/>
  <c r="BL123" i="3"/>
  <c r="AZ123" i="3" s="1"/>
  <c r="BA128" i="3"/>
  <c r="AZ128" i="3" s="1"/>
  <c r="BL134" i="3"/>
  <c r="BL137" i="3"/>
  <c r="G143" i="3"/>
  <c r="BA146" i="3"/>
  <c r="AZ146" i="3" s="1"/>
  <c r="BA150" i="3"/>
  <c r="G159" i="3"/>
  <c r="G167" i="3"/>
  <c r="G175" i="3"/>
  <c r="BA176" i="3"/>
  <c r="AZ176"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G22" i="3"/>
  <c r="G24" i="3"/>
  <c r="G25" i="3"/>
  <c r="G27" i="3"/>
  <c r="BA27" i="3"/>
  <c r="G30" i="3"/>
  <c r="BL30" i="3"/>
  <c r="AZ30" i="3" s="1"/>
  <c r="BL31" i="3"/>
  <c r="G35" i="3"/>
  <c r="G36" i="3"/>
  <c r="G37" i="3"/>
  <c r="G40" i="3"/>
  <c r="BL40" i="3"/>
  <c r="BL41" i="3"/>
  <c r="G45" i="3"/>
  <c r="BL45" i="3"/>
  <c r="BA48" i="3"/>
  <c r="BA49" i="3"/>
  <c r="AZ49" i="3" s="1"/>
  <c r="BA51" i="3"/>
  <c r="AZ51" i="3" s="1"/>
  <c r="G54" i="3"/>
  <c r="G55" i="3"/>
  <c r="BL56" i="3"/>
  <c r="BA58" i="3"/>
  <c r="BL59" i="3"/>
  <c r="BL60" i="3"/>
  <c r="BA61" i="3"/>
  <c r="AZ61" i="3" s="1"/>
  <c r="BA68" i="3"/>
  <c r="AZ68" i="3" s="1"/>
  <c r="BL74" i="3"/>
  <c r="AZ74" i="3" s="1"/>
  <c r="G75" i="3"/>
  <c r="BL75" i="3"/>
  <c r="BA80" i="3"/>
  <c r="BL84" i="3"/>
  <c r="G89" i="3"/>
  <c r="BA90" i="3"/>
  <c r="BA109" i="3"/>
  <c r="BA111" i="3"/>
  <c r="AZ111" i="3" s="1"/>
  <c r="K13" i="1"/>
  <c r="M13" i="1" s="1"/>
  <c r="O13" i="1" s="1"/>
  <c r="P13" i="1" s="1"/>
  <c r="C86" i="71"/>
  <c r="D86" i="71" s="1"/>
  <c r="D87" i="71"/>
  <c r="B27" i="71"/>
  <c r="B26" i="71" s="1"/>
  <c r="S28" i="71"/>
  <c r="C64" i="71"/>
  <c r="D63" i="71"/>
  <c r="BL177" i="3"/>
  <c r="AZ177" i="3" s="1"/>
  <c r="G179" i="3"/>
  <c r="BL183" i="3"/>
  <c r="AZ183" i="3" s="1"/>
  <c r="BA186" i="3"/>
  <c r="AZ186" i="3" s="1"/>
  <c r="BA190" i="3"/>
  <c r="G196" i="3"/>
  <c r="BA197" i="3"/>
  <c r="AZ197" i="3" s="1"/>
  <c r="BL201" i="3"/>
  <c r="AZ201" i="3" s="1"/>
  <c r="BL203" i="3"/>
  <c r="BA204" i="3"/>
  <c r="BA18" i="3"/>
  <c r="G21" i="3"/>
  <c r="BL21" i="3"/>
  <c r="AZ21" i="3" s="1"/>
  <c r="G29" i="3"/>
  <c r="BL29" i="3"/>
  <c r="AZ29" i="3" s="1"/>
  <c r="BA37" i="3"/>
  <c r="G39" i="3"/>
  <c r="BL39" i="3"/>
  <c r="AZ39" i="3" s="1"/>
  <c r="BA45" i="3"/>
  <c r="AZ45" i="3" s="1"/>
  <c r="BA46" i="3"/>
  <c r="AZ46" i="3" s="1"/>
  <c r="BL49" i="3"/>
  <c r="BL50" i="3"/>
  <c r="AZ50" i="3" s="1"/>
  <c r="BL51" i="3"/>
  <c r="G53" i="3"/>
  <c r="BL53" i="3"/>
  <c r="AZ53" i="3" s="1"/>
  <c r="BA56" i="3"/>
  <c r="BA57" i="3"/>
  <c r="AZ57" i="3" s="1"/>
  <c r="BL58" i="3"/>
  <c r="BA60" i="3"/>
  <c r="BA63" i="3"/>
  <c r="AZ63" i="3" s="1"/>
  <c r="BL69" i="3"/>
  <c r="G70" i="3"/>
  <c r="BL70" i="3"/>
  <c r="BL71" i="3"/>
  <c r="BL72" i="3"/>
  <c r="AZ72" i="3" s="1"/>
  <c r="G74" i="3"/>
  <c r="BA75" i="3"/>
  <c r="BL86" i="3"/>
  <c r="G87" i="3"/>
  <c r="BA91" i="3"/>
  <c r="AZ91" i="3" s="1"/>
  <c r="BA98" i="3"/>
  <c r="BA100" i="3"/>
  <c r="AZ100" i="3" s="1"/>
  <c r="BA102" i="3"/>
  <c r="AZ102" i="3" s="1"/>
  <c r="BL105" i="3"/>
  <c r="AZ105" i="3" s="1"/>
  <c r="G107" i="3"/>
  <c r="BL107" i="3"/>
  <c r="BA110" i="3"/>
  <c r="AZ110" i="3" s="1"/>
  <c r="F3" i="35"/>
  <c r="S21" i="33"/>
  <c r="T32" i="71"/>
  <c r="D32" i="71"/>
  <c r="C52" i="71"/>
  <c r="D51" i="71"/>
  <c r="AZ25" i="3"/>
  <c r="AZ52" i="3"/>
  <c r="AZ70" i="3"/>
  <c r="AB21" i="37"/>
  <c r="U21" i="37"/>
  <c r="AB25" i="71"/>
  <c r="AB28" i="71"/>
  <c r="AB26" i="71"/>
  <c r="BA184" i="3"/>
  <c r="AZ184" i="3" s="1"/>
  <c r="BL187" i="3"/>
  <c r="AZ187" i="3" s="1"/>
  <c r="BL189" i="3"/>
  <c r="AZ189" i="3" s="1"/>
  <c r="BL190" i="3"/>
  <c r="BA192" i="3"/>
  <c r="AZ192" i="3" s="1"/>
  <c r="BL197" i="3"/>
  <c r="BL199" i="3"/>
  <c r="AZ199" i="3" s="1"/>
  <c r="BA200" i="3"/>
  <c r="AZ200" i="3" s="1"/>
  <c r="BA202" i="3"/>
  <c r="BL207" i="3"/>
  <c r="BL18" i="3"/>
  <c r="BL19" i="3"/>
  <c r="BA20" i="3"/>
  <c r="AZ20" i="3" s="1"/>
  <c r="BL25" i="3"/>
  <c r="BL27" i="3"/>
  <c r="AZ27" i="3" s="1"/>
  <c r="BA28" i="3"/>
  <c r="AZ28" i="3" s="1"/>
  <c r="BA31" i="3"/>
  <c r="AZ31" i="3" s="1"/>
  <c r="BA32" i="3"/>
  <c r="G38" i="3"/>
  <c r="BA38" i="3"/>
  <c r="AZ38" i="3" s="1"/>
  <c r="BA41" i="3"/>
  <c r="BA42" i="3"/>
  <c r="G47" i="3"/>
  <c r="BL48" i="3"/>
  <c r="AZ48" i="3" s="1"/>
  <c r="BL54" i="3"/>
  <c r="BL55" i="3"/>
  <c r="AZ55" i="3" s="1"/>
  <c r="G58" i="3"/>
  <c r="BA59" i="3"/>
  <c r="AZ59" i="3" s="1"/>
  <c r="BL61" i="3"/>
  <c r="G64" i="3"/>
  <c r="BA64" i="3"/>
  <c r="AZ64" i="3" s="1"/>
  <c r="G67" i="3"/>
  <c r="BL68" i="3"/>
  <c r="BA69" i="3"/>
  <c r="BA73" i="3"/>
  <c r="G81" i="3"/>
  <c r="BL85" i="3"/>
  <c r="BA86" i="3"/>
  <c r="AZ86" i="3" s="1"/>
  <c r="BL97" i="3"/>
  <c r="AZ97" i="3" s="1"/>
  <c r="G103" i="3"/>
  <c r="BA103" i="3"/>
  <c r="AZ103" i="3" s="1"/>
  <c r="BA104" i="3"/>
  <c r="BA106" i="3"/>
  <c r="BL108" i="3"/>
  <c r="AZ108" i="3" s="1"/>
  <c r="U21" i="33"/>
  <c r="AB21" i="33"/>
  <c r="T44" i="71"/>
  <c r="P65" i="71"/>
  <c r="P66" i="71"/>
  <c r="F28" i="71"/>
  <c r="F27" i="71" s="1"/>
  <c r="F26" i="71" s="1"/>
  <c r="T40" i="71"/>
  <c r="D40" i="71"/>
  <c r="C55" i="71"/>
  <c r="D54" i="71"/>
  <c r="D67" i="71"/>
  <c r="C66" i="71"/>
  <c r="V24" i="71"/>
  <c r="E23" i="71"/>
  <c r="E22" i="71" s="1"/>
  <c r="E21" i="71" s="1"/>
  <c r="E20" i="71" s="1"/>
  <c r="U29" i="39"/>
  <c r="AA27" i="71"/>
  <c r="C75" i="71"/>
  <c r="O68" i="71"/>
  <c r="D46" i="71"/>
  <c r="Y28" i="71"/>
  <c r="Z28" i="71" s="1"/>
  <c r="X35" i="71"/>
  <c r="C34" i="71"/>
  <c r="AA37" i="71"/>
  <c r="X28" i="71"/>
  <c r="X32" i="71"/>
  <c r="F38" i="71"/>
  <c r="F39" i="71" s="1"/>
  <c r="F40" i="71" s="1"/>
  <c r="V40" i="71" s="1"/>
  <c r="B79" i="71"/>
  <c r="B78" i="71"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U25" i="40"/>
  <c r="S21" i="34"/>
  <c r="B68" i="43"/>
  <c r="B88" i="43"/>
  <c r="D39" i="71"/>
  <c r="C27" i="71"/>
  <c r="D76" i="71"/>
  <c r="T68" i="71"/>
  <c r="D62" i="71"/>
  <c r="U68" i="71"/>
  <c r="D30" i="71"/>
  <c r="X34" i="71"/>
  <c r="X31" i="71"/>
  <c r="F35" i="71"/>
  <c r="F36" i="71" s="1"/>
  <c r="V36" i="71" s="1"/>
  <c r="AA34" i="71"/>
  <c r="AB35" i="71"/>
  <c r="B51" i="71"/>
  <c r="B52" i="71" s="1"/>
  <c r="S52" i="71" s="1"/>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9" i="3"/>
  <c r="AZ452" i="3"/>
  <c r="AZ456" i="3"/>
  <c r="AZ470" i="3"/>
  <c r="W35" i="39"/>
  <c r="F27" i="34"/>
  <c r="C21" i="39"/>
  <c r="U9" i="36"/>
  <c r="U14" i="37"/>
  <c r="H12" i="21"/>
  <c r="G526" i="3"/>
  <c r="AZ420" i="3"/>
  <c r="AZ424"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BA215" i="3"/>
  <c r="AZ215" i="3" s="1"/>
  <c r="G219" i="3"/>
  <c r="AZ221" i="3"/>
  <c r="AZ225" i="3"/>
  <c r="G230" i="3"/>
  <c r="BA232" i="3"/>
  <c r="AZ232" i="3" s="1"/>
  <c r="BA234" i="3"/>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G240" i="3"/>
  <c r="G242" i="3"/>
  <c r="G245" i="3"/>
  <c r="BL246" i="3"/>
  <c r="AZ246" i="3" s="1"/>
  <c r="BL253" i="3"/>
  <c r="AZ253" i="3" s="1"/>
  <c r="BA261" i="3"/>
  <c r="AZ261" i="3" s="1"/>
  <c r="BA264" i="3"/>
  <c r="AZ264" i="3" s="1"/>
  <c r="BA266" i="3"/>
  <c r="AZ266" i="3" s="1"/>
  <c r="G272" i="3"/>
  <c r="G275" i="3"/>
  <c r="BL276" i="3"/>
  <c r="BL279" i="3"/>
  <c r="BL281" i="3"/>
  <c r="AZ281" i="3" s="1"/>
  <c r="BA285" i="3"/>
  <c r="AZ285" i="3" s="1"/>
  <c r="BA287" i="3"/>
  <c r="AZ287" i="3" s="1"/>
  <c r="AZ290" i="3"/>
  <c r="AZ134" i="3"/>
  <c r="AZ207"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BA295" i="3"/>
  <c r="AZ295" i="3" s="1"/>
  <c r="G298" i="3"/>
  <c r="BA299" i="3"/>
  <c r="AZ299" i="3" s="1"/>
  <c r="BA300" i="3"/>
  <c r="AZ300" i="3" s="1"/>
  <c r="BA113" i="3"/>
  <c r="AZ113" i="3" s="1"/>
  <c r="G119" i="3"/>
  <c r="G122" i="3"/>
  <c r="G131" i="3"/>
  <c r="BA136" i="3"/>
  <c r="AZ136" i="3" s="1"/>
  <c r="BA138" i="3"/>
  <c r="AZ138" i="3" s="1"/>
  <c r="BA141" i="3"/>
  <c r="BL145" i="3"/>
  <c r="AZ145" i="3" s="1"/>
  <c r="BL147" i="3"/>
  <c r="AZ147" i="3" s="1"/>
  <c r="G148" i="3"/>
  <c r="BL151" i="3"/>
  <c r="AZ151" i="3" s="1"/>
  <c r="BA165" i="3"/>
  <c r="G168" i="3"/>
  <c r="BA170" i="3"/>
  <c r="AZ170" i="3" s="1"/>
  <c r="BL174" i="3"/>
  <c r="AZ174" i="3" s="1"/>
  <c r="AZ185" i="3"/>
  <c r="AZ193" i="3"/>
  <c r="AZ87" i="3"/>
  <c r="BL202" i="3"/>
  <c r="AZ202" i="3" s="1"/>
  <c r="BL36" i="3"/>
  <c r="AZ36" i="3" s="1"/>
  <c r="AZ40" i="3"/>
  <c r="AZ73" i="3"/>
  <c r="AZ104" i="3"/>
  <c r="AZ106" i="3"/>
  <c r="G200" i="3"/>
  <c r="G207" i="3"/>
  <c r="BA23" i="3"/>
  <c r="AZ23" i="3" s="1"/>
  <c r="BA24" i="3"/>
  <c r="AZ24" i="3" s="1"/>
  <c r="BL26" i="3"/>
  <c r="AZ26" i="3" s="1"/>
  <c r="BL32" i="3"/>
  <c r="AZ32" i="3" s="1"/>
  <c r="BA34" i="3"/>
  <c r="AZ34" i="3" s="1"/>
  <c r="BA35" i="3"/>
  <c r="AZ35" i="3" s="1"/>
  <c r="BL37" i="3"/>
  <c r="BL42" i="3"/>
  <c r="AZ42" i="3" s="1"/>
  <c r="BA44" i="3"/>
  <c r="AZ44" i="3" s="1"/>
  <c r="AZ56" i="3"/>
  <c r="AZ60" i="3"/>
  <c r="BA206" i="3"/>
  <c r="AZ206" i="3" s="1"/>
  <c r="BL22" i="3"/>
  <c r="AZ22" i="3" s="1"/>
  <c r="BL33" i="3"/>
  <c r="AZ33" i="3" s="1"/>
  <c r="BL43" i="3"/>
  <c r="AZ43" i="3" s="1"/>
  <c r="BL46" i="3"/>
  <c r="AZ54" i="3"/>
  <c r="AZ90" i="3"/>
  <c r="AZ92" i="3"/>
  <c r="BL78" i="3"/>
  <c r="AZ78" i="3" s="1"/>
  <c r="BA83" i="3"/>
  <c r="AZ83" i="3" s="1"/>
  <c r="G91" i="3"/>
  <c r="BL95" i="3"/>
  <c r="AZ95" i="3" s="1"/>
  <c r="BL98" i="3"/>
  <c r="AZ98" i="3" s="1"/>
  <c r="BL109" i="3"/>
  <c r="AB21" i="21"/>
  <c r="G77" i="3"/>
  <c r="BA81" i="3"/>
  <c r="AZ81" i="3" s="1"/>
  <c r="BA85" i="3"/>
  <c r="AZ85" i="3" s="1"/>
  <c r="BL89" i="3"/>
  <c r="AZ89" i="3" s="1"/>
  <c r="G94" i="3"/>
  <c r="G97" i="3"/>
  <c r="G100" i="3"/>
  <c r="BA107" i="3"/>
  <c r="AZ107" i="3" s="1"/>
  <c r="BA112" i="3"/>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F30" i="6"/>
  <c r="L19" i="6"/>
  <c r="L27" i="6" s="1"/>
  <c r="M6" i="1"/>
  <c r="O6" i="1"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H26" i="43"/>
  <c r="F26" i="43"/>
  <c r="G26" i="43"/>
  <c r="E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5" i="67"/>
  <c r="F66" i="67"/>
  <c r="F66" i="15"/>
  <c r="Q71" i="67"/>
  <c r="F71" i="67"/>
  <c r="B13" i="70"/>
  <c r="F68" i="67"/>
  <c r="F64" i="67"/>
  <c r="D9" i="69"/>
  <c r="C36" i="69"/>
  <c r="D9" i="68"/>
  <c r="F6" i="15"/>
  <c r="D3" i="73"/>
  <c r="F9" i="67"/>
  <c r="M28" i="15"/>
  <c r="F36" i="15"/>
  <c r="M9" i="15"/>
  <c r="L47" i="67"/>
  <c r="F26" i="15"/>
  <c r="M8" i="15"/>
  <c r="M26" i="15"/>
  <c r="D5" i="73"/>
  <c r="F7" i="67"/>
  <c r="L48" i="67"/>
  <c r="F42" i="15"/>
  <c r="F40" i="15"/>
  <c r="F7" i="15"/>
  <c r="F37" i="15"/>
  <c r="F9" i="15"/>
  <c r="D6" i="73"/>
  <c r="L47" i="15"/>
  <c r="C16" i="67"/>
  <c r="F26" i="67"/>
  <c r="F8" i="15"/>
  <c r="F42" i="67"/>
  <c r="D4" i="73"/>
  <c r="D7" i="73"/>
  <c r="F16" i="15"/>
  <c r="M29" i="15"/>
  <c r="M23" i="67"/>
  <c r="M22" i="15"/>
  <c r="J15" i="15"/>
  <c r="F43" i="15"/>
  <c r="C76" i="15"/>
  <c r="F13" i="15"/>
  <c r="L48" i="15"/>
  <c r="J7" i="37" l="1"/>
  <c r="W38" i="33"/>
  <c r="U38" i="33"/>
  <c r="S39" i="33"/>
  <c r="U39" i="33"/>
  <c r="S42" i="33"/>
  <c r="H36" i="33"/>
  <c r="G111" i="33"/>
  <c r="H111" i="33" s="1"/>
  <c r="I111" i="33" s="1"/>
  <c r="J111" i="33" s="1"/>
  <c r="K111" i="33" s="1"/>
  <c r="L111" i="33" s="1"/>
  <c r="M111" i="33" s="1"/>
  <c r="AA15" i="33"/>
  <c r="S15" i="33"/>
  <c r="G16" i="1"/>
  <c r="F10" i="39" s="1"/>
  <c r="Q16" i="1"/>
  <c r="F27" i="69" s="1"/>
  <c r="C29" i="69" s="1"/>
  <c r="D27" i="69" s="1"/>
  <c r="H16" i="1"/>
  <c r="N94" i="46"/>
  <c r="K16" i="1"/>
  <c r="C30" i="68"/>
  <c r="C28" i="15"/>
  <c r="C30" i="69"/>
  <c r="C36" i="68"/>
  <c r="J7" i="36"/>
  <c r="C48" i="68"/>
  <c r="C28" i="67"/>
  <c r="F50" i="67"/>
  <c r="C49" i="67" s="1"/>
  <c r="F31" i="67"/>
  <c r="C6" i="67"/>
  <c r="C32" i="67" s="1"/>
  <c r="M7" i="67"/>
  <c r="J6" i="67" s="1"/>
  <c r="J18" i="67" s="1"/>
  <c r="L59" i="15"/>
  <c r="Q74" i="15" s="1"/>
  <c r="N59" i="15"/>
  <c r="L58" i="15"/>
  <c r="Q60" i="15" s="1"/>
  <c r="M59" i="15"/>
  <c r="F64" i="15"/>
  <c r="M7" i="15"/>
  <c r="J6" i="15" s="1"/>
  <c r="J18" i="15" s="1"/>
  <c r="F50" i="15"/>
  <c r="J57" i="15"/>
  <c r="J55" i="15" s="1"/>
  <c r="J58" i="15" s="1"/>
  <c r="Q50" i="15" s="1"/>
  <c r="I54" i="15"/>
  <c r="J53" i="15"/>
  <c r="L56" i="15" s="1"/>
  <c r="F71" i="15"/>
  <c r="Q71" i="15"/>
  <c r="F65" i="15"/>
  <c r="F51" i="15"/>
  <c r="L56" i="67"/>
  <c r="I54" i="67"/>
  <c r="J57" i="67"/>
  <c r="J55" i="67" s="1"/>
  <c r="J58" i="67" s="1"/>
  <c r="Q50" i="67" s="1"/>
  <c r="J53" i="67"/>
  <c r="Q52" i="67" s="1"/>
  <c r="F68" i="15"/>
  <c r="L58" i="67"/>
  <c r="Q73" i="67" s="1"/>
  <c r="M59" i="67"/>
  <c r="L59" i="67"/>
  <c r="Q61" i="67" s="1"/>
  <c r="N59" i="67"/>
  <c r="C27" i="67"/>
  <c r="C27" i="15"/>
  <c r="F31" i="15"/>
  <c r="C6" i="15"/>
  <c r="C32" i="15" s="1"/>
  <c r="O65" i="71"/>
  <c r="D66" i="71"/>
  <c r="O66" i="71"/>
  <c r="T52" i="71"/>
  <c r="D52" i="71"/>
  <c r="AZ58" i="3"/>
  <c r="AC39" i="37"/>
  <c r="W39" i="37"/>
  <c r="AB36" i="35"/>
  <c r="U36" i="35"/>
  <c r="W14" i="21"/>
  <c r="AC14" i="21"/>
  <c r="AZ112" i="3"/>
  <c r="G5" i="3"/>
  <c r="B3" i="3" s="1"/>
  <c r="E310" i="3" s="1"/>
  <c r="AZ271" i="3"/>
  <c r="AZ297" i="3"/>
  <c r="AZ241" i="3"/>
  <c r="AZ332" i="3"/>
  <c r="AZ211" i="3"/>
  <c r="AB24" i="36"/>
  <c r="U24" i="36"/>
  <c r="AC28" i="33"/>
  <c r="W28" i="33"/>
  <c r="AC12" i="33"/>
  <c r="W12" i="33"/>
  <c r="P6" i="1"/>
  <c r="C13" i="12" s="1"/>
  <c r="AZ37" i="3"/>
  <c r="AZ165" i="3"/>
  <c r="AZ292" i="3"/>
  <c r="AZ279" i="3"/>
  <c r="AZ213" i="3"/>
  <c r="C26" i="71"/>
  <c r="D26" i="71" s="1"/>
  <c r="D27" i="71"/>
  <c r="D34" i="71"/>
  <c r="C35" i="71"/>
  <c r="AZ69" i="3"/>
  <c r="AZ302" i="3"/>
  <c r="AZ284" i="3"/>
  <c r="AZ277" i="3"/>
  <c r="AZ256" i="3"/>
  <c r="AZ464" i="3"/>
  <c r="AZ435" i="3"/>
  <c r="AC24" i="36"/>
  <c r="W24" i="36"/>
  <c r="W13" i="39"/>
  <c r="AC13" i="39"/>
  <c r="AZ550" i="3"/>
  <c r="AA23" i="36"/>
  <c r="S23" i="36"/>
  <c r="U26" i="33"/>
  <c r="AB26" i="33"/>
  <c r="AZ109" i="3"/>
  <c r="AZ141" i="3"/>
  <c r="AZ117" i="3"/>
  <c r="AZ234" i="3"/>
  <c r="D75" i="71"/>
  <c r="C74" i="71"/>
  <c r="D74" i="71" s="1"/>
  <c r="C56" i="71"/>
  <c r="D55" i="71"/>
  <c r="AZ41" i="3"/>
  <c r="AZ75" i="3"/>
  <c r="AZ190" i="3"/>
  <c r="AZ19" i="3"/>
  <c r="AZ150" i="3"/>
  <c r="AZ121" i="3"/>
  <c r="AZ274" i="3"/>
  <c r="AZ130" i="3"/>
  <c r="AZ244" i="3"/>
  <c r="AZ239" i="3"/>
  <c r="AZ404" i="3"/>
  <c r="AZ415" i="3"/>
  <c r="AZ398" i="3"/>
  <c r="AZ491" i="3"/>
  <c r="S32" i="40"/>
  <c r="AA32" i="40"/>
  <c r="AB39" i="37"/>
  <c r="U39" i="37"/>
  <c r="U12" i="36"/>
  <c r="AB12" i="36"/>
  <c r="K1" i="73"/>
  <c r="E258" i="3"/>
  <c r="E525" i="3"/>
  <c r="E178" i="3"/>
  <c r="E520" i="3"/>
  <c r="E208" i="3"/>
  <c r="E434" i="3"/>
  <c r="E203" i="3"/>
  <c r="E581" i="3"/>
  <c r="E239" i="3"/>
  <c r="E415" i="3"/>
  <c r="E336" i="3"/>
  <c r="E85" i="3"/>
  <c r="E571" i="3"/>
  <c r="E111" i="3"/>
  <c r="E515" i="3"/>
  <c r="E505" i="3"/>
  <c r="E175" i="3"/>
  <c r="E508" i="3"/>
  <c r="E380" i="3"/>
  <c r="E261" i="3"/>
  <c r="E124" i="3"/>
  <c r="E568" i="3"/>
  <c r="E587" i="3"/>
  <c r="E106" i="3"/>
  <c r="Z6" i="3"/>
  <c r="E345" i="3"/>
  <c r="E217" i="3"/>
  <c r="AJ6" i="3"/>
  <c r="E335" i="3"/>
  <c r="E278" i="3"/>
  <c r="E246" i="3"/>
  <c r="E148" i="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S7" i="36" s="1"/>
  <c r="H7" i="36"/>
  <c r="AB7"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H7" i="37"/>
  <c r="AB7" i="37" s="1"/>
  <c r="T42" i="37" s="1"/>
  <c r="G42" i="37" s="1"/>
  <c r="S10" i="39"/>
  <c r="AA10" i="39"/>
  <c r="H7" i="33"/>
  <c r="J7" i="33"/>
  <c r="D65" i="40"/>
  <c r="E63" i="40"/>
  <c r="F48" i="35"/>
  <c r="AC7" i="37"/>
  <c r="W7" i="37"/>
  <c r="F7" i="33"/>
  <c r="E58" i="21"/>
  <c r="AC7" i="36"/>
  <c r="V36" i="36" s="1"/>
  <c r="I36" i="36" s="1"/>
  <c r="W7" i="36"/>
  <c r="F7" i="37"/>
  <c r="P28" i="43"/>
  <c r="B66" i="40" s="1"/>
  <c r="P25" i="43"/>
  <c r="P29" i="43"/>
  <c r="P27" i="43"/>
  <c r="B70" i="39" s="1"/>
  <c r="M11" i="67"/>
  <c r="J10" i="67" s="1"/>
  <c r="F11" i="15"/>
  <c r="M11" i="15"/>
  <c r="J10" i="15" s="1"/>
  <c r="F11" i="67"/>
  <c r="AE11" i="1"/>
  <c r="AE9" i="1"/>
  <c r="F27" i="68"/>
  <c r="AE7" i="1"/>
  <c r="AE8" i="1"/>
  <c r="AE12" i="1"/>
  <c r="AE10" i="1"/>
  <c r="C16" i="15"/>
  <c r="G1" i="73"/>
  <c r="U7" i="36" l="1"/>
  <c r="U36" i="33"/>
  <c r="AB36" i="33"/>
  <c r="F45" i="69"/>
  <c r="AA7" i="36"/>
  <c r="C47" i="69"/>
  <c r="D45" i="69" s="1"/>
  <c r="Q52" i="15"/>
  <c r="J5" i="15"/>
  <c r="J24" i="15" s="1"/>
  <c r="M17" i="15"/>
  <c r="Q74" i="67"/>
  <c r="F1" i="67"/>
  <c r="F1" i="15"/>
  <c r="E294" i="3"/>
  <c r="E429" i="3"/>
  <c r="E352" i="3"/>
  <c r="E383" i="3"/>
  <c r="E369" i="3"/>
  <c r="E263" i="3"/>
  <c r="E570" i="3"/>
  <c r="E273" i="3"/>
  <c r="E368" i="3"/>
  <c r="E560" i="3"/>
  <c r="E301" i="3"/>
  <c r="AR6" i="3"/>
  <c r="E331" i="3"/>
  <c r="E269" i="3"/>
  <c r="E458" i="3"/>
  <c r="E382" i="3"/>
  <c r="E551" i="3"/>
  <c r="E334" i="3"/>
  <c r="E252" i="3"/>
  <c r="E481" i="3"/>
  <c r="O6" i="3"/>
  <c r="E459" i="3"/>
  <c r="E364" i="3"/>
  <c r="E232" i="3"/>
  <c r="E513" i="3"/>
  <c r="E366" i="3"/>
  <c r="E448" i="3"/>
  <c r="E565" i="3"/>
  <c r="E90" i="3"/>
  <c r="E427" i="3"/>
  <c r="E499" i="3"/>
  <c r="E139" i="3"/>
  <c r="E94" i="3"/>
  <c r="E219" i="3"/>
  <c r="E275" i="3"/>
  <c r="E535" i="3"/>
  <c r="E247" i="3"/>
  <c r="E28" i="3"/>
  <c r="E315" i="3"/>
  <c r="E228" i="3"/>
  <c r="E503" i="3"/>
  <c r="E337" i="3"/>
  <c r="E27" i="3"/>
  <c r="E318" i="3"/>
  <c r="E45" i="3"/>
  <c r="E117" i="3"/>
  <c r="E229" i="3"/>
  <c r="E121" i="3"/>
  <c r="E580" i="3"/>
  <c r="E177" i="3"/>
  <c r="E403" i="3"/>
  <c r="E375" i="3"/>
  <c r="E170" i="3"/>
  <c r="E26" i="3"/>
  <c r="F59" i="67"/>
  <c r="E510" i="3"/>
  <c r="E212" i="3"/>
  <c r="E502" i="3"/>
  <c r="E449" i="3"/>
  <c r="E517" i="3"/>
  <c r="E37" i="3"/>
  <c r="E241" i="3"/>
  <c r="E544" i="3"/>
  <c r="E467" i="3"/>
  <c r="E267" i="3"/>
  <c r="E492"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86" i="3"/>
  <c r="E442" i="3"/>
  <c r="E255" i="3"/>
  <c r="E491" i="3"/>
  <c r="E95" i="3"/>
  <c r="E292" i="3"/>
  <c r="E59" i="3"/>
  <c r="E64" i="3"/>
  <c r="E249"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539" i="3"/>
  <c r="E575" i="3"/>
  <c r="E466" i="3"/>
  <c r="AP6" i="3"/>
  <c r="E417" i="3"/>
  <c r="E152" i="3"/>
  <c r="E349" i="3"/>
  <c r="E409" i="3"/>
  <c r="E46" i="3"/>
  <c r="E371"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AC6" i="3" s="1"/>
  <c r="E87" i="3"/>
  <c r="E187" i="3"/>
  <c r="E127" i="3"/>
  <c r="E136" i="3"/>
  <c r="E224" i="3"/>
  <c r="E474" i="3"/>
  <c r="E537" i="3"/>
  <c r="E168" i="3"/>
  <c r="E14" i="3"/>
  <c r="E207" i="3"/>
  <c r="E411" i="3"/>
  <c r="E547" i="3"/>
  <c r="E92" i="3"/>
  <c r="E317" i="3"/>
  <c r="E319" i="3"/>
  <c r="E328" i="3"/>
  <c r="E285" i="3"/>
  <c r="E523" i="3"/>
  <c r="E321" i="3"/>
  <c r="E304" i="3"/>
  <c r="E302" i="3"/>
  <c r="E303" i="3"/>
  <c r="E280" i="3"/>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AA6" i="3"/>
  <c r="E298" i="3"/>
  <c r="E501" i="3"/>
  <c r="E548" i="3"/>
  <c r="E471" i="3"/>
  <c r="E82" i="3"/>
  <c r="E66" i="3"/>
  <c r="E464" i="3"/>
  <c r="E312" i="3"/>
  <c r="E552" i="3"/>
  <c r="E123" i="3"/>
  <c r="E15" i="3"/>
  <c r="E463" i="3"/>
  <c r="E393" i="3"/>
  <c r="E324" i="3"/>
  <c r="E13" i="3"/>
  <c r="E205" i="3"/>
  <c r="E96" i="3"/>
  <c r="E81" i="3"/>
  <c r="E160" i="3"/>
  <c r="E479" i="3"/>
  <c r="E536"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402" i="3"/>
  <c r="E506" i="3"/>
  <c r="AM6" i="3"/>
  <c r="E145" i="3"/>
  <c r="E438" i="3"/>
  <c r="E504" i="3"/>
  <c r="E39" i="3"/>
  <c r="E284" i="3"/>
  <c r="E250" i="3"/>
  <c r="E524" i="3"/>
  <c r="AQ6" i="3"/>
  <c r="E60" i="3"/>
  <c r="J6" i="3"/>
  <c r="E188" i="3"/>
  <c r="E412" i="3"/>
  <c r="E451" i="3"/>
  <c r="E113" i="3"/>
  <c r="E42" i="3"/>
  <c r="E355" i="3"/>
  <c r="E484" i="3"/>
  <c r="E554" i="3"/>
  <c r="E378" i="3"/>
  <c r="E248" i="3"/>
  <c r="E131" i="3"/>
  <c r="AY6"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E221" i="3"/>
  <c r="E97" i="3"/>
  <c r="E126" i="3"/>
  <c r="E93" i="3"/>
  <c r="E313" i="3"/>
  <c r="E154" i="3"/>
  <c r="E341" i="3"/>
  <c r="E138" i="3"/>
  <c r="E521" i="3"/>
  <c r="E176" i="3"/>
  <c r="E299" i="3"/>
  <c r="E346" i="3"/>
  <c r="E440" i="3"/>
  <c r="E326" i="3"/>
  <c r="E225" i="3"/>
  <c r="E456" i="3"/>
  <c r="E206" i="3"/>
  <c r="E281" i="3"/>
  <c r="E33" i="3"/>
  <c r="E389" i="3"/>
  <c r="E430" i="3"/>
  <c r="C49" i="15"/>
  <c r="Q61" i="15"/>
  <c r="F59" i="15"/>
  <c r="Q73" i="15"/>
  <c r="Q60" i="67"/>
  <c r="M17" i="67"/>
  <c r="J5" i="67"/>
  <c r="J24" i="67" s="1"/>
  <c r="R36" i="36"/>
  <c r="C36" i="71"/>
  <c r="D35" i="71"/>
  <c r="T36" i="36"/>
  <c r="G36" i="36" s="1"/>
  <c r="E3" i="6"/>
  <c r="D56" i="71"/>
  <c r="T56" i="71"/>
  <c r="E23" i="3"/>
  <c r="E300" i="3"/>
  <c r="E103" i="3"/>
  <c r="E425" i="3"/>
  <c r="E76" i="3"/>
  <c r="E363" i="3"/>
  <c r="E192" i="3"/>
  <c r="E56" i="3"/>
  <c r="E435" i="3"/>
  <c r="I3" i="6"/>
  <c r="E541" i="3"/>
  <c r="R6" i="3"/>
  <c r="E199"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C35" i="9"/>
  <c r="M27" i="15"/>
  <c r="M27" i="67"/>
  <c r="F41" i="15"/>
  <c r="AE6" i="1"/>
  <c r="C48" i="15" l="1"/>
  <c r="C66" i="15" s="1"/>
  <c r="H6" i="3"/>
  <c r="E6" i="3" s="1"/>
  <c r="D116" i="43"/>
  <c r="F22" i="68"/>
  <c r="F41" i="68" s="1"/>
  <c r="F22" i="11"/>
  <c r="C44" i="11" s="1"/>
  <c r="D41" i="11" s="1"/>
  <c r="F25" i="12"/>
  <c r="C26" i="12" s="1"/>
  <c r="D25" i="12" s="1"/>
  <c r="F24" i="67"/>
  <c r="C24" i="67" s="1"/>
  <c r="F24" i="15"/>
  <c r="C24" i="15" s="1"/>
  <c r="F22" i="69"/>
  <c r="F41" i="69" s="1"/>
  <c r="D36" i="71"/>
  <c r="T36" i="7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6" i="67"/>
  <c r="C60" i="67"/>
  <c r="D10" i="69"/>
  <c r="C34" i="69"/>
  <c r="D10" i="68"/>
  <c r="C14" i="67"/>
  <c r="C17" i="67"/>
  <c r="F41" i="67"/>
  <c r="C17" i="15"/>
  <c r="F69" i="67" l="1"/>
  <c r="C24" i="11"/>
  <c r="C44" i="69"/>
  <c r="D41" i="69" s="1"/>
  <c r="C23" i="11"/>
  <c r="C25" i="11"/>
  <c r="C26" i="69"/>
  <c r="D22" i="69" s="1"/>
  <c r="C26" i="11"/>
  <c r="D22" i="11" s="1"/>
  <c r="C26" i="68"/>
  <c r="D22" i="68" s="1"/>
  <c r="C23" i="68"/>
  <c r="C44" i="68"/>
  <c r="D41" i="68"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67"/>
  <c r="F35" i="15"/>
  <c r="M21" i="67"/>
  <c r="M21"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8"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7"/>
  <c r="D2" i="36"/>
  <c r="L51" i="15"/>
  <c r="D2" i="34"/>
  <c r="D19" i="9"/>
  <c r="C19" i="9"/>
  <c r="D2" i="35"/>
  <c r="C102" i="9" l="1"/>
  <c r="C21" i="9"/>
  <c r="B3" i="33"/>
  <c r="D102" i="9"/>
  <c r="D22" i="9"/>
  <c r="G19" i="9"/>
  <c r="G21" i="9" s="1"/>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C20" i="9"/>
  <c r="AO12" i="1"/>
  <c r="AO10" i="1"/>
  <c r="AO6" i="1"/>
  <c r="D20" i="9"/>
  <c r="AO8" i="1"/>
  <c r="AO9" i="1"/>
  <c r="AO7" i="1"/>
  <c r="C103" i="9" l="1"/>
  <c r="G20" i="9"/>
  <c r="C32" i="9" s="1"/>
  <c r="D34" i="9" s="1"/>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l="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I118" i="9" l="1"/>
  <c r="G118" i="9"/>
  <c r="E118" i="9" s="1"/>
  <c r="I4" i="52" l="1"/>
  <c r="H118" i="9"/>
  <c r="C105" i="9"/>
  <c r="E4" i="52"/>
  <c r="B48" i="72" s="1"/>
  <c r="D118" i="9"/>
  <c r="G4" i="52"/>
  <c r="B52" i="72" s="1"/>
  <c r="F118" i="9"/>
  <c r="H102" i="9"/>
  <c r="F119" i="9" l="1"/>
  <c r="F5" i="52" s="1"/>
  <c r="B53" i="72" s="1"/>
  <c r="F4" i="52"/>
  <c r="B51" i="72" s="1"/>
  <c r="C104" i="9"/>
  <c r="H101" i="9"/>
  <c r="H119" i="9"/>
  <c r="H5" i="52" s="1"/>
  <c r="H4" i="52"/>
  <c r="D4" i="52"/>
  <c r="B47" i="72" s="1"/>
  <c r="D119" i="9"/>
  <c r="D5" i="52" s="1"/>
  <c r="B49" i="72" s="1"/>
  <c r="D7" i="53"/>
  <c r="B21" i="72" s="1"/>
  <c r="E14" i="74"/>
  <c r="H107" i="9" l="1"/>
  <c r="M48" i="9"/>
  <c r="D45" i="9"/>
  <c r="D14" i="74"/>
  <c r="D5" i="53"/>
  <c r="B5" i="74" l="1"/>
  <c r="F14" i="74"/>
  <c r="D55" i="9"/>
  <c r="M53" i="9" s="1"/>
  <c r="D52" i="9"/>
  <c r="C64" i="9"/>
  <c r="C63" i="9" s="1"/>
  <c r="C67" i="9" s="1"/>
  <c r="C93" i="9"/>
  <c r="C86" i="9" s="1"/>
  <c r="D53" i="9"/>
  <c r="C78" i="9"/>
  <c r="C73" i="9" s="1"/>
  <c r="C72" i="9"/>
  <c r="C85" i="9"/>
  <c r="D6" i="53"/>
  <c r="B22" i="72" s="1"/>
  <c r="B20" i="72"/>
  <c r="M49" i="9"/>
  <c r="H108" i="9"/>
  <c r="D122" i="9"/>
  <c r="D13" i="53"/>
  <c r="C95" i="9" l="1"/>
  <c r="C96" i="9" s="1"/>
  <c r="E96" i="9" s="1"/>
  <c r="E97" i="9" s="1"/>
  <c r="B30" i="72"/>
  <c r="D14" i="53"/>
  <c r="B32" i="72" s="1"/>
  <c r="D123" i="9"/>
  <c r="D9" i="52" s="1"/>
  <c r="D8" i="52"/>
  <c r="D15" i="53"/>
  <c r="B31" i="72" s="1"/>
  <c r="C6" i="74"/>
  <c r="C97" i="9"/>
  <c r="D58" i="9" s="1"/>
  <c r="D56" i="9" s="1"/>
  <c r="M54" i="9" s="1"/>
  <c r="L65" i="9"/>
  <c r="M65" i="9" s="1"/>
  <c r="L64" i="9"/>
  <c r="M64" i="9" s="1"/>
  <c r="L66" i="9"/>
  <c r="M66" i="9" s="1"/>
  <c r="L63" i="9"/>
  <c r="M63" i="9" s="1"/>
  <c r="L67" i="9"/>
  <c r="M67" i="9" s="1"/>
  <c r="L68" i="9"/>
  <c r="M68" i="9" s="1"/>
  <c r="C79" i="9"/>
  <c r="C68" i="9"/>
  <c r="D54" i="9" s="1"/>
  <c r="D59" i="9"/>
  <c r="M55" i="9" s="1"/>
  <c r="D5" i="74"/>
  <c r="C5" i="74"/>
  <c r="M69" i="9" l="1"/>
  <c r="N69" i="9" s="1"/>
  <c r="N57" i="9"/>
  <c r="N58" i="9" s="1"/>
  <c r="C80" i="9"/>
  <c r="E80" i="9" s="1"/>
  <c r="E81" i="9" s="1"/>
  <c r="C81" i="9" l="1"/>
  <c r="N59" i="9"/>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<sst xmlns="http://schemas.openxmlformats.org/spreadsheetml/2006/main" count="8269" uniqueCount="3480">
  <si>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</si>
  <si>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</si>
  <si>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</si>
  <si>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</si>
  <si>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</si>
  <si>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</si>
  <si>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</si>
  <si>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</si>
  <si>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</si>
  <si>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</si>
  <si>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</si>
  <si>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</si>
  <si>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</si>
  <si>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</si>
  <si>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</si>
  <si>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</si>
  <si>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</si>
  <si>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</si>
  <si>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</si>
  <si>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</si>
  <si>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</si>
  <si>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</si>
  <si>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</si>
  <si>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</si>
  <si>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</si>
  <si>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</si>
  <si>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</si>
  <si>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</si>
  <si>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</si>
  <si>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</si>
  <si>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</si>
  <si>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</si>
  <si>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</si>
  <si>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</si>
  <si>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</si>
  <si>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</si>
  <si>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</si>
  <si>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</si>
  <si>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</si>
  <si>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</si>
  <si>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</si>
  <si>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</si>
  <si>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</si>
  <si>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</si>
  <si>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</si>
  <si>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</si>
  <si>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</si>
  <si>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</si>
  <si>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</si>
  <si>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</si>
  <si>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</si>
  <si>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</si>
  <si>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</si>
  <si>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</si>
  <si>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</si>
  <si>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</si>
  <si>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</si>
  <si>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</si>
  <si>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</si>
  <si>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</si>
  <si>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</si>
  <si>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</si>
  <si>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</si>
  <si>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</si>
  <si>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</si>
  <si>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</si>
  <si>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</si>
  <si>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</si>
  <si>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</si>
  <si>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</si>
  <si>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</si>
  <si>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</si>
  <si>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</si>
  <si>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</si>
  <si>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</si>
  <si>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</si>
  <si>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</si>
  <si>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</si>
  <si>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</si>
  <si>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</si>
  <si>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</si>
  <si>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</si>
  <si>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</si>
  <si>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</si>
  <si>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</si>
  <si>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</si>
  <si>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</si>
  <si>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</si>
  <si>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</si>
  <si>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</si>
  <si>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</si>
  <si>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</si>
  <si>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</si>
  <si>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</si>
  <si>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</si>
  <si>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</si>
  <si>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</si>
  <si>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</si>
  <si>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</si>
  <si>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</si>
  <si>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</si>
  <si>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</si>
  <si>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</si>
  <si>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</si>
  <si>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</si>
  <si>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</si>
  <si>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</si>
  <si>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</si>
  <si>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</si>
  <si>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</si>
  <si>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</si>
  <si>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</si>
  <si>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</si>
  <si>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</si>
  <si>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</si>
  <si>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</si>
  <si>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</si>
  <si>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</si>
  <si>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</si>
  <si>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</si>
  <si>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</si>
  <si>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</si>
  <si>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</si>
  <si>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</si>
  <si>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</si>
  <si>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</si>
  <si>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</si>
  <si>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</si>
  <si>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</si>
  <si>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</si>
  <si>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</si>
  <si>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</si>
  <si>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</si>
  <si>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</si>
  <si>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</si>
  <si>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</si>
  <si>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</si>
  <si>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</si>
  <si>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</si>
  <si>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</si>
  <si>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</si>
  <si>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</si>
  <si>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</si>
  <si>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</si>
  <si>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</si>
  <si>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</si>
  <si>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</si>
  <si>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</si>
  <si>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</si>
  <si>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</si>
  <si>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</si>
  <si>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</si>
  <si>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</si>
  <si>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</si>
  <si>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</si>
  <si>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</si>
  <si>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</si>
  <si>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</si>
  <si>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</si>
  <si>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</si>
  <si>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</si>
  <si>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</si>
  <si>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</si>
  <si>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</si>
  <si>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</si>
  <si>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</si>
  <si>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</si>
  <si>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</si>
  <si>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</si>
  <si>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</si>
  <si>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</si>
  <si>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</si>
  <si>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</si>
  <si>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</si>
  <si>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</si>
  <si>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</si>
  <si>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</si>
  <si>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</si>
  <si>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</si>
  <si>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</si>
  <si>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</si>
  <si>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</si>
  <si>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</si>
  <si>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</si>
  <si>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</si>
  <si>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</si>
  <si>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</si>
  <si>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</si>
  <si>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</si>
  <si>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</si>
  <si>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</si>
  <si>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</si>
  <si>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</si>
  <si>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</si>
  <si>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</si>
  <si>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</si>
  <si>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</si>
  <si>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</si>
  <si>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</si>
  <si>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</si>
  <si>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</si>
  <si>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</si>
  <si>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</si>
  <si>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</si>
  <si>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</si>
  <si>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</si>
  <si>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</si>
  <si>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</si>
  <si>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</si>
  <si>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</si>
  <si>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</si>
  <si>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</si>
  <si>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</si>
  <si>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</si>
  <si>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</si>
  <si>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</si>
  <si>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</si>
  <si>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</si>
  <si>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</si>
  <si>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</si>
  <si>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</si>
  <si>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</si>
  <si>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</si>
  <si>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</si>
  <si>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</si>
  <si>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</si>
  <si>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</si>
  <si>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</si>
  <si>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</si>
  <si>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</si>
  <si>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</si>
  <si>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</si>
  <si>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</si>
  <si>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</si>
  <si>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</si>
  <si>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</si>
  <si>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</si>
  <si>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</si>
  <si>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</si>
  <si>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</si>
  <si>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</si>
  <si>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</si>
  <si>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</si>
  <si>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</si>
  <si>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</si>
  <si>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</si>
  <si>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</si>
  <si>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</si>
  <si>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</si>
  <si>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</si>
  <si>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</si>
  <si>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</si>
  <si>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</si>
  <si>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</si>
  <si>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</si>
  <si>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</si>
  <si>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</si>
  <si>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</si>
  <si>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</si>
  <si>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</si>
  <si>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</si>
  <si>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</si>
  <si>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</si>
  <si>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</si>
  <si>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</si>
  <si>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</si>
  <si>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</si>
  <si>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</si>
  <si>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</si>
  <si>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</si>
  <si>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</si>
  <si>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</si>
  <si>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</si>
  <si>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</si>
  <si>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</si>
  <si>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</si>
  <si>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</si>
  <si>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</si>
  <si>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</si>
  <si>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</si>
  <si>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</si>
  <si>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</si>
  <si>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</si>
  <si>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</si>
  <si>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</si>
  <si>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</si>
  <si>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</si>
  <si>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</si>
  <si>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</si>
  <si>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</si>
  <si>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</si>
  <si>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</si>
  <si>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</si>
  <si>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</si>
  <si>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</si>
  <si>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</si>
  <si>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</si>
  <si>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</si>
  <si>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</si>
  <si>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</si>
  <si>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</si>
  <si>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</si>
  <si>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</si>
  <si>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</si>
  <si>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</si>
  <si>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</si>
  <si>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</si>
  <si>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</si>
  <si>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</si>
  <si>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</si>
  <si>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</si>
  <si>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</si>
  <si>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</si>
  <si>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</si>
  <si>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</si>
  <si>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</si>
  <si>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</si>
  <si>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</si>
  <si>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</si>
  <si>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</si>
  <si>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</si>
  <si>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</si>
  <si>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</si>
  <si>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</si>
  <si>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</si>
  <si>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</si>
  <si>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</si>
  <si>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</si>
  <si>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</si>
  <si>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</si>
  <si>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</si>
  <si>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</si>
  <si>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</si>
  <si>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</si>
  <si>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</si>
  <si>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</si>
  <si>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</si>
  <si>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</si>
  <si>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</si>
  <si>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</si>
  <si>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</si>
  <si>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</si>
  <si>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</si>
  <si>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</si>
  <si>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</si>
  <si>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</si>
  <si>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</si>
  <si>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</si>
  <si>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</si>
  <si>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</si>
  <si>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</si>
  <si>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</si>
  <si>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</si>
  <si>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</si>
  <si>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</si>
  <si>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</si>
  <si>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</si>
  <si>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</si>
  <si>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</si>
  <si>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</si>
  <si>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</si>
  <si>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</si>
  <si>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</si>
  <si>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</si>
  <si>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</si>
  <si>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</si>
  <si>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</si>
  <si>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</si>
  <si>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</si>
  <si>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</si>
  <si>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</si>
  <si>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</si>
  <si>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</si>
  <si>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</si>
  <si>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</si>
  <si>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</si>
  <si>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</si>
  <si>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</si>
  <si>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</si>
  <si>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</si>
  <si>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</si>
  <si>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</si>
  <si>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</si>
  <si>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</si>
  <si>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</si>
  <si>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</si>
  <si>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</si>
  <si>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</si>
  <si>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</si>
  <si>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</si>
  <si>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</si>
  <si>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</si>
  <si>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</si>
  <si>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</si>
  <si>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</si>
  <si>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</si>
  <si>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</si>
  <si>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</si>
  <si>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</si>
  <si>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</si>
  <si>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</si>
  <si>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</si>
  <si>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</si>
  <si>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</si>
  <si>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</si>
  <si>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</si>
  <si>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</si>
  <si>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</si>
  <si>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</si>
  <si>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</si>
  <si>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</si>
  <si>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</si>
  <si>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</si>
  <si>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</si>
  <si>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</si>
  <si>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</si>
  <si>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</si>
  <si>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</si>
  <si>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</si>
  <si>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</si>
  <si>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</si>
  <si>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</si>
  <si>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</si>
  <si>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</si>
  <si>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</si>
  <si>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</si>
  <si>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</si>
  <si>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</si>
  <si>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</si>
  <si>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</si>
  <si>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</si>
  <si>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</si>
  <si>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</si>
  <si>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</si>
  <si>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</si>
  <si>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</si>
  <si>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</si>
  <si>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</si>
  <si>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</si>
  <si>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</si>
  <si>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</si>
  <si>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</si>
  <si>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</si>
  <si>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</si>
  <si>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</si>
  <si>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</si>
  <si>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</si>
  <si>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</si>
  <si>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</si>
  <si>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</si>
  <si>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</si>
  <si>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</si>
  <si>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</si>
  <si>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</si>
  <si>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</si>
  <si>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</si>
  <si>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</si>
  <si>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</si>
  <si>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</si>
  <si>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</si>
  <si>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</si>
  <si>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</si>
  <si>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</si>
  <si>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</si>
  <si>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</si>
  <si>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</si>
  <si>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</si>
  <si>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</si>
  <si>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</si>
  <si>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</si>
  <si>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</si>
  <si>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</si>
  <si>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</si>
  <si>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</si>
  <si>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</si>
  <si>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</si>
  <si>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</si>
  <si>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</si>
  <si>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</si>
  <si>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</si>
  <si>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</si>
  <si>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</si>
  <si>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</si>
  <si>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</si>
  <si>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</si>
  <si>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</si>
  <si>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</si>
  <si>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</si>
  <si>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</si>
  <si>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</si>
  <si>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</si>
  <si>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</si>
  <si>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</si>
  <si>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</si>
  <si>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</si>
  <si>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</si>
  <si>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</si>
  <si>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</si>
  <si>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</si>
  <si>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</si>
  <si>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</si>
  <si>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</si>
  <si>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</si>
  <si>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</si>
  <si>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</si>
  <si>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</si>
  <si>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</si>
  <si>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</si>
  <si>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</si>
  <si>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</si>
  <si>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</si>
  <si>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</si>
  <si>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</si>
  <si>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</si>
  <si>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</si>
  <si>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</si>
  <si>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</si>
  <si>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</si>
  <si>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</si>
  <si>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</si>
  <si>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</si>
  <si>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</si>
  <si>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</si>
  <si>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</si>
  <si>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</si>
  <si>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</si>
  <si>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</si>
  <si>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</si>
  <si>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</si>
  <si>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</si>
  <si>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</si>
  <si>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</si>
  <si>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</si>
  <si>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</si>
  <si>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</si>
  <si>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</si>
  <si>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</si>
  <si>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</si>
  <si>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</si>
  <si>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</si>
  <si>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</si>
  <si>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</si>
  <si>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</si>
  <si>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</si>
  <si>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</si>
  <si>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</si>
  <si>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</si>
  <si>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</si>
  <si>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</si>
  <si>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</si>
  <si>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</si>
  <si>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</si>
  <si>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</si>
  <si>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</si>
  <si>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</si>
  <si>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</si>
  <si>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</si>
  <si>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</si>
  <si>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</si>
  <si>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</si>
  <si>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</si>
  <si>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</si>
  <si>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</si>
  <si>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</si>
  <si>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</si>
  <si>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</si>
  <si>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</si>
  <si>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</si>
  <si>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</si>
  <si>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</si>
  <si>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</si>
  <si>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</si>
  <si>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</si>
  <si>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</si>
  <si>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</si>
  <si>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</si>
  <si>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</si>
  <si>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</si>
  <si>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</si>
  <si>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</si>
  <si>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</si>
  <si>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</si>
  <si>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</si>
  <si>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</si>
  <si>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</si>
  <si>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</si>
  <si>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</si>
  <si>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</si>
  <si>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</si>
  <si>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</si>
  <si>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</si>
  <si>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</si>
  <si>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</si>
  <si>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</si>
  <si>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</si>
  <si>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</si>
  <si>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</si>
  <si>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</si>
  <si>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</si>
  <si>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</si>
  <si>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</si>
  <si>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</si>
  <si>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</si>
  <si>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</si>
  <si>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</si>
  <si>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</si>
  <si>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</si>
  <si>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</si>
  <si>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</si>
  <si>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</si>
  <si>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</si>
  <si>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</si>
  <si>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</si>
  <si>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</si>
  <si>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</si>
  <si>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</si>
  <si>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</si>
  <si>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</si>
  <si>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</si>
  <si>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</si>
  <si>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</si>
  <si>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</si>
  <si>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</si>
  <si>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</si>
  <si>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</si>
  <si>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</si>
  <si>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</si>
  <si>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</si>
  <si>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</si>
  <si>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</si>
  <si>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</si>
  <si>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</si>
  <si>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</si>
  <si>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</si>
  <si>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</si>
  <si>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</si>
  <si>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</si>
  <si>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</si>
  <si>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</si>
  <si>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</si>
  <si>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</si>
  <si>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</si>
  <si>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</si>
  <si>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</si>
  <si>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</si>
  <si>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</si>
  <si>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</si>
  <si>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</si>
  <si>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</si>
  <si>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</si>
  <si>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</si>
  <si>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</si>
  <si>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</si>
  <si>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</si>
  <si>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</si>
  <si>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</si>
  <si>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</si>
  <si>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</si>
  <si>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</si>
  <si>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</si>
  <si>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</si>
  <si>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</si>
  <si>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</si>
  <si>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</si>
  <si>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</si>
  <si>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</si>
  <si>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</si>
  <si>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</si>
  <si>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</si>
  <si>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</si>
  <si>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</si>
  <si>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</si>
  <si>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</si>
  <si>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</si>
  <si>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</si>
  <si>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</si>
  <si>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</si>
  <si>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</si>
  <si>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</si>
  <si>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</si>
  <si>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</si>
  <si>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</si>
  <si>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</si>
  <si>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</si>
  <si>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</si>
  <si>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</si>
  <si>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</si>
  <si>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</si>
  <si>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</si>
  <si>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</si>
  <si>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</si>
  <si>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</si>
  <si>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</si>
  <si>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</si>
  <si>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</si>
  <si>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</si>
  <si>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</si>
  <si>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</si>
  <si>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</si>
  <si>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</si>
  <si>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</si>
  <si>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</si>
  <si>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</si>
  <si>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</si>
  <si>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</si>
  <si>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</si>
  <si>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</si>
  <si>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</si>
  <si>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</si>
  <si>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</si>
  <si>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</si>
  <si>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</si>
  <si>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</si>
  <si>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</si>
  <si>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</si>
  <si>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</si>
  <si>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</si>
  <si>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</si>
  <si>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</si>
  <si>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</si>
  <si>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</si>
  <si>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</si>
  <si>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</si>
  <si>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</si>
  <si>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</si>
  <si>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</si>
  <si>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</si>
  <si>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</si>
  <si>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</si>
  <si>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</si>
  <si>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</si>
  <si>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</si>
  <si>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</si>
  <si>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</si>
  <si>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</si>
  <si>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</si>
  <si>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</si>
  <si>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</si>
  <si>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</si>
  <si>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</si>
  <si>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</si>
  <si>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</si>
  <si>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</si>
  <si>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</si>
  <si>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</si>
  <si>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</si>
  <si>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</si>
  <si>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</si>
  <si>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</si>
  <si>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</si>
  <si>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</si>
  <si>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</si>
  <si>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</si>
  <si>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</si>
  <si>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</si>
  <si>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</si>
  <si>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</si>
  <si>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</si>
  <si>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</si>
  <si>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</si>
  <si>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</si>
  <si>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</si>
  <si>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</si>
  <si>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</si>
  <si>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</si>
  <si>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</si>
  <si>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</si>
  <si>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</si>
  <si>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</si>
  <si>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</si>
  <si>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</si>
  <si>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</si>
  <si>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</si>
  <si>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</si>
  <si>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</si>
  <si>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</si>
  <si>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</si>
  <si>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</si>
  <si>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</si>
  <si>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</si>
  <si>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</si>
  <si>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</si>
  <si>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</si>
  <si>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</si>
  <si>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</si>
  <si>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</si>
  <si>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</si>
  <si>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</si>
  <si>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</si>
  <si>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</si>
  <si>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</si>
  <si>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</si>
  <si>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</si>
  <si>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</si>
  <si>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</si>
  <si>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</si>
  <si>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</si>
  <si>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</si>
  <si>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</si>
  <si>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</si>
  <si>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</si>
  <si>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</si>
  <si>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</si>
  <si>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</si>
  <si>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</si>
  <si>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</si>
  <si>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</si>
  <si>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</si>
  <si>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</si>
  <si>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</si>
  <si>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</si>
  <si>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</si>
  <si>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</si>
  <si>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</si>
  <si>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</si>
  <si>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</si>
  <si>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</si>
  <si>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</si>
  <si>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</si>
  <si>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</si>
  <si>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</si>
  <si>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</si>
  <si>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</si>
  <si>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</si>
  <si>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</si>
  <si>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</si>
  <si>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</si>
  <si>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</si>
  <si>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</si>
  <si>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</si>
  <si>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</si>
  <si>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</si>
  <si>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</si>
  <si>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</si>
  <si>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</si>
  <si>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</si>
  <si>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</si>
  <si>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</si>
  <si>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</si>
  <si>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</si>
  <si>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</si>
  <si>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</si>
  <si>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</si>
  <si>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</si>
  <si>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</si>
  <si>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</si>
  <si>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</si>
  <si>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</si>
  <si>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</si>
  <si>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</si>
  <si>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</si>
  <si>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</si>
  <si>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</si>
  <si>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</si>
  <si>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</si>
  <si>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</si>
  <si>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</si>
  <si>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</si>
  <si>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</si>
  <si>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</si>
  <si>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</si>
  <si>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</si>
  <si>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</si>
  <si>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</si>
  <si>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</si>
  <si>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</si>
  <si>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</si>
  <si>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</si>
  <si>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</si>
  <si>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</si>
  <si>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</si>
  <si>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</si>
  <si>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</si>
  <si>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</si>
  <si>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</si>
  <si>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</si>
  <si>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</si>
  <si>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</si>
  <si>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</si>
  <si>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</si>
  <si>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</si>
  <si>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</si>
  <si>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</si>
  <si>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</si>
  <si>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</si>
  <si>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</si>
  <si>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</si>
  <si>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</si>
  <si>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</si>
  <si>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</si>
  <si>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</si>
  <si>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</si>
  <si>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</si>
  <si>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</si>
  <si>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</si>
  <si>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</si>
  <si>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</si>
  <si>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</si>
  <si>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</si>
  <si>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</si>
  <si>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</si>
  <si>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</si>
  <si>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</si>
  <si>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</si>
  <si>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</si>
  <si>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</si>
  <si>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</si>
  <si>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</si>
  <si>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</si>
  <si>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</si>
  <si>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</si>
  <si>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</si>
  <si>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</si>
  <si>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</si>
  <si>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</si>
  <si>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</si>
  <si>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</si>
  <si>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</si>
  <si>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</si>
  <si>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</si>
  <si>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</si>
  <si>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</si>
  <si>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</si>
  <si>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</si>
  <si>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</si>
  <si>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</si>
  <si>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</si>
  <si>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</si>
  <si>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</si>
  <si>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</si>
  <si>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</si>
  <si>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</si>
  <si>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</si>
  <si>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</si>
  <si>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</si>
  <si>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</si>
  <si>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</si>
  <si>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</si>
  <si>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</si>
  <si>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</si>
  <si>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</si>
  <si>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</si>
  <si>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</si>
  <si>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</si>
  <si>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</si>
  <si>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</si>
  <si>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</si>
  <si>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</si>
  <si>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</si>
  <si>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</si>
  <si>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</si>
  <si>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</si>
  <si>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</si>
  <si>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</si>
  <si>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</si>
  <si>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</si>
  <si>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</si>
  <si>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</si>
  <si>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</si>
  <si>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</si>
  <si>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</si>
  <si>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</si>
  <si>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</si>
  <si>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</si>
  <si>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</si>
  <si>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</si>
  <si>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</si>
  <si>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</si>
  <si>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</si>
  <si>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</si>
  <si>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</si>
  <si>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</si>
  <si>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</si>
  <si>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</si>
  <si>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</si>
  <si>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</si>
  <si>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</si>
  <si>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</si>
  <si>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</si>
  <si>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</si>
  <si>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</si>
  <si>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</si>
  <si>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</si>
  <si>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</si>
  <si>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</si>
  <si>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</si>
  <si>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</si>
  <si>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</si>
  <si>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</si>
  <si>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</si>
  <si>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</si>
  <si>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</si>
  <si>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</si>
  <si>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</si>
  <si>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</si>
  <si>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</si>
  <si>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</si>
  <si>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</si>
  <si>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</si>
  <si>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</si>
  <si>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</si>
  <si>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</si>
  <si>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</si>
  <si>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</si>
  <si>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</si>
  <si>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</si>
  <si>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</si>
  <si>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</si>
  <si>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</si>
  <si>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</si>
  <si>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</si>
  <si>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</si>
  <si>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</si>
  <si>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</si>
  <si>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</si>
  <si>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</si>
  <si>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</si>
  <si>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</si>
  <si>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</si>
  <si>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</si>
  <si>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</si>
  <si>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</si>
  <si>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</si>
  <si>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</si>
  <si>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</si>
  <si>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</si>
  <si>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</si>
  <si>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</si>
  <si>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</si>
  <si>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</si>
  <si>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</si>
  <si>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</si>
  <si>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</si>
  <si>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</si>
  <si>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</si>
  <si>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</si>
  <si>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</si>
  <si>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</si>
  <si>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</si>
  <si>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</si>
  <si>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</si>
  <si>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</si>
  <si>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</si>
  <si>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</si>
  <si>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</si>
  <si>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</si>
  <si>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</si>
  <si>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</si>
  <si>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</si>
  <si>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</si>
  <si>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</si>
  <si>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</si>
  <si>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</si>
  <si>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</si>
  <si>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</si>
  <si>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</si>
  <si>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</si>
  <si>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</si>
  <si>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</si>
  <si>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</si>
  <si>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</si>
  <si>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</si>
  <si>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</si>
  <si>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</si>
  <si>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</si>
  <si>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</si>
  <si>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</si>
  <si>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</si>
  <si>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</si>
  <si>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</si>
  <si>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</si>
  <si>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</si>
  <si>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</si>
  <si>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</si>
  <si>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</si>
  <si>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</si>
  <si>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</si>
  <si>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</si>
  <si>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</si>
  <si>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</si>
  <si>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</si>
  <si>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</si>
  <si>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</si>
  <si>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</si>
  <si>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</si>
  <si>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</si>
  <si>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</si>
  <si>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</si>
  <si>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</si>
  <si>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</si>
  <si>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</si>
  <si>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</si>
  <si>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</si>
  <si>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</si>
  <si>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</si>
  <si>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</si>
  <si>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</si>
  <si>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</si>
  <si>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</si>
  <si>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</si>
  <si>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</si>
  <si>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</si>
  <si>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</si>
  <si>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</si>
  <si>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</si>
  <si>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</si>
  <si>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</si>
  <si>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</si>
  <si>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</si>
  <si>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</si>
  <si>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</si>
  <si>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</si>
  <si>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</si>
  <si>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</si>
  <si>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</si>
  <si>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</si>
  <si>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</si>
  <si>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</si>
  <si>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</si>
  <si>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</si>
  <si>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</si>
  <si>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</si>
  <si>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</si>
  <si>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</si>
  <si>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</si>
  <si>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</si>
  <si>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</si>
  <si>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</si>
  <si>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</si>
  <si>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</si>
  <si>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</si>
  <si>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</si>
  <si>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</si>
  <si>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</si>
  <si>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</si>
  <si>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</si>
  <si>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</si>
  <si>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</si>
  <si>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</si>
  <si>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</si>
  <si>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</si>
  <si>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</si>
  <si>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</si>
  <si>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</si>
  <si>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</si>
  <si>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</si>
  <si>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</si>
  <si>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</si>
  <si>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</si>
  <si>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</si>
  <si>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</si>
  <si>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</si>
  <si>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</si>
  <si>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</si>
  <si>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</si>
  <si>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</si>
  <si>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</si>
  <si>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</si>
  <si>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</si>
  <si>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</si>
  <si>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</si>
  <si>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</si>
  <si>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</si>
  <si>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</si>
  <si>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</si>
  <si>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</si>
  <si>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</si>
  <si>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</si>
  <si>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</si>
  <si>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</si>
  <si>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</si>
  <si>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</si>
  <si>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</si>
  <si>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</si>
  <si>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</si>
  <si>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</si>
  <si>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</si>
  <si>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</si>
  <si>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</si>
  <si>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</si>
  <si>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</si>
  <si>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</si>
  <si>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</si>
  <si>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</si>
  <si>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</si>
  <si>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</si>
  <si>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</si>
  <si>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</si>
  <si>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</si>
  <si>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</si>
  <si>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</si>
  <si>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</si>
  <si>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</si>
  <si>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</si>
  <si>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</si>
  <si>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</si>
  <si>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</si>
  <si>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</si>
  <si>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</si>
  <si>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</si>
  <si>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</si>
  <si>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</si>
  <si>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</si>
  <si>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</si>
  <si>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</si>
  <si>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</si>
  <si>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</si>
  <si>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</si>
  <si>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</si>
  <si>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</si>
  <si>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</si>
  <si>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</si>
  <si>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</si>
  <si>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</si>
  <si>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</si>
  <si>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</si>
  <si>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</si>
  <si>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</si>
  <si>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</si>
  <si>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</si>
  <si>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</si>
  <si>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</si>
  <si>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</si>
  <si>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</si>
  <si>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</si>
  <si>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</si>
  <si>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</si>
  <si>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</si>
  <si>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</si>
  <si>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</si>
  <si>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</si>
  <si>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</si>
  <si>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</si>
  <si>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</si>
  <si>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</si>
  <si>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</si>
  <si>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</si>
  <si>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</si>
  <si>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</si>
  <si>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</si>
  <si>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</si>
  <si>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</si>
  <si>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</si>
  <si>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</si>
  <si>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</si>
  <si>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</si>
  <si>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</si>
  <si>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</si>
  <si>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</si>
  <si>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</si>
  <si>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</si>
  <si>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</si>
  <si>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</si>
  <si>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</si>
  <si>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</si>
  <si>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</si>
  <si>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</si>
  <si>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</si>
  <si>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</si>
  <si>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</si>
  <si>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</si>
  <si>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</si>
  <si>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</si>
  <si>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</si>
  <si>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</si>
  <si>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</si>
  <si>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</si>
  <si>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</si>
  <si>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</si>
  <si>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</si>
  <si>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</si>
  <si>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</si>
  <si>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</si>
  <si>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</si>
  <si>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</si>
  <si>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</si>
  <si>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</si>
  <si>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</si>
  <si>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</si>
  <si>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</si>
  <si>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</si>
  <si>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</si>
  <si>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</si>
  <si>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</si>
  <si>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</si>
  <si>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</si>
  <si>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</si>
  <si>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</si>
  <si>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</si>
  <si>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</si>
  <si>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</si>
  <si>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</si>
  <si>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</si>
  <si>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</si>
  <si>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</si>
  <si>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</si>
  <si>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</si>
  <si>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</si>
  <si>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</si>
  <si>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</si>
  <si>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</si>
  <si>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</si>
  <si>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</si>
  <si>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</si>
  <si>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</si>
  <si>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</si>
  <si>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</si>
  <si>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</si>
  <si>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</si>
  <si>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</si>
  <si>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</si>
  <si>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</si>
  <si>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</si>
  <si>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</si>
  <si>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</si>
  <si>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</si>
  <si>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</si>
  <si>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</si>
  <si>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</si>
  <si>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</si>
  <si>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</si>
  <si>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</si>
  <si>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</si>
  <si>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</si>
  <si>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</si>
  <si>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</si>
  <si>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</si>
  <si>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</si>
  <si>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</si>
  <si>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</si>
  <si>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</si>
  <si>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</si>
  <si>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</si>
  <si>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</si>
  <si>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</si>
  <si>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</si>
  <si>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</si>
  <si>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</si>
  <si>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</si>
  <si>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</si>
  <si>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</si>
  <si>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</si>
  <si>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</si>
  <si>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</si>
  <si>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</si>
  <si>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</si>
  <si>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</si>
  <si>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</si>
  <si>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</si>
  <si>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</si>
  <si>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</si>
  <si>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</si>
  <si>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</si>
  <si>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</si>
  <si>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</si>
  <si>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</si>
  <si>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</si>
  <si>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</si>
  <si>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</si>
  <si>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</si>
  <si>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</si>
  <si>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</si>
  <si>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</si>
  <si>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</si>
  <si>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</si>
  <si>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</si>
  <si>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</si>
  <si>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</si>
  <si>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</si>
  <si>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</si>
  <si>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</si>
  <si>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</si>
  <si>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</si>
  <si>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</si>
  <si>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</si>
  <si>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</si>
  <si>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</si>
  <si>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</si>
  <si>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</si>
  <si>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</si>
  <si>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</si>
  <si>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</si>
  <si>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</si>
  <si>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</si>
  <si>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</si>
  <si>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</si>
  <si>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</si>
  <si>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</si>
  <si>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</si>
  <si>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</si>
  <si>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</si>
  <si>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</si>
  <si>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</si>
  <si>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</si>
  <si>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</si>
  <si>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</si>
  <si>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</si>
  <si>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</si>
  <si>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</si>
  <si>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</si>
  <si>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</si>
  <si>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</si>
  <si>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</si>
  <si>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</si>
  <si>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</si>
  <si>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</si>
  <si>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</si>
  <si>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</si>
  <si>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</si>
  <si>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</si>
  <si>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</si>
  <si>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</si>
  <si>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</si>
  <si>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</si>
  <si>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</si>
  <si>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</si>
  <si>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</si>
  <si>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</si>
  <si>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</si>
  <si>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</si>
  <si>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</si>
  <si>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</si>
  <si>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</si>
  <si>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</si>
  <si>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</si>
  <si>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</si>
  <si>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</si>
  <si>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</si>
  <si>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</si>
  <si>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</si>
  <si>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</si>
  <si>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</si>
  <si>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</si>
  <si>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</si>
  <si>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</si>
  <si>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</si>
  <si>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</si>
  <si>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</si>
  <si>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</si>
  <si>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</si>
  <si>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</si>
  <si>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</si>
  <si>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</si>
  <si>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</si>
  <si>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</si>
  <si>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</si>
  <si>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</si>
  <si>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</si>
  <si>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</si>
  <si>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</si>
  <si>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</si>
  <si>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</si>
  <si>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</si>
  <si>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</si>
  <si>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</si>
  <si>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</si>
  <si>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</si>
  <si>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</si>
  <si>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</si>
  <si>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</si>
  <si>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</si>
  <si>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</si>
  <si>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</si>
  <si>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</si>
  <si>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</si>
  <si>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</si>
  <si>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</si>
  <si>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</si>
  <si>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</si>
  <si>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</si>
  <si>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</si>
  <si>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</si>
  <si>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</si>
  <si>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</si>
  <si>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</si>
  <si>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</si>
  <si>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</si>
  <si>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</si>
  <si>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</si>
  <si>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</si>
  <si>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</si>
  <si>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</si>
  <si>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</si>
  <si>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</si>
  <si>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</si>
  <si>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</si>
  <si>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</si>
  <si>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</si>
  <si>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</si>
  <si>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</si>
  <si>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</si>
  <si>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</si>
  <si>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</si>
  <si>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</si>
  <si>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</si>
  <si>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</si>
  <si>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</si>
  <si>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</si>
  <si>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</si>
  <si>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</si>
  <si>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</si>
  <si>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</si>
  <si>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</si>
  <si>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</si>
  <si>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</si>
  <si>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</si>
  <si>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</si>
  <si>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</si>
  <si>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</si>
  <si>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</si>
  <si>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</si>
  <si>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</si>
  <si>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</si>
  <si>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</si>
  <si>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</si>
  <si>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</si>
  <si>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</si>
  <si>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</si>
  <si>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</si>
  <si>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</si>
  <si>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</si>
  <si>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</si>
  <si>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</si>
  <si>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</si>
  <si>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</si>
  <si>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</si>
  <si>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</si>
  <si>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</si>
  <si>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</si>
  <si>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</si>
  <si>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</si>
  <si>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</si>
  <si>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</si>
  <si>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</si>
  <si>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</si>
  <si>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</si>
  <si>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</si>
  <si>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</si>
  <si>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</si>
  <si>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</si>
  <si>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</si>
  <si>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</si>
  <si>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</si>
  <si>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</si>
  <si>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</si>
  <si>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</si>
  <si>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</si>
  <si>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</si>
  <si>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</si>
  <si>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</si>
  <si>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</si>
  <si>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</si>
  <si>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</si>
  <si>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</si>
  <si>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</si>
  <si>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</si>
  <si>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</si>
  <si>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</si>
  <si>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</si>
  <si>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</si>
  <si>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</si>
  <si>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</si>
  <si>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</si>
  <si>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</si>
  <si>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</si>
  <si>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</si>
  <si>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</si>
  <si>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</si>
  <si>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</si>
  <si>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</si>
  <si>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</si>
  <si>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</si>
  <si>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</si>
  <si>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</si>
  <si>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</si>
  <si>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</si>
  <si>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</si>
  <si>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</si>
  <si>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</si>
  <si>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</si>
  <si>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</si>
  <si>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</si>
  <si>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</si>
  <si>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</si>
  <si>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</si>
  <si>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</si>
  <si>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</si>
  <si>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</si>
  <si>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</si>
  <si>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</si>
  <si>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</si>
  <si>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</si>
  <si>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</si>
  <si>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</si>
  <si>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</si>
  <si>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</si>
  <si>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</si>
  <si>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</si>
  <si>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</si>
  <si>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</si>
  <si>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</si>
  <si>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</si>
  <si>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</si>
  <si>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</si>
  <si>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</si>
  <si>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</si>
  <si>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</si>
  <si>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</si>
  <si>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</si>
  <si>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</si>
  <si>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</si>
  <si>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</si>
  <si>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</si>
  <si>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</si>
  <si>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</si>
  <si>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</si>
  <si>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</si>
  <si>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</si>
  <si>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</si>
  <si>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</si>
  <si>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</si>
  <si>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</si>
  <si>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</si>
  <si>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</si>
  <si>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</si>
  <si>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</si>
  <si>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</si>
  <si>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</si>
  <si>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</si>
  <si>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</si>
  <si>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</si>
  <si>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</si>
  <si>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</si>
  <si>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</si>
  <si>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</si>
  <si>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</si>
  <si>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</si>
  <si>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</si>
  <si>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</si>
  <si>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</si>
  <si>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</si>
  <si>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</si>
  <si>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</si>
  <si>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</si>
  <si>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</si>
  <si>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</si>
  <si>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</si>
  <si>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</si>
  <si>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</si>
  <si>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</si>
  <si>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</si>
  <si>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</si>
  <si>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</si>
  <si>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</si>
  <si>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</si>
  <si>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</si>
  <si>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</si>
  <si>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</si>
  <si>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</si>
  <si>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</si>
  <si>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</si>
  <si>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</si>
  <si>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</si>
  <si>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</si>
  <si>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</si>
  <si>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</si>
  <si>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</si>
  <si>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</si>
  <si>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</si>
  <si>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</si>
  <si>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</si>
  <si>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</si>
  <si>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</si>
  <si>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</si>
  <si>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</si>
  <si>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</si>
  <si>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</si>
  <si>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</si>
  <si>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</si>
  <si>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</si>
  <si>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</si>
  <si>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</si>
  <si>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</si>
  <si>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</si>
  <si>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</si>
  <si>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</si>
  <si>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</si>
  <si>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</si>
  <si>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</si>
  <si>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</si>
  <si>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</si>
  <si>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</si>
  <si>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</si>
  <si>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</si>
  <si>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</si>
  <si>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</si>
  <si>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</si>
  <si>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</si>
  <si>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</si>
  <si>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</si>
  <si>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</si>
  <si>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</si>
  <si>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</si>
  <si>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</si>
  <si>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</si>
  <si>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</si>
  <si>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</si>
  <si>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</si>
  <si>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</si>
  <si>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</si>
  <si>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</si>
  <si>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</si>
  <si>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</si>
  <si>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</si>
  <si>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</si>
  <si>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</si>
  <si>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</si>
  <si>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</si>
  <si>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</si>
  <si>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</si>
  <si>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</si>
  <si>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</si>
  <si>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</si>
  <si>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</si>
  <si>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</si>
  <si>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</si>
  <si>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</si>
  <si>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</si>
  <si>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</si>
  <si>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</si>
  <si>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</si>
  <si>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</si>
  <si>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</si>
  <si>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</si>
  <si>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</si>
  <si>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</si>
  <si>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</si>
  <si>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</si>
  <si>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</si>
  <si>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</si>
  <si>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</si>
  <si>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</si>
  <si>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</si>
  <si>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</si>
  <si>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</si>
  <si>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</si>
  <si>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</si>
  <si>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</si>
  <si>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</si>
  <si>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</si>
  <si>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</si>
  <si>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</si>
  <si>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</si>
  <si>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</si>
  <si>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</si>
  <si>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</si>
  <si>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</si>
  <si>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</si>
  <si>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</si>
  <si>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</si>
  <si>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</si>
  <si>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</si>
  <si>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</si>
  <si>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</si>
  <si>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</si>
  <si>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</si>
  <si>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</si>
  <si>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</si>
  <si>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</si>
  <si>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</si>
  <si>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</si>
  <si>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</si>
  <si>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</si>
  <si>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</si>
  <si>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</si>
  <si>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</si>
  <si>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</si>
  <si>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</si>
  <si>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</si>
  <si>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</si>
  <si>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</si>
  <si>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</si>
  <si>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</si>
  <si>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</si>
  <si>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</si>
  <si>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</si>
  <si>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</si>
  <si>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</si>
  <si>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</si>
  <si>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</si>
  <si>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</si>
  <si>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</si>
  <si>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</si>
  <si>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</si>
  <si>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</si>
  <si>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</si>
  <si>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</si>
  <si>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</si>
  <si>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</si>
  <si>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</si>
  <si>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</si>
  <si>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</si>
  <si>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</si>
  <si>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</si>
  <si>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</si>
  <si>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</si>
  <si>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</si>
  <si>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</si>
  <si>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</si>
  <si>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</si>
  <si>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</si>
  <si>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</si>
  <si>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</si>
  <si>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</si>
  <si>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</si>
  <si>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</si>
  <si>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</si>
  <si>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</si>
  <si>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</si>
  <si>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</si>
  <si>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</si>
  <si>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</si>
  <si>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</si>
  <si>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</si>
  <si>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</si>
  <si>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</si>
  <si>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</si>
  <si>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</si>
  <si>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</si>
  <si>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</si>
  <si>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</si>
  <si>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</si>
  <si>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</si>
  <si>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</si>
  <si>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</si>
  <si>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</si>
  <si>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</si>
  <si>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</si>
  <si>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</si>
  <si>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</si>
  <si>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</si>
  <si>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</si>
  <si>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</si>
  <si>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</si>
  <si>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</si>
  <si>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</si>
  <si>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</si>
  <si>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</si>
  <si>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</si>
  <si>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</si>
  <si>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</si>
  <si>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</si>
  <si>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</si>
  <si>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</si>
  <si>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</si>
  <si>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</si>
  <si>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</si>
  <si>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</si>
  <si>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</si>
  <si>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</si>
  <si>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</si>
  <si>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</si>
  <si>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</si>
  <si>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</si>
  <si>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</si>
  <si>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</si>
  <si>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</si>
  <si>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</si>
  <si>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</si>
  <si>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</si>
  <si>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</si>
  <si>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</si>
  <si>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</si>
  <si>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</si>
  <si>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</si>
  <si>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</si>
  <si>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</si>
  <si>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</si>
  <si>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</si>
  <si>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</si>
  <si>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</si>
  <si>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</si>
  <si>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</si>
  <si>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</si>
  <si>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</si>
  <si>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</si>
  <si>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</si>
  <si>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</si>
  <si>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</si>
  <si>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</si>
  <si>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</si>
  <si>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</si>
  <si>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</si>
  <si>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</si>
  <si>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</si>
  <si>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</si>
  <si>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</si>
  <si>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</si>
  <si>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</si>
  <si>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</si>
  <si>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</si>
  <si>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</si>
  <si>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</si>
  <si>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</si>
  <si>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</si>
  <si>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</si>
  <si>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</si>
  <si>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</si>
  <si>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</si>
  <si>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</si>
  <si>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</si>
  <si>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</si>
  <si>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</si>
  <si>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</si>
  <si>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</si>
  <si>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</si>
  <si>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</si>
  <si>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</si>
  <si>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</si>
  <si>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</si>
  <si>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</si>
  <si>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</si>
  <si>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</si>
  <si>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</si>
  <si>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</si>
  <si>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</si>
  <si>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</si>
  <si>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</si>
  <si>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</si>
  <si>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</si>
  <si>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</si>
  <si>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</si>
  <si>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</si>
  <si>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</si>
  <si>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</si>
  <si>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</si>
  <si>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</si>
  <si>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</si>
  <si>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</si>
  <si>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</si>
  <si>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</si>
  <si>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</si>
  <si>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</si>
  <si>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</si>
  <si>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</si>
  <si>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</si>
  <si>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</si>
  <si>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</si>
  <si>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</si>
  <si>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</si>
  <si>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</si>
  <si>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</si>
  <si>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</si>
  <si>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</si>
  <si>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</si>
  <si>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</si>
  <si>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</si>
  <si>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</si>
  <si>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</si>
  <si>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</si>
  <si>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</si>
  <si>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</si>
  <si>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</si>
  <si>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</si>
  <si>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</si>
  <si>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</si>
  <si>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</si>
  <si>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</si>
  <si>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</si>
  <si>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</si>
  <si>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</si>
  <si>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</si>
  <si>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</si>
  <si>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</si>
  <si>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</si>
  <si>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</si>
  <si>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</si>
  <si>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</si>
  <si>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</si>
  <si>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</si>
  <si>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</si>
  <si>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</si>
  <si>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</si>
  <si>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</si>
  <si>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</si>
  <si>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</si>
  <si>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</si>
  <si>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</si>
  <si>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</si>
  <si>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</si>
  <si>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</si>
  <si>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</si>
  <si>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</si>
  <si>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</si>
  <si>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</si>
  <si>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</si>
  <si>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</si>
  <si>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</si>
  <si>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</si>
  <si>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</si>
  <si>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</si>
  <si>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</si>
  <si>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</si>
  <si>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</si>
  <si>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</si>
  <si>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</si>
  <si>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</si>
  <si>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</si>
  <si>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</si>
  <si>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</si>
  <si>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</si>
  <si>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</si>
  <si>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</si>
  <si>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</si>
  <si>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</si>
  <si>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</si>
  <si>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</si>
  <si>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</si>
  <si>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</si>
  <si>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</si>
  <si>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</si>
  <si>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</si>
  <si>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</si>
  <si>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</si>
  <si>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</si>
  <si>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</si>
  <si>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</si>
  <si>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</si>
  <si>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</si>
  <si>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</si>
  <si>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</si>
  <si>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</si>
  <si>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</si>
  <si>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</si>
  <si>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</si>
  <si>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</si>
  <si>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</si>
  <si>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</si>
  <si>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</si>
  <si>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</si>
  <si>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</si>
  <si>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</si>
  <si>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</si>
  <si>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</si>
  <si>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</si>
  <si>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</si>
  <si>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</si>
  <si>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</si>
  <si>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</si>
  <si>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</si>
  <si>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</si>
  <si>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</si>
  <si>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</si>
  <si>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</si>
  <si>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</si>
  <si>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</si>
  <si>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</si>
  <si>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</si>
  <si>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</si>
  <si>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</si>
  <si>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</si>
  <si>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</si>
  <si>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</si>
  <si>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</si>
  <si>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</si>
  <si>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</si>
  <si>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</si>
  <si>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</si>
  <si>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</si>
  <si>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</si>
  <si>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</si>
  <si>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</si>
  <si>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</si>
  <si>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</si>
  <si>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</si>
  <si>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</si>
  <si>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</si>
  <si>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</si>
  <si>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</si>
  <si>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</si>
  <si>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</si>
  <si>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</si>
  <si>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</si>
  <si>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</si>
  <si>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</si>
  <si>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</si>
  <si>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</si>
  <si>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</si>
  <si>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</si>
  <si>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</si>
  <si>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</si>
  <si>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</si>
  <si>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</si>
  <si>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</si>
  <si>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</si>
  <si>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</si>
  <si>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</si>
  <si>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</si>
  <si>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</si>
  <si>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</si>
  <si>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</si>
  <si>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</si>
  <si>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</si>
  <si>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</si>
  <si>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</si>
  <si>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</si>
  <si>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</si>
  <si>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</si>
  <si>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</si>
  <si>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</si>
  <si>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</si>
  <si>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</si>
  <si>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</si>
  <si>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</si>
  <si>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</si>
  <si>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</si>
  <si>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</si>
  <si>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</si>
  <si>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</si>
  <si>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</si>
  <si>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</si>
  <si>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</si>
  <si>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</si>
  <si>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</si>
  <si>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</si>
  <si>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</si>
  <si>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</si>
  <si>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</si>
  <si>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</si>
  <si>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</si>
  <si>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</si>
  <si>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</si>
  <si>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</si>
  <si>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</si>
  <si>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</si>
  <si>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</si>
  <si>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</si>
  <si>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</si>
  <si>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</si>
  <si>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</si>
  <si>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</si>
  <si>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</si>
  <si>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</si>
  <si>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</si>
  <si>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</si>
  <si>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</si>
  <si>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</si>
  <si>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</si>
  <si>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</si>
  <si>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</si>
  <si>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</si>
  <si>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</si>
  <si>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</si>
  <si>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</si>
  <si>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</si>
  <si>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</si>
  <si>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</si>
  <si>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</si>
  <si>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</si>
  <si>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</si>
  <si>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</si>
  <si>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</si>
  <si>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</si>
  <si>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</si>
  <si>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</si>
  <si>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</si>
  <si>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</si>
  <si>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</si>
  <si>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</si>
  <si>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</si>
  <si>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</si>
  <si>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</si>
  <si>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</si>
  <si>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</si>
  <si>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</si>
  <si>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</si>
  <si>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</si>
  <si>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</si>
  <si>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</si>
  <si>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</si>
  <si>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</si>
  <si>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</si>
  <si>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</si>
  <si>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</si>
  <si>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</si>
  <si>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</si>
  <si>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</si>
  <si>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</si>
  <si>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</si>
  <si>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</si>
  <si>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</si>
  <si>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</si>
  <si>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</si>
  <si>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</si>
  <si>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</si>
  <si>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</si>
  <si>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</si>
  <si>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</si>
  <si>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</si>
  <si>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</si>
  <si>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</si>
  <si>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</si>
  <si>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</si>
  <si>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</si>
  <si>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</si>
  <si>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</si>
  <si>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</si>
  <si>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</si>
  <si>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</si>
  <si>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</si>
  <si>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</si>
  <si>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</si>
  <si>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</si>
  <si>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</si>
  <si>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</si>
  <si>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</si>
  <si>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</si>
  <si>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</si>
  <si>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</si>
  <si>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</si>
  <si>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</si>
  <si>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</si>
  <si>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</si>
  <si>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</si>
  <si>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</si>
  <si>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</si>
  <si>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</si>
  <si>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</si>
  <si>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</si>
  <si>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</si>
  <si>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</si>
  <si>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</si>
  <si>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</si>
  <si>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</si>
  <si>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</si>
  <si>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</si>
  <si>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</si>
  <si>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</si>
  <si>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</si>
  <si>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</si>
  <si>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</si>
  <si>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</si>
  <si>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</si>
  <si>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</si>
  <si>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</si>
  <si>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</si>
  <si>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</si>
  <si>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</si>
  <si>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</si>
  <si>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</si>
  <si>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</si>
  <si>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</si>
  <si>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</si>
  <si>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</si>
  <si>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</si>
  <si>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</si>
  <si>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</si>
  <si>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</si>
  <si>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</si>
  <si>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</si>
  <si>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</si>
  <si>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</si>
  <si>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</si>
  <si>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</si>
  <si>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</si>
  <si>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</si>
  <si>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</si>
  <si>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</si>
  <si>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</si>
  <si>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</si>
  <si>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</si>
  <si>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</si>
  <si>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</si>
  <si>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</si>
  <si>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</si>
  <si>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</si>
  <si>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</si>
  <si>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</si>
  <si>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</si>
  <si>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</si>
  <si>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</si>
  <si>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</si>
  <si>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</si>
  <si>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</si>
  <si>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</si>
  <si>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</si>
  <si>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</si>
  <si>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</si>
  <si>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</si>
  <si>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</si>
  <si>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</si>
  <si>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</si>
  <si>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</si>
  <si>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</si>
  <si>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</si>
  <si>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</si>
  <si>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</si>
  <si>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</si>
  <si>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</si>
  <si>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</si>
  <si>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</si>
  <si>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</si>
  <si>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</si>
  <si>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</si>
  <si>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</si>
  <si>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</si>
  <si>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</si>
  <si>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</si>
  <si>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</si>
  <si>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</si>
  <si>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</si>
  <si>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</si>
  <si>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</si>
  <si>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</si>
  <si>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</si>
  <si>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</si>
  <si>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</si>
  <si>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</si>
  <si>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</si>
  <si>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</si>
  <si>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</si>
  <si>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</si>
  <si>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</si>
  <si>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</si>
  <si>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</si>
  <si>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</si>
  <si>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</si>
  <si>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</si>
  <si>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</si>
  <si>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</si>
  <si>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</si>
  <si>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</si>
  <si>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</si>
  <si>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</si>
  <si>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</si>
  <si>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</si>
  <si>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</si>
  <si>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</si>
  <si>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</si>
  <si>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</si>
  <si>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</si>
  <si>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</si>
  <si>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</si>
  <si>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</si>
  <si>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</si>
  <si>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</si>
  <si>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</si>
  <si>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</si>
  <si>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</si>
  <si>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</si>
  <si>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</si>
  <si>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</si>
  <si>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</si>
  <si>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</si>
  <si>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</si>
  <si>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</si>
  <si>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</si>
  <si>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</si>
  <si>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</si>
  <si>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</si>
  <si>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</si>
  <si>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</si>
  <si>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</si>
  <si>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</si>
  <si>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</si>
  <si>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</si>
  <si>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</si>
  <si>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</si>
  <si>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</si>
  <si>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</si>
  <si>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</si>
  <si>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</si>
  <si>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</si>
  <si>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</si>
  <si>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</si>
  <si>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</si>
  <si>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</si>
  <si>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</si>
  <si>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</si>
  <si>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</si>
  <si>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</si>
  <si>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</si>
  <si>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</si>
  <si>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</si>
  <si>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</si>
  <si>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</si>
  <si>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</si>
  <si>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</si>
  <si>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</si>
  <si>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</si>
  <si>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</si>
  <si>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</si>
  <si>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</si>
  <si>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</si>
  <si>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</si>
  <si>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</si>
  <si>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</si>
  <si>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</si>
  <si>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</si>
  <si>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</si>
  <si>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</si>
  <si>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</si>
  <si>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</si>
  <si>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</si>
  <si>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</si>
  <si>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</si>
  <si>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</si>
  <si>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</si>
  <si>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</si>
  <si>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</si>
  <si>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</si>
  <si>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</si>
  <si>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</si>
  <si>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</si>
  <si>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</si>
  <si>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</si>
  <si>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</si>
  <si>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</si>
  <si>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</si>
  <si>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</si>
  <si>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</si>
  <si>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</si>
  <si>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</si>
  <si>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</si>
  <si>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</si>
  <si>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</si>
  <si>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</si>
  <si>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</si>
  <si>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</si>
  <si>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</si>
  <si>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</si>
  <si>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</si>
  <si>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</si>
  <si>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</si>
  <si>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</si>
  <si>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</si>
  <si>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</si>
  <si>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</si>
  <si>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</si>
  <si>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</si>
  <si>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</si>
  <si>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</si>
  <si>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</si>
  <si>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</si>
  <si>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</si>
  <si>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</si>
  <si>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</si>
  <si>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</si>
  <si>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</si>
  <si>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</si>
  <si>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</si>
  <si>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</si>
  <si>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</si>
  <si>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</si>
  <si>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</si>
  <si>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</si>
  <si>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</si>
  <si>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</si>
  <si>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</si>
  <si>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</si>
  <si>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</si>
  <si>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</si>
  <si>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</si>
  <si>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</si>
  <si>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</si>
  <si>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</si>
  <si>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</si>
  <si>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</si>
  <si>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</si>
  <si>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</si>
  <si>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</si>
  <si>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</si>
  <si>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</si>
  <si>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</si>
  <si>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</si>
  <si>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</si>
  <si>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</si>
  <si>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</si>
  <si>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</si>
  <si>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</si>
  <si>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</si>
  <si>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</si>
  <si>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</si>
  <si>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</si>
  <si>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</si>
  <si>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</si>
  <si>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</si>
  <si>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</si>
  <si>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</si>
  <si>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</si>
  <si>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</si>
  <si>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</si>
  <si>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</si>
  <si>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</si>
  <si>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</si>
  <si>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</si>
  <si>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</si>
  <si>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</si>
  <si>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</si>
  <si>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</si>
  <si>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</si>
  <si>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</si>
  <si>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</si>
  <si>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</si>
  <si>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</si>
  <si>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</si>
  <si>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</si>
  <si>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</si>
  <si>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</si>
  <si>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</si>
  <si>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</si>
  <si>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</si>
  <si>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</si>
  <si>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</si>
  <si>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</si>
  <si>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</si>
  <si>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</si>
  <si>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</si>
  <si>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</si>
  <si>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</si>
  <si>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</si>
  <si>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</si>
  <si>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</si>
  <si>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</si>
  <si>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</si>
  <si>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</si>
  <si>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</si>
  <si>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</si>
  <si>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</si>
  <si>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</si>
  <si>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</si>
  <si>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</si>
  <si>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</si>
  <si>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</si>
  <si>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</si>
  <si>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</si>
  <si>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</si>
  <si>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</si>
  <si>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</si>
  <si>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</si>
  <si>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</si>
  <si>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</si>
  <si>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</si>
  <si>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</si>
  <si>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</si>
  <si>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</si>
  <si>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</si>
  <si>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</si>
  <si>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</si>
  <si>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</si>
  <si>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</si>
  <si>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</si>
  <si>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</si>
  <si>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</si>
  <si>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</si>
  <si>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</si>
  <si>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</si>
  <si>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</si>
  <si>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</si>
  <si>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</si>
  <si>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</si>
  <si>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</si>
  <si>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</si>
  <si>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</si>
  <si>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</si>
  <si>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</si>
  <si>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</si>
  <si>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</si>
  <si>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</si>
  <si>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</si>
  <si>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</si>
  <si>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</si>
  <si>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</si>
  <si>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</si>
  <si>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</si>
  <si>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</si>
  <si>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</si>
  <si>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</si>
  <si>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</si>
  <si>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</si>
  <si>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</si>
  <si>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</si>
  <si>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</si>
  <si>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</si>
  <si>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</si>
  <si>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</si>
  <si>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</si>
  <si>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</si>
  <si>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</si>
  <si>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</si>
  <si>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</si>
  <si>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</si>
  <si>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</si>
  <si>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</si>
  <si>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</si>
  <si>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</si>
  <si>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</si>
  <si>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</si>
  <si>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</si>
  <si>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</si>
  <si>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</si>
  <si>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</si>
  <si>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</si>
  <si>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</si>
  <si>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</si>
  <si>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</si>
  <si>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</si>
  <si>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</si>
  <si>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</si>
  <si>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</si>
  <si>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</si>
  <si>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</si>
  <si>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</si>
  <si>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</si>
  <si>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</si>
  <si>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</si>
  <si>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</si>
  <si>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</si>
  <si>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</si>
  <si>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</si>
  <si>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</si>
  <si>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</si>
  <si>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</si>
  <si>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</si>
  <si>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</si>
  <si>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</si>
  <si>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</si>
  <si>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</si>
  <si>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</si>
  <si>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</si>
  <si>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</si>
  <si>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</si>
  <si>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</si>
  <si>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</si>
  <si>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</si>
  <si>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</si>
  <si>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</si>
  <si>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</si>
  <si>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</si>
  <si>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</si>
  <si>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</si>
  <si>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</si>
  <si>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</si>
  <si>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</si>
  <si>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</si>
  <si>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</si>
  <si>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</si>
  <si>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</si>
  <si>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</si>
  <si>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</si>
  <si>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</si>
  <si>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</si>
  <si>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</si>
  <si>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</si>
  <si>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</si>
  <si>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</si>
  <si>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</si>
  <si>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</si>
  <si>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</si>
  <si>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</si>
  <si>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</si>
  <si>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</si>
  <si>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</si>
  <si>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</si>
  <si>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</si>
  <si>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</si>
  <si>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</si>
  <si>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</si>
  <si>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</si>
  <si>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</si>
  <si>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</si>
  <si>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</si>
  <si>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</si>
  <si>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</si>
  <si>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</si>
  <si>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</si>
  <si>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</si>
  <si>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</si>
  <si>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</si>
  <si>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</si>
  <si>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</si>
  <si>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</si>
  <si>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</si>
  <si>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</si>
  <si>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</si>
  <si>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</si>
  <si>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</si>
  <si>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</si>
  <si>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</si>
  <si>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</si>
  <si>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</si>
  <si>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</si>
  <si>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</si>
  <si>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</si>
  <si>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</si>
  <si>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</si>
  <si>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</si>
  <si>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</si>
  <si>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</si>
  <si>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</si>
  <si>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</si>
  <si>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</si>
  <si>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</si>
  <si>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</si>
  <si>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</si>
  <si>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</si>
  <si>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</si>
  <si>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</si>
  <si>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</si>
  <si>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</si>
  <si>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</si>
  <si>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</si>
  <si>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</si>
  <si>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</si>
  <si>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</si>
  <si>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</si>
  <si>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</si>
  <si>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</si>
  <si>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</si>
  <si>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</si>
  <si>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</si>
  <si>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</si>
  <si>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</si>
  <si>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</si>
  <si>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</si>
  <si>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</si>
  <si>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</si>
  <si>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</si>
  <si>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</si>
  <si>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</si>
  <si>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</si>
  <si>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</si>
  <si>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</si>
  <si>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</si>
  <si>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</si>
  <si>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</si>
  <si>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</si>
  <si>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</si>
  <si>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</si>
  <si>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</si>
  <si>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</si>
  <si>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</si>
  <si>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</si>
  <si>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</si>
  <si>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</si>
  <si>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</si>
  <si>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</si>
  <si>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</si>
  <si>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</si>
  <si>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</si>
  <si>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</si>
  <si>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</si>
  <si>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</si>
  <si>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</si>
  <si>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</si>
  <si>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</si>
  <si>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</si>
  <si>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</si>
  <si>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</si>
  <si>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</si>
  <si>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</si>
  <si>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</si>
  <si>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</si>
  <si>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</si>
  <si>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</si>
  <si>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</si>
  <si>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</si>
  <si>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</si>
  <si>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</si>
  <si>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</si>
  <si>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</si>
  <si>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</si>
  <si>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</si>
  <si>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</si>
  <si>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</si>
  <si>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</si>
  <si>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</si>
  <si>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</si>
  <si>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</si>
  <si>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</si>
  <si>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</si>
  <si>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</si>
  <si>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</si>
  <si>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</si>
  <si>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</si>
  <si>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</si>
  <si>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</si>
  <si>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</si>
  <si>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</si>
  <si>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</si>
  <si>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</si>
  <si>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</si>
  <si>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</si>
  <si>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</si>
  <si>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</si>
  <si>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</si>
  <si>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</si>
  <si>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</si>
  <si>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</si>
  <si>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</si>
  <si>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</si>
  <si>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</si>
  <si>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</si>
  <si>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</si>
  <si>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</si>
  <si>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</si>
  <si>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</si>
  <si>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</si>
  <si>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</si>
  <si>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</si>
  <si>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</si>
  <si>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</si>
  <si>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</si>
  <si>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</si>
  <si>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</si>
  <si>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</si>
  <si>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</si>
  <si>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</si>
  <si>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</si>
  <si>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</si>
  <si>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</si>
  <si>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</si>
  <si>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</si>
  <si>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</si>
  <si>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</si>
  <si>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</si>
  <si>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</si>
  <si>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</si>
  <si>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</si>
  <si>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</si>
  <si>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</si>
  <si>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</si>
  <si>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</si>
  <si>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</si>
  <si>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</si>
  <si>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</si>
  <si>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</si>
  <si>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</si>
  <si>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</si>
  <si>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</si>
  <si>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</si>
  <si>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</si>
  <si>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</si>
  <si>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</si>
  <si>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</si>
  <si>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</si>
  <si>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</si>
  <si>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</si>
  <si>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</si>
  <si>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</si>
  <si>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</si>
  <si>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</si>
  <si>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</si>
  <si>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</si>
  <si>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</si>
  <si>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</si>
  <si>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</si>
  <si>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</si>
  <si>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</si>
  <si>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</si>
  <si>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</si>
  <si>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</si>
  <si>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</si>
  <si>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</si>
  <si>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</si>
  <si>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</si>
  <si>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</si>
  <si>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</si>
  <si>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</si>
  <si>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</si>
  <si>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</si>
  <si>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</si>
  <si>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</si>
  <si>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</si>
  <si>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</si>
  <si>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</si>
  <si>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</si>
  <si>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</si>
  <si>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</si>
  <si>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</si>
  <si>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</si>
  <si>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</si>
  <si>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</si>
  <si>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</si>
  <si>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</si>
  <si>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</si>
  <si>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</si>
  <si>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</si>
  <si>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</si>
  <si>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</si>
  <si>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</si>
  <si>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</si>
  <si>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</si>
  <si>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</si>
  <si>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</si>
  <si>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</si>
  <si>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</si>
  <si>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</si>
  <si>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</si>
  <si>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</si>
  <si>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</si>
  <si>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</si>
  <si>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</si>
  <si>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</si>
  <si>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</si>
  <si>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</si>
  <si>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</si>
  <si>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</si>
  <si>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</si>
  <si>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</si>
  <si>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</si>
  <si>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</si>
  <si>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</si>
  <si>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</si>
  <si>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</si>
  <si>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</si>
  <si>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</si>
  <si>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</si>
  <si>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</si>
  <si>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</si>
  <si>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</si>
  <si>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</si>
  <si>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</si>
  <si>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</si>
  <si>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</si>
  <si>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</si>
  <si>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</si>
  <si>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</si>
  <si>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</si>
  <si>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</si>
  <si>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</si>
  <si>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</si>
  <si>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</si>
  <si>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</si>
  <si>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</si>
  <si>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</si>
  <si>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</si>
  <si>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</si>
  <si>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</si>
  <si>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</si>
  <si>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</si>
  <si>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</si>
  <si>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</si>
  <si>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</si>
  <si>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</si>
  <si>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</si>
  <si>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</si>
  <si>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</si>
  <si>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</si>
  <si>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</si>
  <si>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</si>
  <si>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</si>
  <si>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</si>
  <si>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</si>
  <si>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</si>
  <si>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</si>
  <si>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</si>
  <si>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</si>
  <si>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</si>
  <si>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</si>
  <si>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</si>
  <si>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</si>
  <si>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</si>
  <si>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</si>
  <si>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</si>
  <si>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</si>
  <si>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</si>
  <si>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</si>
  <si>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</si>
  <si>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</si>
  <si>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</si>
  <si>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</si>
  <si>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</si>
  <si>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</si>
  <si>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</si>
  <si>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</si>
  <si>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</si>
  <si>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</si>
  <si>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</si>
  <si>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</si>
  <si>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</si>
  <si>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</si>
  <si>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</si>
  <si>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</si>
  <si>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</si>
  <si>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</si>
  <si>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</si>
  <si>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</si>
  <si>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</si>
  <si>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</si>
  <si>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</si>
  <si>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</si>
  <si>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</si>
  <si>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</si>
  <si>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</si>
  <si>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</si>
  <si>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</si>
  <si>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</si>
  <si>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</si>
  <si>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</si>
  <si>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</si>
  <si>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</si>
  <si>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</si>
  <si>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</si>
  <si>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</si>
  <si>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</si>
  <si>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</si>
  <si>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</si>
  <si>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</si>
  <si>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</si>
  <si>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</si>
  <si>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</si>
  <si>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</si>
  <si>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</si>
  <si>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</si>
  <si>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</si>
  <si>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</si>
  <si>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</si>
  <si>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</si>
  <si>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</si>
  <si>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</si>
  <si>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</si>
  <si>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</si>
  <si>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</si>
  <si>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</si>
  <si>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</si>
  <si>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</si>
  <si>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</si>
  <si>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</si>
  <si>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</si>
  <si>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</si>
  <si>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</si>
  <si>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</si>
  <si>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</si>
  <si>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</si>
  <si>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</si>
  <si>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</si>
  <si>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</si>
  <si>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</si>
  <si>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</si>
  <si>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</si>
  <si>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</si>
  <si>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</si>
  <si>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</si>
  <si>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</si>
  <si>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</si>
  <si>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</si>
  <si>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</si>
  <si>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</si>
  <si>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</si>
  <si>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</si>
  <si>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</si>
  <si>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</si>
  <si>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</si>
  <si>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</si>
  <si>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</si>
  <si>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</si>
  <si>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</si>
  <si>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</si>
  <si>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</si>
  <si>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</si>
  <si>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</si>
  <si>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</si>
  <si>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</si>
  <si>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</si>
  <si>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</si>
  <si>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</si>
  <si>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</si>
  <si>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</si>
  <si>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</si>
  <si>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</si>
  <si>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</si>
  <si>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</si>
  <si>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</si>
  <si>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</si>
  <si>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</si>
  <si>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</si>
  <si>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</si>
  <si>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</si>
  <si>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</si>
  <si>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</si>
  <si>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</si>
  <si>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</si>
  <si>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</si>
  <si>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</si>
  <si>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</si>
  <si>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</si>
  <si>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</si>
  <si>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</si>
  <si>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</si>
  <si>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</si>
  <si>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</si>
  <si>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</si>
  <si>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</si>
  <si>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</si>
  <si>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</si>
  <si>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</si>
  <si>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</si>
  <si>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</si>
  <si>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</si>
  <si>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</si>
  <si>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</si>
  <si>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</si>
  <si>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</si>
  <si>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</si>
  <si>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</si>
  <si>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</si>
  <si>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</si>
  <si>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</si>
  <si>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</si>
  <si>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</si>
  <si>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</si>
  <si>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</si>
  <si>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</si>
  <si>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</si>
  <si>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</si>
  <si>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</si>
  <si>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</si>
  <si>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</si>
  <si>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</si>
  <si>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</si>
  <si>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</si>
  <si>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</si>
  <si>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</si>
  <si>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</si>
  <si>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</si>
  <si>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</si>
  <si>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</si>
  <si>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</si>
  <si>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</si>
  <si>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</si>
  <si>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</si>
  <si>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</si>
  <si>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</si>
  <si>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</si>
  <si>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</si>
  <si>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</si>
  <si>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</si>
  <si>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</si>
  <si>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</si>
  <si>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</si>
  <si>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</si>
  <si>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</si>
  <si>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</si>
  <si>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</si>
  <si>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</si>
  <si>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</si>
  <si>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</si>
  <si>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</si>
  <si>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</si>
  <si>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</si>
  <si>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</si>
  <si>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</si>
  <si>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</si>
  <si>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</si>
  <si>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</si>
  <si>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</si>
  <si>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</si>
  <si>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</si>
  <si>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</si>
  <si>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</si>
  <si>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</si>
  <si>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</si>
  <si>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</si>
  <si>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</si>
  <si>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</si>
  <si>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</si>
  <si>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</si>
  <si>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</si>
  <si>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</si>
  <si>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</si>
  <si>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</si>
  <si>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</si>
  <si>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</si>
  <si>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</si>
  <si>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</si>
  <si>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</si>
  <si>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</si>
  <si>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</si>
  <si>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</si>
  <si>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</si>
  <si>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</si>
  <si>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</si>
  <si>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</si>
  <si>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</si>
  <si>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</si>
  <si>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</si>
  <si>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</si>
  <si>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</si>
  <si>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</si>
  <si>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</si>
  <si>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</si>
  <si>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</si>
  <si>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</si>
  <si>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</si>
  <si>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</si>
  <si>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</si>
  <si>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</si>
  <si>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</si>
  <si>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</si>
  <si>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</si>
  <si>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</si>
  <si>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</si>
  <si>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</si>
  <si>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</si>
  <si>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</si>
  <si>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</si>
  <si>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</si>
  <si>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</si>
  <si>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</si>
  <si>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</si>
  <si>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</si>
  <si>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</si>
  <si>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</si>
  <si>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</si>
  <si>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</si>
  <si>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</si>
  <si>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</si>
  <si>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</si>
  <si>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</si>
  <si>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</si>
  <si>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</si>
  <si>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</si>
  <si>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</si>
  <si>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</si>
  <si>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</si>
  <si>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</si>
  <si>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</si>
  <si>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</si>
  <si>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</si>
  <si>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</si>
  <si>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</si>
  <si>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</si>
  <si>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</si>
  <si>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</si>
  <si>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</si>
  <si>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</si>
  <si>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</si>
  <si>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</si>
  <si>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</si>
  <si>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</si>
  <si>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</si>
  <si>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</si>
  <si>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</si>
  <si>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</si>
  <si>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</si>
  <si>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</si>
  <si>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</si>
  <si>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</si>
  <si>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</si>
  <si>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</si>
  <si>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</si>
  <si>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</si>
  <si>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</si>
  <si>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</si>
  <si>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</si>
  <si>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</si>
  <si>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</si>
  <si>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</si>
  <si>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</si>
  <si>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</si>
  <si>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</si>
  <si>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</si>
  <si>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</si>
  <si>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</si>
  <si>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</si>
  <si>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</si>
  <si>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</si>
  <si>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</si>
  <si>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</si>
  <si>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</si>
  <si>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</si>
  <si>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</si>
  <si>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</si>
  <si>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</si>
  <si>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</si>
  <si>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</si>
  <si>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</si>
  <si>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</si>
  <si>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</si>
  <si>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</si>
  <si>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</si>
  <si>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</si>
  <si>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</si>
  <si>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</si>
  <si>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</si>
  <si>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</si>
  <si>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</si>
  <si>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</si>
  <si>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</si>
  <si>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</si>
  <si>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</si>
  <si>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</si>
  <si>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</si>
  <si>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</si>
  <si>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</si>
  <si>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</si>
  <si>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</si>
  <si>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</si>
  <si>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</si>
  <si>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</si>
  <si>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</si>
  <si>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</si>
  <si>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</si>
  <si>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</si>
  <si>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</si>
  <si>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</si>
  <si>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</si>
  <si>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</si>
  <si>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</si>
  <si>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</si>
  <si>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</si>
  <si>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</si>
  <si>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</si>
  <si>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</si>
  <si>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</si>
  <si>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</si>
  <si>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</si>
  <si>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</si>
  <si>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</si>
  <si>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</si>
  <si>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</si>
  <si>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</si>
  <si>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</si>
  <si>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</si>
  <si>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</si>
  <si>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</si>
  <si>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</si>
  <si>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</si>
  <si>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</si>
  <si>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</si>
  <si>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</si>
  <si>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</si>
  <si>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</si>
  <si>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</si>
  <si>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</si>
  <si>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</si>
  <si>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</si>
  <si>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</si>
  <si>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</si>
  <si>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</si>
  <si>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</si>
  <si>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</si>
  <si>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</si>
  <si>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</si>
  <si>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</si>
  <si>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</si>
  <si>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</si>
  <si>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</si>
  <si>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</si>
  <si>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</si>
  <si>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</si>
  <si>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</si>
  <si>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</si>
  <si>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</si>
  <si>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</si>
  <si>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</si>
  <si>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</si>
  <si>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</si>
  <si>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</si>
  <si>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</si>
  <si>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</si>
  <si>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</si>
  <si>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</si>
  <si>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</si>
  <si>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</si>
  <si>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</si>
  <si>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</si>
  <si>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</si>
  <si>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</si>
  <si>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</si>
  <si>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</si>
  <si>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</si>
  <si>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</si>
  <si>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</si>
  <si>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</si>
  <si>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</si>
  <si>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</si>
  <si>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</si>
  <si>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</si>
  <si>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</si>
  <si>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</si>
  <si>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</si>
  <si>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</si>
  <si>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</si>
  <si>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</si>
  <si>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</si>
  <si>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</si>
  <si>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</si>
  <si>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</si>
  <si>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</si>
  <si>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</si>
  <si>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崔锴</t>
  </si>
  <si>
    <t>郑燚</t>
  </si>
  <si>
    <t>北京市</t>
  </si>
  <si>
    <t>自然人</t>
  </si>
  <si>
    <r>
      <rPr>
        <sz val="10"/>
        <color theme="9" tint="-0.249977111117893"/>
        <rFont val="宋体"/>
        <family val="3"/>
        <charset val="134"/>
      </rPr>
      <t>怀柔区开放路</t>
    </r>
    <r>
      <rPr>
        <sz val="10"/>
        <color theme="9" tint="-0.249977111117893"/>
        <rFont val="Arial"/>
        <family val="2"/>
      </rPr>
      <t>46</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r>
      <rPr>
        <sz val="10"/>
        <color theme="9" tint="-0.249977111117893"/>
        <rFont val="Arial"/>
        <family val="2"/>
      </rPr>
      <t>23</t>
    </r>
    <phoneticPr fontId="6" type="noConversion"/>
  </si>
  <si>
    <t>李晓明</t>
    <phoneticPr fontId="6" type="noConversion"/>
  </si>
  <si>
    <t>商业</t>
    <phoneticPr fontId="6" type="noConversion"/>
  </si>
  <si>
    <t>是</t>
  </si>
  <si>
    <t>否</t>
  </si>
  <si>
    <t>商业项目</t>
  </si>
  <si>
    <t>现房</t>
  </si>
  <si>
    <t>地上</t>
  </si>
  <si>
    <t>商业</t>
    <phoneticPr fontId="7" type="noConversion"/>
  </si>
  <si>
    <t>成新度</t>
  </si>
  <si>
    <t>建成年代</t>
    <phoneticPr fontId="3" type="noConversion"/>
  </si>
  <si>
    <t>直线</t>
    <phoneticPr fontId="3" type="noConversion"/>
  </si>
  <si>
    <t>观察</t>
    <phoneticPr fontId="3" type="noConversion"/>
  </si>
  <si>
    <t>收益法 (元)</t>
  </si>
  <si>
    <t>楼面单价</t>
  </si>
  <si>
    <t>自定义</t>
  </si>
  <si>
    <t>单套模式</t>
  </si>
  <si>
    <t>售价</t>
  </si>
  <si>
    <t>开放路</t>
    <phoneticPr fontId="134" type="noConversion"/>
  </si>
  <si>
    <t>面积</t>
    <phoneticPr fontId="134" type="noConversion"/>
  </si>
  <si>
    <t>单价</t>
    <phoneticPr fontId="134" type="noConversion"/>
  </si>
  <si>
    <t>育龙铭居</t>
    <phoneticPr fontId="134" type="noConversion"/>
  </si>
  <si>
    <t>影人峰汇</t>
    <phoneticPr fontId="134" type="noConversion"/>
  </si>
  <si>
    <t>正常</t>
  </si>
  <si>
    <t>报价</t>
  </si>
  <si>
    <t>报价</t>
    <phoneticPr fontId="30" type="noConversion"/>
  </si>
  <si>
    <t>商业</t>
    <phoneticPr fontId="30" type="noConversion"/>
  </si>
  <si>
    <t>较好</t>
  </si>
  <si>
    <t>七通</t>
  </si>
  <si>
    <t>较好</t>
    <phoneticPr fontId="30" type="noConversion"/>
  </si>
  <si>
    <t>临主街</t>
    <phoneticPr fontId="3" type="noConversion"/>
  </si>
  <si>
    <t>临支路</t>
    <phoneticPr fontId="3" type="noConversion"/>
  </si>
  <si>
    <t>较大</t>
    <phoneticPr fontId="3" type="noConversion"/>
  </si>
  <si>
    <t>一般</t>
    <phoneticPr fontId="3" type="noConversion"/>
  </si>
  <si>
    <t>较小</t>
    <phoneticPr fontId="3" type="noConversion"/>
  </si>
  <si>
    <r>
      <t>1</t>
    </r>
    <r>
      <rPr>
        <sz val="11"/>
        <color indexed="8"/>
        <rFont val="宋体"/>
        <family val="3"/>
        <charset val="134"/>
      </rPr>
      <t>层</t>
    </r>
    <phoneticPr fontId="3" type="noConversion"/>
  </si>
  <si>
    <r>
      <t>2</t>
    </r>
    <r>
      <rPr>
        <sz val="11"/>
        <color indexed="8"/>
        <rFont val="宋体"/>
        <family val="3"/>
        <charset val="134"/>
      </rPr>
      <t>层</t>
    </r>
    <phoneticPr fontId="3" type="noConversion"/>
  </si>
  <si>
    <r>
      <t>1-2</t>
    </r>
    <r>
      <rPr>
        <sz val="11"/>
        <color indexed="8"/>
        <rFont val="宋体"/>
        <family val="3"/>
        <charset val="134"/>
      </rPr>
      <t>层</t>
    </r>
    <phoneticPr fontId="3" type="noConversion"/>
  </si>
  <si>
    <r>
      <t>1</t>
    </r>
    <r>
      <rPr>
        <sz val="11"/>
        <color indexed="10"/>
        <rFont val="宋体"/>
        <family val="3"/>
        <charset val="134"/>
      </rPr>
      <t>层</t>
    </r>
    <phoneticPr fontId="3" type="noConversion"/>
  </si>
  <si>
    <r>
      <t>2</t>
    </r>
    <r>
      <rPr>
        <sz val="11"/>
        <color indexed="53"/>
        <rFont val="宋体"/>
        <family val="3"/>
        <charset val="134"/>
      </rPr>
      <t>层</t>
    </r>
    <phoneticPr fontId="3" type="noConversion"/>
  </si>
  <si>
    <r>
      <t>1-2</t>
    </r>
    <r>
      <rPr>
        <sz val="11"/>
        <rFont val="宋体"/>
        <family val="3"/>
        <charset val="134"/>
      </rPr>
      <t>层</t>
    </r>
    <phoneticPr fontId="3" type="noConversion"/>
  </si>
  <si>
    <t>配套商业</t>
    <phoneticPr fontId="3" type="noConversion"/>
  </si>
  <si>
    <t>住宅底商</t>
    <phoneticPr fontId="3" type="noConversion"/>
  </si>
  <si>
    <t>混合</t>
    <phoneticPr fontId="3" type="noConversion"/>
  </si>
  <si>
    <t>可餐饮</t>
    <phoneticPr fontId="3" type="noConversion"/>
  </si>
  <si>
    <t>不可餐饮</t>
    <phoneticPr fontId="3" type="noConversion"/>
  </si>
  <si>
    <t>精装修</t>
    <phoneticPr fontId="30" type="noConversion"/>
  </si>
  <si>
    <t>普通装修</t>
  </si>
  <si>
    <t>普通装修</t>
    <phoneticPr fontId="30" type="noConversion"/>
  </si>
  <si>
    <t>简单装修</t>
  </si>
  <si>
    <t>简单装修</t>
    <phoneticPr fontId="30" type="noConversion"/>
  </si>
  <si>
    <t>毛坯</t>
    <phoneticPr fontId="30" type="noConversion"/>
  </si>
  <si>
    <t>较大</t>
  </si>
  <si>
    <t>1-2层</t>
  </si>
  <si>
    <t>配套商业</t>
  </si>
  <si>
    <t>混合</t>
  </si>
  <si>
    <t>可餐饮</t>
  </si>
  <si>
    <t>街角地，楼前有隔离带，不可餐饮，年租金净得6-10万</t>
    <phoneticPr fontId="134" type="noConversion"/>
  </si>
  <si>
    <t>双面临街</t>
  </si>
  <si>
    <t>双面临街</t>
    <phoneticPr fontId="3" type="noConversion"/>
  </si>
  <si>
    <t>单面临街</t>
  </si>
  <si>
    <t>单面临街</t>
    <phoneticPr fontId="3" type="noConversion"/>
  </si>
  <si>
    <t>临主街</t>
    <phoneticPr fontId="30" type="noConversion"/>
  </si>
  <si>
    <t>住宅底商</t>
  </si>
  <si>
    <t>一般</t>
  </si>
  <si>
    <t>1层</t>
  </si>
  <si>
    <t>不可餐饮</t>
  </si>
  <si>
    <t>影人峰会</t>
    <phoneticPr fontId="30" type="noConversion"/>
  </si>
  <si>
    <r>
      <rPr>
        <sz val="11"/>
        <color indexed="8"/>
        <rFont val="宋体"/>
        <family val="3"/>
        <charset val="134"/>
      </rPr>
      <t>挑高</t>
    </r>
    <r>
      <rPr>
        <sz val="11"/>
        <color indexed="8"/>
        <rFont val="Arial"/>
        <family val="2"/>
      </rPr>
      <t>5</t>
    </r>
    <r>
      <rPr>
        <sz val="11"/>
        <color indexed="8"/>
        <rFont val="宋体"/>
        <family val="3"/>
        <charset val="134"/>
      </rPr>
      <t>米以上</t>
    </r>
    <phoneticPr fontId="30" type="noConversion"/>
  </si>
  <si>
    <r>
      <rPr>
        <sz val="11"/>
        <color indexed="8"/>
        <rFont val="宋体"/>
        <family val="3"/>
        <charset val="134"/>
      </rPr>
      <t>标准层高约</t>
    </r>
    <r>
      <rPr>
        <sz val="11"/>
        <color indexed="8"/>
        <rFont val="Arial"/>
        <family val="2"/>
      </rPr>
      <t>3</t>
    </r>
    <r>
      <rPr>
        <sz val="11"/>
        <color indexed="8"/>
        <rFont val="宋体"/>
        <family val="3"/>
        <charset val="134"/>
      </rPr>
      <t>米</t>
    </r>
    <phoneticPr fontId="30" type="noConversion"/>
  </si>
  <si>
    <t>标准层高约3米</t>
  </si>
  <si>
    <t>挑高5米以上</t>
  </si>
  <si>
    <t>押一</t>
  </si>
  <si>
    <t>砖混</t>
  </si>
  <si>
    <t>非生产用房</t>
  </si>
  <si>
    <t>比较法-商业</t>
  </si>
  <si>
    <t>租金</t>
  </si>
  <si>
    <t>于家园二区</t>
    <phoneticPr fontId="3" type="noConversion"/>
  </si>
  <si>
    <t>莲馨苑</t>
    <phoneticPr fontId="3" type="noConversion"/>
  </si>
  <si>
    <t>富乐小区</t>
    <phoneticPr fontId="3" type="noConversion"/>
  </si>
  <si>
    <t>富乐小区</t>
    <phoneticPr fontId="134" type="noConversion"/>
  </si>
  <si>
    <t>临支路</t>
    <phoneticPr fontId="134" type="noConversion"/>
  </si>
  <si>
    <t>租金单价</t>
    <phoneticPr fontId="134" type="noConversion"/>
  </si>
  <si>
    <r>
      <rPr>
        <sz val="10"/>
        <color indexed="8"/>
        <rFont val="宋体"/>
        <family val="3"/>
        <charset val="134"/>
      </rPr>
      <t>根据</t>
    </r>
    <r>
      <rPr>
        <sz val="10"/>
        <color indexed="8"/>
        <rFont val="Arial"/>
        <family val="2"/>
      </rPr>
      <t>2024-1-0674</t>
    </r>
    <r>
      <rPr>
        <sz val="10"/>
        <color indexed="8"/>
        <rFont val="宋体"/>
        <family val="3"/>
        <charset val="134"/>
      </rPr>
      <t>的房产证得知，坐落位置：开放路</t>
    </r>
    <r>
      <rPr>
        <sz val="10"/>
        <color indexed="8"/>
        <rFont val="Arial"/>
        <family val="2"/>
      </rPr>
      <t>46</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2</t>
    </r>
    <r>
      <rPr>
        <sz val="10"/>
        <color indexed="8"/>
        <rFont val="宋体"/>
        <family val="3"/>
        <charset val="134"/>
      </rPr>
      <t>层</t>
    </r>
    <r>
      <rPr>
        <sz val="10"/>
        <color indexed="8"/>
        <rFont val="Arial"/>
        <family val="2"/>
      </rPr>
      <t>12</t>
    </r>
    <r>
      <rPr>
        <sz val="10"/>
        <color indexed="8"/>
        <rFont val="宋体"/>
        <family val="3"/>
        <charset val="134"/>
      </rPr>
      <t>与估价对象位于一栋楼</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</si>
</sst>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theme="9" tint="-0.249977111117893"/>
      <name val="Arial"/>
      <family val="3"/>
      <charset val="134"/>
    </font>
    <font>
      <sz val="10"/>
      <color indexed="8"/>
      <name val="Arial"/>
      <family val="3"/>
      <charset val="134"/>
    </font>
    <font>
      <sz val="11"/>
      <color indexed="8"/>
      <name val="Arial"/>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270"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271" fillId="12" borderId="0" xfId="0" applyFont="1" applyFill="1" applyAlignment="1" applyProtection="1">
      <alignment horizontal="center" vertical="center"/>
      <protection locked="0"/>
    </xf>
    <xf numFmtId="0" fontId="77" fillId="12" borderId="0" xfId="0" applyFont="1" applyFill="1" applyAlignment="1" applyProtection="1">
      <alignment horizontal="center" vertical="center"/>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12" borderId="0" xfId="0" applyFont="1" applyFill="1" applyAlignment="1" applyProtection="1">
      <alignment horizontal="center" vertical="center"/>
      <protection locked="0"/>
    </xf>
    <xf numFmtId="0" fontId="272" fillId="0" borderId="44" xfId="0" applyFont="1" applyBorder="1" applyAlignment="1" applyProtection="1">
      <alignment horizontal="center" vertical="center" wrapText="1"/>
      <protection locked="0"/>
    </xf>
    <xf numFmtId="196" fontId="98" fillId="6" borderId="10" xfId="0" applyNumberFormat="1" applyFont="1" applyFill="1" applyBorder="1" applyAlignment="1">
      <alignment horizontal="center" vertical="center"/>
    </xf>
    <xf numFmtId="196" fontId="44" fillId="22" borderId="1" xfId="0" applyNumberFormat="1" applyFont="1" applyFill="1" applyBorder="1" applyAlignment="1">
      <alignment horizontal="left" vertical="center" wrapText="1"/>
    </xf>
    <xf numFmtId="0" fontId="47" fillId="12" borderId="0" xfId="0" applyFont="1" applyFill="1" applyAlignment="1" applyProtection="1">
      <alignment horizontal="left" vertical="top"/>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0" fontId="47" fillId="23" borderId="1" xfId="1" applyNumberFormat="1" applyFont="1" applyFill="1" applyBorder="1" applyAlignment="1" applyProtection="1">
      <alignment horizontal="center" vertical="center"/>
      <protection locked="0"/>
    </xf>
    <xf numFmtId="0" fontId="53" fillId="23" borderId="24" xfId="0" applyFont="1" applyFill="1" applyBorder="1" applyAlignment="1" applyProtection="1">
      <alignment horizontal="center" vertical="center"/>
      <protection locked="0"/>
    </xf>
    <xf numFmtId="176" fontId="44" fillId="7" borderId="24" xfId="1" applyNumberFormat="1" applyFont="1" applyFill="1" applyBorder="1" applyAlignment="1" applyProtection="1">
      <alignment horizontal="center" vertical="center"/>
      <protection locked="0"/>
    </xf>
    <xf numFmtId="179" fontId="44" fillId="7" borderId="23" xfId="0" applyNumberFormat="1" applyFont="1" applyFill="1" applyBorder="1" applyAlignment="1" applyProtection="1">
      <alignment horizontal="center" vertical="center"/>
      <protection locked="0"/>
    </xf>
    <xf numFmtId="0" fontId="58" fillId="7" borderId="3" xfId="0"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114300</xdr:colOff>
      <xdr:row>73</xdr:row>
      <xdr:rowOff>160020</xdr:rowOff>
    </xdr:from>
    <xdr:to>
      <xdr:col>13</xdr:col>
      <xdr:colOff>212687</xdr:colOff>
      <xdr:row>105</xdr:row>
      <xdr:rowOff>54244</xdr:rowOff>
    </xdr:to>
    <xdr:pic>
      <xdr:nvPicPr>
        <xdr:cNvPr id="2" name="图片 1">
          <a:extLst>
            <a:ext uri="{FF2B5EF4-FFF2-40B4-BE49-F238E27FC236}">
              <a16:creationId xmlns:a16="http://schemas.microsoft.com/office/drawing/2014/main" xmlns="" id="{C7AAE066-D076-491F-E285-EDD4FC22ADEA}"/>
            </a:ext>
          </a:extLst>
        </xdr:cNvPr>
        <xdr:cNvPicPr>
          <a:picLocks noChangeAspect="1"/>
        </xdr:cNvPicPr>
      </xdr:nvPicPr>
      <xdr:blipFill>
        <a:blip xmlns:r="http://schemas.openxmlformats.org/officeDocument/2006/relationships" r:embed="rId1"/>
        <a:stretch>
          <a:fillRect/>
        </a:stretch>
      </xdr:blipFill>
      <xdr:spPr>
        <a:xfrm>
          <a:off x="723900" y="13510260"/>
          <a:ext cx="7413587" cy="5746384"/>
        </a:xfrm>
        <a:prstGeom prst="rect">
          <a:avLst/>
        </a:prstGeom>
      </xdr:spPr>
    </xdr:pic>
    <xdr:clientData/>
  </xdr:twoCellAnchor>
  <xdr:twoCellAnchor editAs="oneCell">
    <xdr:from>
      <xdr:col>18</xdr:col>
      <xdr:colOff>0</xdr:colOff>
      <xdr:row>91</xdr:row>
      <xdr:rowOff>0</xdr:rowOff>
    </xdr:from>
    <xdr:to>
      <xdr:col>34</xdr:col>
      <xdr:colOff>246400</xdr:colOff>
      <xdr:row>134</xdr:row>
      <xdr:rowOff>126636</xdr:rowOff>
    </xdr:to>
    <xdr:pic>
      <xdr:nvPicPr>
        <xdr:cNvPr id="3" name="图片 2">
          <a:extLst>
            <a:ext uri="{FF2B5EF4-FFF2-40B4-BE49-F238E27FC236}">
              <a16:creationId xmlns:a16="http://schemas.microsoft.com/office/drawing/2014/main" xmlns="" id="{D335252A-E6B0-B478-57F1-4FB72A0A699D}"/>
            </a:ext>
          </a:extLst>
        </xdr:cNvPr>
        <xdr:cNvPicPr>
          <a:picLocks noChangeAspect="1"/>
        </xdr:cNvPicPr>
      </xdr:nvPicPr>
      <xdr:blipFill>
        <a:blip xmlns:r="http://schemas.openxmlformats.org/officeDocument/2006/relationships" r:embed="rId2"/>
        <a:stretch>
          <a:fillRect/>
        </a:stretch>
      </xdr:blipFill>
      <xdr:spPr>
        <a:xfrm>
          <a:off x="10972800" y="16642080"/>
          <a:ext cx="10000000" cy="7990476"/>
        </a:xfrm>
        <a:prstGeom prst="rect">
          <a:avLst/>
        </a:prstGeom>
      </xdr:spPr>
    </xdr:pic>
    <xdr:clientData/>
  </xdr:twoCellAnchor>
  <xdr:twoCellAnchor editAs="oneCell">
    <xdr:from>
      <xdr:col>0</xdr:col>
      <xdr:colOff>0</xdr:colOff>
      <xdr:row>0</xdr:row>
      <xdr:rowOff>129540</xdr:rowOff>
    </xdr:from>
    <xdr:to>
      <xdr:col>13</xdr:col>
      <xdr:colOff>406202</xdr:colOff>
      <xdr:row>36</xdr:row>
      <xdr:rowOff>23783</xdr:rowOff>
    </xdr:to>
    <xdr:pic>
      <xdr:nvPicPr>
        <xdr:cNvPr id="4" name="图片 3">
          <a:extLst>
            <a:ext uri="{FF2B5EF4-FFF2-40B4-BE49-F238E27FC236}">
              <a16:creationId xmlns:a16="http://schemas.microsoft.com/office/drawing/2014/main" xmlns="" id="{158CFF38-100C-A636-7897-CB4CF88DD3B8}"/>
            </a:ext>
          </a:extLst>
        </xdr:cNvPr>
        <xdr:cNvPicPr>
          <a:picLocks noChangeAspect="1"/>
        </xdr:cNvPicPr>
      </xdr:nvPicPr>
      <xdr:blipFill>
        <a:blip xmlns:r="http://schemas.openxmlformats.org/officeDocument/2006/relationships" r:embed="rId3"/>
        <a:stretch>
          <a:fillRect/>
        </a:stretch>
      </xdr:blipFill>
      <xdr:spPr>
        <a:xfrm>
          <a:off x="0" y="129540"/>
          <a:ext cx="8331002" cy="6477923"/>
        </a:xfrm>
        <a:prstGeom prst="rect">
          <a:avLst/>
        </a:prstGeom>
      </xdr:spPr>
    </xdr:pic>
    <xdr:clientData/>
  </xdr:twoCellAnchor>
  <xdr:twoCellAnchor editAs="oneCell">
    <xdr:from>
      <xdr:col>0</xdr:col>
      <xdr:colOff>0</xdr:colOff>
      <xdr:row>37</xdr:row>
      <xdr:rowOff>137160</xdr:rowOff>
    </xdr:from>
    <xdr:to>
      <xdr:col>14</xdr:col>
      <xdr:colOff>151043</xdr:colOff>
      <xdr:row>72</xdr:row>
      <xdr:rowOff>14259</xdr:rowOff>
    </xdr:to>
    <xdr:pic>
      <xdr:nvPicPr>
        <xdr:cNvPr id="5" name="图片 4">
          <a:extLst>
            <a:ext uri="{FF2B5EF4-FFF2-40B4-BE49-F238E27FC236}">
              <a16:creationId xmlns:a16="http://schemas.microsoft.com/office/drawing/2014/main" xmlns="" id="{35800BE3-06DC-C42B-A969-AB8D84CBC9AB}"/>
            </a:ext>
          </a:extLst>
        </xdr:cNvPr>
        <xdr:cNvPicPr>
          <a:picLocks noChangeAspect="1"/>
        </xdr:cNvPicPr>
      </xdr:nvPicPr>
      <xdr:blipFill>
        <a:blip xmlns:r="http://schemas.openxmlformats.org/officeDocument/2006/relationships" r:embed="rId4"/>
        <a:stretch>
          <a:fillRect/>
        </a:stretch>
      </xdr:blipFill>
      <xdr:spPr>
        <a:xfrm>
          <a:off x="0" y="6903720"/>
          <a:ext cx="8685443" cy="62778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78</xdr:row>
      <xdr:rowOff>0</xdr:rowOff>
    </xdr:from>
    <xdr:to>
      <xdr:col>16</xdr:col>
      <xdr:colOff>313067</xdr:colOff>
      <xdr:row>121</xdr:row>
      <xdr:rowOff>40922</xdr:rowOff>
    </xdr:to>
    <xdr:pic>
      <xdr:nvPicPr>
        <xdr:cNvPr id="2" name="图片 1">
          <a:extLst>
            <a:ext uri="{FF2B5EF4-FFF2-40B4-BE49-F238E27FC236}">
              <a16:creationId xmlns:a16="http://schemas.microsoft.com/office/drawing/2014/main" xmlns="" id="{3A4FE2FD-0D84-0219-CA0B-BE67C8575F2A}"/>
            </a:ext>
          </a:extLst>
        </xdr:cNvPr>
        <xdr:cNvPicPr>
          <a:picLocks noChangeAspect="1"/>
        </xdr:cNvPicPr>
      </xdr:nvPicPr>
      <xdr:blipFill>
        <a:blip xmlns:r="http://schemas.openxmlformats.org/officeDocument/2006/relationships" r:embed="rId1"/>
        <a:stretch>
          <a:fillRect/>
        </a:stretch>
      </xdr:blipFill>
      <xdr:spPr>
        <a:xfrm>
          <a:off x="0" y="0"/>
          <a:ext cx="10066667" cy="7904762"/>
        </a:xfrm>
        <a:prstGeom prst="rect">
          <a:avLst/>
        </a:prstGeom>
      </xdr:spPr>
    </xdr:pic>
    <xdr:clientData/>
  </xdr:twoCellAnchor>
  <xdr:twoCellAnchor editAs="oneCell">
    <xdr:from>
      <xdr:col>0</xdr:col>
      <xdr:colOff>0</xdr:colOff>
      <xdr:row>122</xdr:row>
      <xdr:rowOff>0</xdr:rowOff>
    </xdr:from>
    <xdr:to>
      <xdr:col>17</xdr:col>
      <xdr:colOff>398705</xdr:colOff>
      <xdr:row>165</xdr:row>
      <xdr:rowOff>2827</xdr:rowOff>
    </xdr:to>
    <xdr:pic>
      <xdr:nvPicPr>
        <xdr:cNvPr id="3" name="图片 2">
          <a:extLst>
            <a:ext uri="{FF2B5EF4-FFF2-40B4-BE49-F238E27FC236}">
              <a16:creationId xmlns:a16="http://schemas.microsoft.com/office/drawing/2014/main" xmlns="" id="{0B97B872-85C1-94BA-D25E-06A562EF1CEC}"/>
            </a:ext>
          </a:extLst>
        </xdr:cNvPr>
        <xdr:cNvPicPr>
          <a:picLocks noChangeAspect="1"/>
        </xdr:cNvPicPr>
      </xdr:nvPicPr>
      <xdr:blipFill>
        <a:blip xmlns:r="http://schemas.openxmlformats.org/officeDocument/2006/relationships" r:embed="rId2"/>
        <a:stretch>
          <a:fillRect/>
        </a:stretch>
      </xdr:blipFill>
      <xdr:spPr>
        <a:xfrm>
          <a:off x="0" y="8046720"/>
          <a:ext cx="10761905" cy="7866667"/>
        </a:xfrm>
        <a:prstGeom prst="rect">
          <a:avLst/>
        </a:prstGeom>
      </xdr:spPr>
    </xdr:pic>
    <xdr:clientData/>
  </xdr:twoCellAnchor>
  <xdr:twoCellAnchor editAs="oneCell">
    <xdr:from>
      <xdr:col>0</xdr:col>
      <xdr:colOff>0</xdr:colOff>
      <xdr:row>166</xdr:row>
      <xdr:rowOff>0</xdr:rowOff>
    </xdr:from>
    <xdr:to>
      <xdr:col>17</xdr:col>
      <xdr:colOff>122514</xdr:colOff>
      <xdr:row>209</xdr:row>
      <xdr:rowOff>2827</xdr:rowOff>
    </xdr:to>
    <xdr:pic>
      <xdr:nvPicPr>
        <xdr:cNvPr id="4" name="图片 3">
          <a:extLst>
            <a:ext uri="{FF2B5EF4-FFF2-40B4-BE49-F238E27FC236}">
              <a16:creationId xmlns:a16="http://schemas.microsoft.com/office/drawing/2014/main" xmlns="" id="{9804599A-C120-C8A2-F4DF-7C7CEF66F92D}"/>
            </a:ext>
          </a:extLst>
        </xdr:cNvPr>
        <xdr:cNvPicPr>
          <a:picLocks noChangeAspect="1"/>
        </xdr:cNvPicPr>
      </xdr:nvPicPr>
      <xdr:blipFill>
        <a:blip xmlns:r="http://schemas.openxmlformats.org/officeDocument/2006/relationships" r:embed="rId3"/>
        <a:stretch>
          <a:fillRect/>
        </a:stretch>
      </xdr:blipFill>
      <xdr:spPr>
        <a:xfrm>
          <a:off x="0" y="16093440"/>
          <a:ext cx="10485714" cy="7866667"/>
        </a:xfrm>
        <a:prstGeom prst="rect">
          <a:avLst/>
        </a:prstGeom>
      </xdr:spPr>
    </xdr:pic>
    <xdr:clientData/>
  </xdr:twoCellAnchor>
  <xdr:twoCellAnchor editAs="oneCell">
    <xdr:from>
      <xdr:col>0</xdr:col>
      <xdr:colOff>0</xdr:colOff>
      <xdr:row>209</xdr:row>
      <xdr:rowOff>30480</xdr:rowOff>
    </xdr:from>
    <xdr:to>
      <xdr:col>16</xdr:col>
      <xdr:colOff>332114</xdr:colOff>
      <xdr:row>252</xdr:row>
      <xdr:rowOff>109497</xdr:rowOff>
    </xdr:to>
    <xdr:pic>
      <xdr:nvPicPr>
        <xdr:cNvPr id="5" name="图片 4">
          <a:extLst>
            <a:ext uri="{FF2B5EF4-FFF2-40B4-BE49-F238E27FC236}">
              <a16:creationId xmlns:a16="http://schemas.microsoft.com/office/drawing/2014/main" xmlns="" id="{F61EA536-F00B-0246-8A1A-6CD140346897}"/>
            </a:ext>
          </a:extLst>
        </xdr:cNvPr>
        <xdr:cNvPicPr>
          <a:picLocks noChangeAspect="1"/>
        </xdr:cNvPicPr>
      </xdr:nvPicPr>
      <xdr:blipFill>
        <a:blip xmlns:r="http://schemas.openxmlformats.org/officeDocument/2006/relationships" r:embed="rId4"/>
        <a:stretch>
          <a:fillRect/>
        </a:stretch>
      </xdr:blipFill>
      <xdr:spPr>
        <a:xfrm>
          <a:off x="0" y="23987760"/>
          <a:ext cx="10085714" cy="7942857"/>
        </a:xfrm>
        <a:prstGeom prst="rect">
          <a:avLst/>
        </a:prstGeom>
      </xdr:spPr>
    </xdr:pic>
    <xdr:clientData/>
  </xdr:twoCellAnchor>
  <xdr:twoCellAnchor editAs="oneCell">
    <xdr:from>
      <xdr:col>0</xdr:col>
      <xdr:colOff>0</xdr:colOff>
      <xdr:row>0</xdr:row>
      <xdr:rowOff>0</xdr:rowOff>
    </xdr:from>
    <xdr:to>
      <xdr:col>14</xdr:col>
      <xdr:colOff>276225</xdr:colOff>
      <xdr:row>27</xdr:row>
      <xdr:rowOff>72536</xdr:rowOff>
    </xdr:to>
    <xdr:pic>
      <xdr:nvPicPr>
        <xdr:cNvPr id="6" name="图片 5">
          <a:extLst>
            <a:ext uri="{FF2B5EF4-FFF2-40B4-BE49-F238E27FC236}">
              <a16:creationId xmlns:a16="http://schemas.microsoft.com/office/drawing/2014/main" xmlns="" id="{0200E9EF-8FD3-4326-8FC8-B991555CCFE7}"/>
            </a:ext>
          </a:extLst>
        </xdr:cNvPr>
        <xdr:cNvPicPr>
          <a:picLocks noChangeAspect="1"/>
        </xdr:cNvPicPr>
      </xdr:nvPicPr>
      <xdr:blipFill>
        <a:blip xmlns:r="http://schemas.openxmlformats.org/officeDocument/2006/relationships" r:embed="rId5"/>
        <a:stretch>
          <a:fillRect/>
        </a:stretch>
      </xdr:blipFill>
      <xdr:spPr>
        <a:xfrm>
          <a:off x="0" y="0"/>
          <a:ext cx="8810625" cy="5010296"/>
        </a:xfrm>
        <a:prstGeom prst="rect">
          <a:avLst/>
        </a:prstGeom>
      </xdr:spPr>
    </xdr:pic>
    <xdr:clientData/>
  </xdr:twoCellAnchor>
  <xdr:twoCellAnchor editAs="oneCell">
    <xdr:from>
      <xdr:col>0</xdr:col>
      <xdr:colOff>0</xdr:colOff>
      <xdr:row>28</xdr:row>
      <xdr:rowOff>0</xdr:rowOff>
    </xdr:from>
    <xdr:to>
      <xdr:col>14</xdr:col>
      <xdr:colOff>257175</xdr:colOff>
      <xdr:row>56</xdr:row>
      <xdr:rowOff>45531</xdr:rowOff>
    </xdr:to>
    <xdr:pic>
      <xdr:nvPicPr>
        <xdr:cNvPr id="7" name="图片 6">
          <a:extLst>
            <a:ext uri="{FF2B5EF4-FFF2-40B4-BE49-F238E27FC236}">
              <a16:creationId xmlns:a16="http://schemas.microsoft.com/office/drawing/2014/main" xmlns="" id="{DEDB257B-0CE6-4626-84C1-E0486ABCE866}"/>
            </a:ext>
          </a:extLst>
        </xdr:cNvPr>
        <xdr:cNvPicPr>
          <a:picLocks noChangeAspect="1"/>
        </xdr:cNvPicPr>
      </xdr:nvPicPr>
      <xdr:blipFill>
        <a:blip xmlns:r="http://schemas.openxmlformats.org/officeDocument/2006/relationships" r:embed="rId6"/>
        <a:stretch>
          <a:fillRect/>
        </a:stretch>
      </xdr:blipFill>
      <xdr:spPr>
        <a:xfrm>
          <a:off x="0" y="5120640"/>
          <a:ext cx="8791575" cy="5166171"/>
        </a:xfrm>
        <a:prstGeom prst="rect">
          <a:avLst/>
        </a:prstGeom>
      </xdr:spPr>
    </xdr:pic>
    <xdr:clientData/>
  </xdr:twoCellAnchor>
  <xdr:twoCellAnchor editAs="oneCell">
    <xdr:from>
      <xdr:col>0</xdr:col>
      <xdr:colOff>21308</xdr:colOff>
      <xdr:row>56</xdr:row>
      <xdr:rowOff>15240</xdr:rowOff>
    </xdr:from>
    <xdr:to>
      <xdr:col>11</xdr:col>
      <xdr:colOff>381000</xdr:colOff>
      <xdr:row>78</xdr:row>
      <xdr:rowOff>51001</xdr:rowOff>
    </xdr:to>
    <xdr:pic>
      <xdr:nvPicPr>
        <xdr:cNvPr id="8" name="图片 7">
          <a:extLst>
            <a:ext uri="{FF2B5EF4-FFF2-40B4-BE49-F238E27FC236}">
              <a16:creationId xmlns:a16="http://schemas.microsoft.com/office/drawing/2014/main" xmlns="" id="{401A8389-7985-40C5-A313-117F752E64AC}"/>
            </a:ext>
          </a:extLst>
        </xdr:cNvPr>
        <xdr:cNvPicPr>
          <a:picLocks noChangeAspect="1"/>
        </xdr:cNvPicPr>
      </xdr:nvPicPr>
      <xdr:blipFill>
        <a:blip xmlns:r="http://schemas.openxmlformats.org/officeDocument/2006/relationships" r:embed="rId7"/>
        <a:stretch>
          <a:fillRect/>
        </a:stretch>
      </xdr:blipFill>
      <xdr:spPr>
        <a:xfrm>
          <a:off x="21308" y="10256520"/>
          <a:ext cx="7065292" cy="40591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北京市怀柔区开放路46号楼1至2层23房地产抵押价值预评估</v>
      </c>
    </row>
    <row r="3" spans="1:2">
      <c r="A3" s="1118" t="s">
        <v>523</v>
      </c>
      <c r="B3" s="1119">
        <f>'预评函-封皮'!B40</f>
        <v>0</v>
      </c>
    </row>
    <row r="4" spans="1:2">
      <c r="A4" s="1118" t="s">
        <v>524</v>
      </c>
      <c r="B4" s="1119" t="str">
        <f ca="1">'预评函-封皮'!B46</f>
        <v>郑燚（注册号：1120070131)、崔锴（注册号：1120100036)</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受贵公司委托，我公司对北京市怀柔区开放路46号楼1至2层23房地产抵押价值进行了预评估。</v>
      </c>
    </row>
    <row r="7" spans="1:2">
      <c r="A7" s="1118" t="s">
        <v>566</v>
      </c>
      <c r="B7" s="1119" t="str">
        <f>'预评函-1'!A7</f>
        <v>估价对象为北京市怀柔区开放路46号楼1至2层23房地产，为李晓明所有。根据《国有土地使用证》[]，估价对象（分摊）出让国有建设用地使用权面积为0平方米，建筑面积为227.25平方米。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怀柔区开放路46号楼1至2层23房地产,属李晓明开发建设的商业项目，该项目尚在开发建设中。根据《国有土地使用证》[]，估价对象（分摊）出让国有建设用地使用权面积为0平方米，规划建筑面积为227.25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怀柔区开放路46号楼1至2层23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2024年10月15日</v>
      </c>
    </row>
    <row r="13" spans="1:2">
      <c r="A13" s="1118" t="s">
        <v>529</v>
      </c>
      <c r="B13" s="1119" t="str">
        <f>'预评函-1'!A18</f>
        <v>本次估价的“房地产价值”是指在正常市场情况下，在价值时点2024年10月15日，估价对象规划用途为商业，土地取得方式为出让，出让国有建设用地使用权剩余土地使用年限为16.95，假定未设立法定优先受偿款下的房地产市场价值。</v>
      </c>
    </row>
    <row r="14" spans="1:2">
      <c r="A14" s="1118" t="s">
        <v>530</v>
      </c>
      <c r="B14" s="1119" t="str">
        <f>'预评函-1'!A19</f>
        <v>其中，“出让国有建设用地使用权价值”是指估价对象用途为商业，实际开发程度为宗地红线外“七通”（即、、、、、、）、红线内场地平整条件下，剩余土地使用年限为16.95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5" thickBot="1">
      <c r="A18" s="1121" t="s">
        <v>534</v>
      </c>
      <c r="B18" s="1122" t="str">
        <f>'预评函-1'!A24</f>
        <v>本次评估采用的主估价方法为比较法和收益法。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464.52170000000001</v>
      </c>
    </row>
    <row r="21" spans="1:2">
      <c r="A21" s="1118" t="s">
        <v>537</v>
      </c>
      <c r="B21" s="1119">
        <f ca="1">'预评函-2'!D7</f>
        <v>20441</v>
      </c>
    </row>
    <row r="22" spans="1:2">
      <c r="A22" s="1118" t="s">
        <v>538</v>
      </c>
      <c r="B22" s="1119" t="str">
        <f ca="1">'预评函-2'!D6</f>
        <v>肆佰陆拾肆万伍仟贰佰壹拾柒元整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464.52170000000001</v>
      </c>
    </row>
    <row r="31" spans="1:2">
      <c r="A31" s="1118" t="s">
        <v>576</v>
      </c>
      <c r="B31" s="1119">
        <f ca="1">'预评函-2'!D15</f>
        <v>20441</v>
      </c>
    </row>
    <row r="32" spans="1:2">
      <c r="A32" s="1118" t="s">
        <v>543</v>
      </c>
      <c r="B32" s="1119" t="str">
        <f ca="1">'预评函-2'!D14</f>
        <v>肆佰陆拾肆万伍仟贰佰壹拾柒元整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北京市怀柔区开放路46号楼1至2层23房地产</v>
      </c>
    </row>
    <row r="42" spans="1:2">
      <c r="A42" s="1118" t="s">
        <v>590</v>
      </c>
      <c r="B42" s="1119" t="str">
        <f>'预评函-3'!B2</f>
        <v>建筑面积</v>
      </c>
    </row>
    <row r="43" spans="1:2">
      <c r="A43" s="1118" t="s">
        <v>591</v>
      </c>
      <c r="B43" s="1119">
        <f>'预评函-3'!B4</f>
        <v>227.25</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'预评函-3'!D4</f>
        <v>0</v>
      </c>
    </row>
    <row r="48" spans="1:2">
      <c r="A48" s="1118" t="s">
        <v>549</v>
      </c>
      <c r="B48" s="1119">
        <f>'预评函-3'!E4</f>
        <v>0</v>
      </c>
    </row>
    <row r="49" spans="1:2">
      <c r="A49" s="1118" t="s">
        <v>550</v>
      </c>
      <c r="B49" s="1119" t="str">
        <f>'预评函-3'!D5</f>
        <v>零元整</v>
      </c>
    </row>
    <row r="50" spans="1:2">
      <c r="A50" s="1118" t="s">
        <v>574</v>
      </c>
      <c r="B50" s="1119" t="str">
        <f>'预评函-3'!F2</f>
        <v>在建建筑物价值</v>
      </c>
    </row>
    <row r="51" spans="1:2">
      <c r="A51" s="1118" t="s">
        <v>551</v>
      </c>
      <c r="B51" s="1119">
        <f>'预评函-3'!F4</f>
        <v>0</v>
      </c>
    </row>
    <row r="52" spans="1:2">
      <c r="A52" s="1118" t="s">
        <v>552</v>
      </c>
      <c r="B52" s="1119">
        <f>'预评函-3'!G4</f>
        <v>0</v>
      </c>
    </row>
    <row r="53" spans="1:2">
      <c r="A53" s="1118" t="s">
        <v>580</v>
      </c>
      <c r="B53" s="1119" t="str">
        <f>'预评函-3'!F5</f>
        <v>零元整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t="str">
        <f>'预评函-4'!A4</f>
        <v>郑燚</v>
      </c>
    </row>
    <row r="71" spans="1:2">
      <c r="A71" s="1118" t="s">
        <v>563</v>
      </c>
      <c r="B71" s="1119">
        <f ca="1">'预评函-4'!B4</f>
        <v>1120070131</v>
      </c>
    </row>
    <row r="72" spans="1:2">
      <c r="A72" s="1118" t="s">
        <v>564</v>
      </c>
      <c r="B72" s="1126" t="str">
        <f>'预评函-4'!A5</f>
        <v>崔锴</v>
      </c>
    </row>
    <row r="73" spans="1:2" s="1114" customFormat="1" ht="15" thickBot="1">
      <c r="A73" s="1121" t="s">
        <v>565</v>
      </c>
      <c r="B73" s="1122">
        <f ca="1">'预评函-4'!B5</f>
        <v>1120100036</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3353</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3339</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3340</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3341</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3342</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3343</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3344</v>
      </c>
    </row>
    <row r="8" spans="1:23">
      <c r="A8" s="1440" t="s">
        <v>1026</v>
      </c>
      <c r="B8" s="1440" t="s">
        <v>1027</v>
      </c>
      <c r="C8" s="1441" t="s">
        <v>319</v>
      </c>
      <c r="F8" s="1442" t="s">
        <v>1028</v>
      </c>
      <c r="H8" s="1442" t="s">
        <v>2579</v>
      </c>
      <c r="I8" s="1442" t="s">
        <v>3345</v>
      </c>
    </row>
    <row r="9" spans="1:23">
      <c r="A9" s="1440" t="s">
        <v>1029</v>
      </c>
      <c r="B9" s="1440" t="s">
        <v>1030</v>
      </c>
      <c r="C9" s="1441" t="s">
        <v>320</v>
      </c>
      <c r="F9" s="1442" t="s">
        <v>1031</v>
      </c>
      <c r="H9" s="1442"/>
      <c r="I9" s="1444" t="s">
        <v>3346</v>
      </c>
    </row>
    <row r="10" spans="1:23">
      <c r="A10" s="1440" t="s">
        <v>1032</v>
      </c>
      <c r="B10" s="1440" t="s">
        <v>1033</v>
      </c>
      <c r="C10" s="1441" t="s">
        <v>321</v>
      </c>
      <c r="F10" s="1442" t="s">
        <v>2580</v>
      </c>
      <c r="I10" s="1444" t="s">
        <v>3347</v>
      </c>
    </row>
    <row r="11" spans="1:23">
      <c r="A11" s="1440" t="s">
        <v>1034</v>
      </c>
      <c r="B11" s="1440" t="s">
        <v>1035</v>
      </c>
      <c r="C11" s="1441" t="s">
        <v>322</v>
      </c>
      <c r="F11" s="1442" t="s">
        <v>13</v>
      </c>
      <c r="I11" s="1444" t="s">
        <v>3348</v>
      </c>
    </row>
    <row r="12" spans="1:23">
      <c r="A12" s="1440" t="s">
        <v>1036</v>
      </c>
      <c r="B12" s="1440" t="s">
        <v>1037</v>
      </c>
      <c r="C12" s="1441" t="s">
        <v>323</v>
      </c>
      <c r="I12" s="1444" t="s">
        <v>3349</v>
      </c>
    </row>
    <row r="13" spans="1:23">
      <c r="A13" s="1440" t="s">
        <v>1038</v>
      </c>
      <c r="B13" s="1440" t="s">
        <v>1039</v>
      </c>
      <c r="C13" s="1441" t="s">
        <v>324</v>
      </c>
      <c r="I13" s="1444" t="s">
        <v>3350</v>
      </c>
    </row>
    <row r="14" spans="1:23">
      <c r="A14" s="1440" t="s">
        <v>1040</v>
      </c>
      <c r="B14" s="1440" t="s">
        <v>1041</v>
      </c>
      <c r="C14" s="1442" t="s">
        <v>13</v>
      </c>
      <c r="I14" s="1444" t="s">
        <v>3351</v>
      </c>
    </row>
    <row r="15" spans="1:23">
      <c r="A15" s="1440" t="s">
        <v>1042</v>
      </c>
      <c r="B15" s="1440" t="s">
        <v>1043</v>
      </c>
      <c r="C15" s="1441"/>
      <c r="I15" s="1444" t="s">
        <v>3352</v>
      </c>
    </row>
    <row r="16" spans="1:23">
      <c r="A16" s="1440" t="s">
        <v>1044</v>
      </c>
      <c r="B16" s="1440" t="s">
        <v>312</v>
      </c>
      <c r="C16" s="1441"/>
    </row>
    <row r="17" spans="1:3">
      <c r="A17" s="1440" t="s">
        <v>1045</v>
      </c>
      <c r="B17" s="1440" t="s">
        <v>2293</v>
      </c>
      <c r="C17" s="1441"/>
    </row>
    <row r="18" spans="1:3">
      <c r="A18" s="1440" t="s">
        <v>1046</v>
      </c>
      <c r="B18" s="1440" t="s">
        <v>2435</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区开放路46号楼1至2层23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197"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15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197"/>
      <c r="B54" s="1446" t="s">
        <v>385</v>
      </c>
      <c r="C54" s="1444" t="s">
        <v>583</v>
      </c>
    </row>
    <row r="55" spans="1:4">
      <c r="A55" s="3197"/>
      <c r="B55" s="1446" t="s">
        <v>386</v>
      </c>
      <c r="C55" s="1444" t="s">
        <v>584</v>
      </c>
    </row>
    <row r="56" spans="1:4">
      <c r="A56" s="3197"/>
      <c r="B56" s="1446" t="s">
        <v>387</v>
      </c>
      <c r="C56" s="1444" t="s">
        <v>588</v>
      </c>
    </row>
    <row r="57" spans="1:4">
      <c r="A57" s="3197"/>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2502</v>
      </c>
      <c r="B1" s="2754"/>
      <c r="C1" s="2754"/>
      <c r="D1" s="2754"/>
      <c r="E1" s="2754"/>
      <c r="F1" s="2755"/>
      <c r="I1" s="3132" t="s">
        <v>2595</v>
      </c>
      <c r="J1" s="2780"/>
      <c r="K1" s="2780"/>
      <c r="L1" s="2780"/>
      <c r="M1" s="2780"/>
      <c r="N1" s="2965"/>
      <c r="O1" s="2965"/>
      <c r="P1" s="2965"/>
      <c r="Q1" s="2965"/>
      <c r="R1" s="2965"/>
    </row>
    <row r="2" spans="1:18">
      <c r="A2" s="2757"/>
      <c r="B2" s="2758"/>
      <c r="C2" s="2758"/>
      <c r="D2" s="2758"/>
      <c r="E2" s="2758"/>
      <c r="F2" s="2759"/>
      <c r="I2" s="3198" t="s">
        <v>2582</v>
      </c>
      <c r="J2" s="3198"/>
      <c r="K2" s="3198"/>
      <c r="L2" s="3198"/>
      <c r="M2" s="3198"/>
      <c r="N2" s="3198"/>
      <c r="O2" s="3198"/>
      <c r="P2" s="3198"/>
      <c r="Q2" s="3198"/>
      <c r="R2" s="3198"/>
    </row>
    <row r="3" spans="1:18">
      <c r="A3" s="2760" t="s">
        <v>2503</v>
      </c>
      <c r="B3" s="2761">
        <f>项目基本情况!D3</f>
        <v>45580</v>
      </c>
      <c r="C3" s="2763"/>
      <c r="D3" s="2763"/>
      <c r="E3" s="2763"/>
      <c r="F3" s="2759"/>
      <c r="I3" s="2775"/>
      <c r="J3" s="2775" t="s">
        <v>2586</v>
      </c>
      <c r="K3" s="2775" t="s">
        <v>2587</v>
      </c>
      <c r="L3" s="2775" t="s">
        <v>2588</v>
      </c>
      <c r="M3" s="2775" t="s">
        <v>2589</v>
      </c>
      <c r="N3" s="3133" t="s">
        <v>2590</v>
      </c>
      <c r="O3" s="3133" t="s">
        <v>2591</v>
      </c>
      <c r="P3" s="3133" t="s">
        <v>2592</v>
      </c>
      <c r="Q3" s="3133" t="s">
        <v>2593</v>
      </c>
      <c r="R3" s="3133" t="s">
        <v>2594</v>
      </c>
    </row>
    <row r="4" spans="1:18">
      <c r="A4" s="2760" t="s">
        <v>2504</v>
      </c>
      <c r="B4" s="2763" t="s">
        <v>2505</v>
      </c>
      <c r="C4" s="2763" t="s">
        <v>2506</v>
      </c>
      <c r="D4" s="2763" t="s">
        <v>2507</v>
      </c>
      <c r="E4" s="2763" t="s">
        <v>2508</v>
      </c>
      <c r="F4" s="2759"/>
      <c r="I4" s="2775" t="s">
        <v>2583</v>
      </c>
      <c r="J4" s="2775">
        <v>80</v>
      </c>
      <c r="K4" s="2775">
        <v>70</v>
      </c>
      <c r="L4" s="2775">
        <v>20</v>
      </c>
      <c r="M4" s="2775">
        <v>30</v>
      </c>
      <c r="N4" s="2763">
        <v>45</v>
      </c>
      <c r="O4" s="2763">
        <v>60</v>
      </c>
      <c r="P4" s="2763">
        <v>50</v>
      </c>
      <c r="Q4" s="2763">
        <v>20</v>
      </c>
      <c r="R4" s="2763">
        <v>375</v>
      </c>
    </row>
    <row r="5" spans="1:18">
      <c r="A5" s="2764">
        <v>40</v>
      </c>
      <c r="B5" s="2761">
        <v>46375</v>
      </c>
      <c r="C5" s="2763">
        <f>ROUNDDOWN(MIN((B5-B3)/365,A5),2)</f>
        <v>2.17</v>
      </c>
      <c r="D5" s="2765">
        <f>IF(ISERROR(ROUND(POWER(1+E5,A5-C5)*(POWER(1+E5,C5)-1)/(POWER(1+E5,A5)-1),3)),0,ROUND(POWER(1+E5,A5-C5)*(POWER(1+E5,C5)-1)/(POWER(1+E5,A5)-1),4))</f>
        <v>0.1031</v>
      </c>
      <c r="E5" s="2766">
        <v>0.04</v>
      </c>
      <c r="F5" s="2759"/>
      <c r="I5" s="2775" t="s">
        <v>2584</v>
      </c>
      <c r="J5" s="2775">
        <v>70</v>
      </c>
      <c r="K5" s="2775">
        <v>60</v>
      </c>
      <c r="L5" s="2775">
        <v>15</v>
      </c>
      <c r="M5" s="2775">
        <v>25</v>
      </c>
      <c r="N5" s="2763">
        <v>40</v>
      </c>
      <c r="O5" s="2763">
        <v>50</v>
      </c>
      <c r="P5" s="2763">
        <v>40</v>
      </c>
      <c r="Q5" s="2763">
        <v>15</v>
      </c>
      <c r="R5" s="2763">
        <v>315</v>
      </c>
    </row>
    <row r="6" spans="1:18">
      <c r="A6" s="2764">
        <v>50</v>
      </c>
      <c r="B6" s="2761">
        <v>50028</v>
      </c>
      <c r="C6" s="2763">
        <f>ROUNDDOWN(MIN((B6-B3)/365,A6),2)</f>
        <v>12.18</v>
      </c>
      <c r="D6" s="2765">
        <f>IF(ISERROR(ROUND(POWER(1+E6,A6-C6)*(POWER(1+E6,C6)-1)/(POWER(1+E6,A6)-1),3)),0,ROUND(POWER(1+E6,A6-C6)*(POWER(1+E6,C6)-1)/(POWER(1+E6,A6)-1),4))</f>
        <v>0.442</v>
      </c>
      <c r="E6" s="2766">
        <v>0.04</v>
      </c>
      <c r="F6" s="2759"/>
      <c r="I6" s="2775" t="s">
        <v>2585</v>
      </c>
      <c r="J6" s="2775">
        <v>60</v>
      </c>
      <c r="K6" s="2775">
        <v>50</v>
      </c>
      <c r="L6" s="2775">
        <v>10</v>
      </c>
      <c r="M6" s="2775">
        <v>20</v>
      </c>
      <c r="N6" s="2763">
        <v>35</v>
      </c>
      <c r="O6" s="2763">
        <v>40</v>
      </c>
      <c r="P6" s="2763">
        <v>30</v>
      </c>
      <c r="Q6" s="2763">
        <v>10</v>
      </c>
      <c r="R6" s="2763">
        <v>255</v>
      </c>
    </row>
    <row r="7" spans="1:18">
      <c r="A7" s="2764">
        <v>70</v>
      </c>
      <c r="B7" s="2761">
        <v>57333</v>
      </c>
      <c r="C7" s="2763">
        <f>ROUNDDOWN(MIN((B7-B3)/365,A7),2)</f>
        <v>32.200000000000003</v>
      </c>
      <c r="D7" s="2765">
        <f>IF(ISERROR(ROUND(POWER(1+E7,A7-C7)*(POWER(1+E7,C7)-1)/(POWER(1+E7,A7)-1),3)),0,ROUND(POWER(1+E7,A7-C7)*(POWER(1+E7,C7)-1)/(POWER(1+E7,A7)-1),4))</f>
        <v>0.76639999999999997</v>
      </c>
      <c r="E7" s="2766">
        <v>0.04</v>
      </c>
      <c r="F7" s="2759"/>
    </row>
    <row r="8" spans="1:18">
      <c r="A8" s="2757"/>
      <c r="B8" s="2758"/>
      <c r="C8" s="2758"/>
      <c r="D8" s="2758"/>
      <c r="E8" s="2758"/>
      <c r="F8" s="2759"/>
    </row>
    <row r="9" spans="1:18">
      <c r="A9" s="2760" t="s">
        <v>2509</v>
      </c>
      <c r="B9" s="2763"/>
      <c r="C9" s="2763"/>
      <c r="D9" s="2763"/>
      <c r="E9" s="2763"/>
      <c r="F9" s="2767"/>
    </row>
    <row r="10" spans="1:18">
      <c r="A10" s="2760" t="s">
        <v>2510</v>
      </c>
      <c r="B10" s="2763"/>
      <c r="C10" s="2763"/>
      <c r="D10" s="2763" t="s">
        <v>2508</v>
      </c>
      <c r="E10" s="2763"/>
      <c r="F10" s="2767" t="s">
        <v>2507</v>
      </c>
    </row>
    <row r="11" spans="1:18">
      <c r="A11" s="2760" t="s">
        <v>2511</v>
      </c>
      <c r="B11" s="2768">
        <v>70</v>
      </c>
      <c r="C11" s="2763" t="s">
        <v>2512</v>
      </c>
      <c r="D11" s="2768">
        <v>4.4999999999999998E-2</v>
      </c>
      <c r="E11" s="2763" t="s">
        <v>2513</v>
      </c>
      <c r="F11" s="2769">
        <f>ROUND(1-(1/(POWER(1+D11,B11))),4)</f>
        <v>0.95409999999999995</v>
      </c>
    </row>
    <row r="12" spans="1:18">
      <c r="A12" s="2760" t="s">
        <v>2514</v>
      </c>
      <c r="B12" s="2768">
        <v>40</v>
      </c>
      <c r="C12" s="2763" t="s">
        <v>2515</v>
      </c>
      <c r="D12" s="2768">
        <v>4.4999999999999998E-2</v>
      </c>
      <c r="E12" s="2763" t="s">
        <v>2516</v>
      </c>
      <c r="F12" s="2769">
        <f>ROUND(1-(1/(POWER(1+D12,B12))),4)</f>
        <v>0.82809999999999995</v>
      </c>
    </row>
    <row r="13" spans="1:18">
      <c r="A13" s="2760" t="s">
        <v>2517</v>
      </c>
      <c r="B13" s="2763"/>
      <c r="C13" s="2763"/>
      <c r="D13" s="2758"/>
      <c r="E13" s="2758"/>
      <c r="F13" s="2759"/>
    </row>
    <row r="14" spans="1:18">
      <c r="A14" s="2760" t="s">
        <v>2518</v>
      </c>
      <c r="B14" s="2768">
        <v>5000</v>
      </c>
      <c r="C14" s="2762"/>
      <c r="D14" s="2758"/>
      <c r="E14" s="2758"/>
      <c r="F14" s="2759"/>
    </row>
    <row r="15" spans="1:18">
      <c r="A15" s="2760" t="s">
        <v>2519</v>
      </c>
      <c r="B15" s="2763">
        <f>ROUND(B14*F12/F11,2)</f>
        <v>4339.6899999999996</v>
      </c>
      <c r="C15" s="2763">
        <f>ROUND(F12/F11,4)</f>
        <v>0.8679</v>
      </c>
      <c r="D15" s="2758"/>
      <c r="E15" s="2758"/>
      <c r="F15" s="2759"/>
    </row>
    <row r="16" spans="1:18">
      <c r="A16" s="2760" t="s">
        <v>2520</v>
      </c>
      <c r="B16" s="2763"/>
      <c r="C16" s="2763"/>
      <c r="D16" s="2758"/>
      <c r="E16" s="2758"/>
      <c r="F16" s="2759"/>
    </row>
    <row r="17" spans="1:13">
      <c r="A17" s="2760" t="s">
        <v>2519</v>
      </c>
      <c r="B17" s="2768">
        <v>4810</v>
      </c>
      <c r="C17" s="2762"/>
      <c r="D17" s="2758"/>
      <c r="E17" s="2758"/>
      <c r="F17" s="2759"/>
    </row>
    <row r="18" spans="1:13" ht="14.25" thickBot="1">
      <c r="A18" s="2770" t="s">
        <v>2518</v>
      </c>
      <c r="B18" s="2771">
        <f>ROUND(B17*F11/F12,2)</f>
        <v>5541.87</v>
      </c>
      <c r="C18" s="2771">
        <f>ROUND(F11/F12,4)</f>
        <v>1.1521999999999999</v>
      </c>
      <c r="D18" s="2772"/>
      <c r="E18" s="2772"/>
      <c r="F18" s="2773"/>
    </row>
    <row r="19" spans="1:13" ht="14.25" thickBot="1"/>
    <row r="20" spans="1:13" s="2806" customFormat="1" ht="14.25" thickTop="1">
      <c r="A20" s="2803" t="s">
        <v>2521</v>
      </c>
      <c r="B20" s="2804"/>
      <c r="C20" s="2804"/>
      <c r="D20" s="2804"/>
      <c r="E20" s="2804"/>
      <c r="F20" s="2804"/>
      <c r="G20" s="2805"/>
      <c r="I20" s="2807" t="s">
        <v>2566</v>
      </c>
      <c r="J20" s="2807" t="s">
        <v>2571</v>
      </c>
      <c r="K20" s="2807"/>
      <c r="L20" s="2807"/>
      <c r="M20" s="2807"/>
    </row>
    <row r="21" spans="1:13">
      <c r="A21" s="2774"/>
      <c r="B21" s="2775" t="s">
        <v>2522</v>
      </c>
      <c r="C21" s="2775" t="s">
        <v>2523</v>
      </c>
      <c r="D21" s="2775" t="s">
        <v>2524</v>
      </c>
      <c r="E21" s="2775" t="s">
        <v>2525</v>
      </c>
      <c r="F21" s="2775" t="s">
        <v>2526</v>
      </c>
      <c r="G21" s="2776" t="s">
        <v>2527</v>
      </c>
      <c r="I21" s="2797">
        <v>5</v>
      </c>
      <c r="J21" s="2797">
        <v>54.2</v>
      </c>
    </row>
    <row r="22" spans="1:13">
      <c r="A22" s="2774" t="s">
        <v>2528</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2529</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2569</v>
      </c>
      <c r="M23" s="2797" t="s">
        <v>2570</v>
      </c>
    </row>
    <row r="24" spans="1:13">
      <c r="A24" s="2774" t="s">
        <v>2530</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2568</v>
      </c>
      <c r="M24" s="2797">
        <v>10</v>
      </c>
    </row>
    <row r="25" spans="1:13">
      <c r="A25" s="2774" t="s">
        <v>2531</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2572</v>
      </c>
      <c r="M25" s="2797">
        <v>8</v>
      </c>
    </row>
    <row r="26" spans="1:13">
      <c r="A26" s="2779"/>
      <c r="B26" s="2780"/>
      <c r="C26" s="2780"/>
      <c r="D26" s="2780"/>
      <c r="E26" s="2780"/>
      <c r="F26" s="2780"/>
      <c r="G26" s="2781"/>
      <c r="I26" s="2797">
        <v>30</v>
      </c>
      <c r="J26" s="2797">
        <v>90.5</v>
      </c>
      <c r="K26" s="2797">
        <f t="shared" si="2"/>
        <v>4.2000000000000028</v>
      </c>
      <c r="L26" s="2797" t="s">
        <v>2573</v>
      </c>
      <c r="M26" s="2797">
        <v>5</v>
      </c>
    </row>
    <row r="27" spans="1:13">
      <c r="A27" s="2779" t="s">
        <v>2532</v>
      </c>
      <c r="B27" s="2780"/>
      <c r="C27" s="2780"/>
      <c r="D27" s="2780"/>
      <c r="E27" s="2780"/>
      <c r="F27" s="2780"/>
      <c r="G27" s="2781"/>
      <c r="I27" s="2797">
        <v>35</v>
      </c>
      <c r="J27" s="2797">
        <v>93.8</v>
      </c>
      <c r="K27" s="2797">
        <f t="shared" si="2"/>
        <v>3.2999999999999972</v>
      </c>
      <c r="L27" s="2797" t="s">
        <v>2574</v>
      </c>
      <c r="M27" s="2797">
        <v>3</v>
      </c>
    </row>
    <row r="28" spans="1:13">
      <c r="A28" s="2779" t="s">
        <v>2533</v>
      </c>
      <c r="B28" s="2780"/>
      <c r="C28" s="2780"/>
      <c r="D28" s="2780"/>
      <c r="E28" s="2780"/>
      <c r="F28" s="2780"/>
      <c r="G28" s="2781"/>
      <c r="I28" s="2797">
        <v>40</v>
      </c>
      <c r="J28" s="2797">
        <v>96.4</v>
      </c>
      <c r="K28" s="2797">
        <f t="shared" si="2"/>
        <v>2.6000000000000085</v>
      </c>
      <c r="L28" s="2797" t="s">
        <v>2575</v>
      </c>
      <c r="M28" s="2797">
        <v>2</v>
      </c>
    </row>
    <row r="29" spans="1:13">
      <c r="A29" s="2779" t="s">
        <v>2534</v>
      </c>
      <c r="B29" s="2780"/>
      <c r="C29" s="2780"/>
      <c r="D29" s="2780"/>
      <c r="E29" s="2780"/>
      <c r="F29" s="2780"/>
      <c r="G29" s="2781"/>
      <c r="I29" s="2797">
        <v>45</v>
      </c>
      <c r="J29" s="2797">
        <v>98.4</v>
      </c>
      <c r="K29" s="2797">
        <f t="shared" si="2"/>
        <v>2</v>
      </c>
    </row>
    <row r="30" spans="1:13">
      <c r="A30" s="2779" t="s">
        <v>2535</v>
      </c>
      <c r="B30" s="2780"/>
      <c r="C30" s="2780"/>
      <c r="D30" s="2780"/>
      <c r="E30" s="2780"/>
      <c r="F30" s="2780"/>
      <c r="G30" s="2781"/>
      <c r="I30" s="2797">
        <v>50</v>
      </c>
      <c r="J30" s="2797">
        <v>100</v>
      </c>
      <c r="K30" s="2797">
        <f t="shared" si="2"/>
        <v>1.5999999999999943</v>
      </c>
    </row>
    <row r="31" spans="1:13">
      <c r="A31" s="2779" t="s">
        <v>2536</v>
      </c>
      <c r="B31" s="2780"/>
      <c r="C31" s="2780"/>
      <c r="D31" s="2780"/>
      <c r="E31" s="2780"/>
      <c r="F31" s="2780"/>
      <c r="G31" s="2781"/>
      <c r="I31" s="2797" t="s">
        <v>2567</v>
      </c>
    </row>
    <row r="32" spans="1:13">
      <c r="A32" s="2779" t="s">
        <v>2537</v>
      </c>
      <c r="B32" s="2780"/>
      <c r="C32" s="2780"/>
      <c r="D32" s="2780"/>
      <c r="E32" s="2780"/>
      <c r="F32" s="2780"/>
      <c r="G32" s="2781"/>
    </row>
    <row r="33" spans="1:13">
      <c r="A33" s="2779" t="s">
        <v>2538</v>
      </c>
      <c r="B33" s="2780"/>
      <c r="C33" s="2780"/>
      <c r="D33" s="2780"/>
      <c r="E33" s="2780"/>
      <c r="F33" s="2780"/>
      <c r="G33" s="2781"/>
      <c r="I33" s="2797" t="s">
        <v>2566</v>
      </c>
      <c r="J33" s="2797" t="s">
        <v>2576</v>
      </c>
    </row>
    <row r="34" spans="1:13">
      <c r="A34" s="2779" t="s">
        <v>2539</v>
      </c>
      <c r="B34" s="2780"/>
      <c r="C34" s="2780"/>
      <c r="D34" s="2780"/>
      <c r="E34" s="2780"/>
      <c r="F34" s="2780"/>
      <c r="G34" s="2781"/>
      <c r="I34" s="2797">
        <v>5</v>
      </c>
      <c r="J34" s="2797">
        <v>55.1</v>
      </c>
    </row>
    <row r="35" spans="1:13">
      <c r="A35" s="2779" t="s">
        <v>2540</v>
      </c>
      <c r="B35" s="2780"/>
      <c r="C35" s="2780"/>
      <c r="D35" s="2780"/>
      <c r="E35" s="2780"/>
      <c r="F35" s="2780"/>
      <c r="G35" s="2781"/>
      <c r="I35" s="2797">
        <v>10</v>
      </c>
      <c r="J35" s="2797">
        <v>67</v>
      </c>
      <c r="K35" s="2797">
        <f>J35-J34</f>
        <v>11.899999999999999</v>
      </c>
    </row>
    <row r="36" spans="1:13">
      <c r="A36" s="2779" t="s">
        <v>2541</v>
      </c>
      <c r="B36" s="2780"/>
      <c r="C36" s="2780"/>
      <c r="D36" s="2780"/>
      <c r="E36" s="2780"/>
      <c r="F36" s="2780"/>
      <c r="G36" s="2781"/>
      <c r="I36" s="2797">
        <v>15</v>
      </c>
      <c r="J36" s="2797">
        <v>76.3</v>
      </c>
      <c r="K36" s="2797">
        <f t="shared" ref="K36:K41" si="3">J36-J35</f>
        <v>9.2999999999999972</v>
      </c>
      <c r="L36" s="2797" t="s">
        <v>2569</v>
      </c>
      <c r="M36" s="2797" t="s">
        <v>2570</v>
      </c>
    </row>
    <row r="37" spans="1:13">
      <c r="A37" s="2779" t="s">
        <v>2542</v>
      </c>
      <c r="B37" s="2780"/>
      <c r="C37" s="2780"/>
      <c r="D37" s="2780"/>
      <c r="E37" s="2780"/>
      <c r="F37" s="2780"/>
      <c r="G37" s="2781"/>
      <c r="I37" s="2797">
        <v>20</v>
      </c>
      <c r="J37" s="2797">
        <v>83.6</v>
      </c>
      <c r="K37" s="2797">
        <f t="shared" si="3"/>
        <v>7.2999999999999972</v>
      </c>
      <c r="L37" s="2797" t="s">
        <v>2568</v>
      </c>
      <c r="M37" s="2797">
        <v>10</v>
      </c>
    </row>
    <row r="38" spans="1:13">
      <c r="A38" s="2779" t="s">
        <v>2543</v>
      </c>
      <c r="B38" s="2780"/>
      <c r="C38" s="2780"/>
      <c r="D38" s="2780"/>
      <c r="E38" s="2780"/>
      <c r="F38" s="2780"/>
      <c r="G38" s="2781"/>
      <c r="I38" s="2797">
        <v>25</v>
      </c>
      <c r="J38" s="2797">
        <v>89.3</v>
      </c>
      <c r="K38" s="2797">
        <f t="shared" si="3"/>
        <v>5.7000000000000028</v>
      </c>
      <c r="L38" s="2797" t="s">
        <v>2572</v>
      </c>
      <c r="M38" s="2797">
        <v>8</v>
      </c>
    </row>
    <row r="39" spans="1:13">
      <c r="A39" s="2779"/>
      <c r="B39" s="2780"/>
      <c r="C39" s="2780"/>
      <c r="D39" s="2780"/>
      <c r="E39" s="2780"/>
      <c r="F39" s="2780"/>
      <c r="G39" s="2781"/>
      <c r="I39" s="2797">
        <v>30</v>
      </c>
      <c r="J39" s="2797">
        <v>93.8</v>
      </c>
      <c r="K39" s="2797">
        <f t="shared" si="3"/>
        <v>4.5</v>
      </c>
      <c r="L39" s="2797" t="s">
        <v>2573</v>
      </c>
      <c r="M39" s="2797">
        <v>6</v>
      </c>
    </row>
    <row r="40" spans="1:13">
      <c r="A40" s="2782" t="s">
        <v>2544</v>
      </c>
      <c r="B40" s="2783"/>
      <c r="C40" s="2783"/>
      <c r="D40" s="2783"/>
      <c r="E40" s="2783"/>
      <c r="F40" s="2783"/>
      <c r="G40" s="2784"/>
      <c r="I40" s="2797">
        <v>35</v>
      </c>
      <c r="J40" s="2797">
        <v>97.2</v>
      </c>
      <c r="K40" s="2797">
        <f t="shared" si="3"/>
        <v>3.4000000000000057</v>
      </c>
      <c r="L40" s="2797" t="s">
        <v>2574</v>
      </c>
      <c r="M40" s="2797">
        <v>3</v>
      </c>
    </row>
    <row r="41" spans="1:13">
      <c r="A41" s="2785" t="s">
        <v>2545</v>
      </c>
      <c r="B41" s="2786" t="s">
        <v>2546</v>
      </c>
      <c r="C41" s="2787" t="s">
        <v>2547</v>
      </c>
      <c r="D41" s="2787" t="s">
        <v>2548</v>
      </c>
      <c r="E41" s="2788"/>
      <c r="F41" s="2789"/>
      <c r="G41" s="2790"/>
      <c r="I41" s="2797">
        <v>40</v>
      </c>
      <c r="J41" s="2797">
        <v>100</v>
      </c>
      <c r="K41" s="2797">
        <f t="shared" si="3"/>
        <v>2.7999999999999972</v>
      </c>
    </row>
    <row r="42" spans="1:13">
      <c r="A42" s="2785" t="s">
        <v>2549</v>
      </c>
      <c r="B42" s="2786" t="s">
        <v>2550</v>
      </c>
      <c r="C42" s="2787" t="s">
        <v>2551</v>
      </c>
      <c r="D42" s="2791" t="s">
        <v>2552</v>
      </c>
      <c r="E42" s="2783" t="s">
        <v>2553</v>
      </c>
      <c r="F42" s="2783"/>
      <c r="G42" s="2784"/>
    </row>
    <row r="43" spans="1:13">
      <c r="A43" s="2785" t="s">
        <v>2554</v>
      </c>
      <c r="B43" s="2786" t="s">
        <v>2555</v>
      </c>
      <c r="C43" s="2787" t="s">
        <v>2556</v>
      </c>
      <c r="D43" s="2787" t="s">
        <v>2557</v>
      </c>
      <c r="E43" s="2788" t="s">
        <v>2558</v>
      </c>
      <c r="F43" s="2789"/>
      <c r="G43" s="2790"/>
      <c r="I43" s="2797" t="s">
        <v>2566</v>
      </c>
      <c r="J43" s="2797" t="s">
        <v>2577</v>
      </c>
    </row>
    <row r="44" spans="1:13">
      <c r="A44" s="2785" t="s">
        <v>2559</v>
      </c>
      <c r="B44" s="2786" t="s">
        <v>2560</v>
      </c>
      <c r="C44" s="2787" t="s">
        <v>2561</v>
      </c>
      <c r="D44" s="2791">
        <v>0.5</v>
      </c>
      <c r="E44" s="2788" t="s">
        <v>2562</v>
      </c>
      <c r="F44" s="2789"/>
      <c r="G44" s="2790"/>
      <c r="I44" s="2797">
        <v>30</v>
      </c>
      <c r="J44" s="2797">
        <v>81.7</v>
      </c>
    </row>
    <row r="45" spans="1:13" ht="14.25" thickBot="1">
      <c r="A45" s="2792" t="s">
        <v>2563</v>
      </c>
      <c r="B45" s="2793" t="s">
        <v>2550</v>
      </c>
      <c r="C45" s="2794" t="s">
        <v>2550</v>
      </c>
      <c r="D45" s="2794" t="s">
        <v>2564</v>
      </c>
      <c r="E45" s="2795" t="s">
        <v>2565</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5" sqref="G25"/>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1" customWidth="1"/>
    <col min="12" max="13" width="10" style="2412"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206" t="str">
        <f>IF(B10="北京市","北京市",C10)&amp;F10&amp;IF(结果表!G1="在建","出让国有建设用地使用权及在建建筑物",IF(结果表!G1="土地","出让国有建设用地使用权",))&amp;B9&amp;"预评估"</f>
        <v>北京市怀柔区开放路46号楼1至2层23房地产抵押价值预评估</v>
      </c>
      <c r="C1" s="3207"/>
      <c r="D1" s="3207"/>
      <c r="E1" s="3207"/>
      <c r="F1" s="3207"/>
      <c r="G1" s="3207"/>
      <c r="H1" s="3207"/>
      <c r="I1" s="3208"/>
      <c r="J1" s="2243"/>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北京市怀柔区开放路46号楼1至2层23房地产抵押价值</v>
      </c>
      <c r="T1" s="1617"/>
      <c r="U1" s="1617"/>
      <c r="V1" s="1617"/>
      <c r="W1" s="1617"/>
      <c r="X1" s="1617"/>
      <c r="Y1" s="1617"/>
      <c r="Z1" s="1617"/>
      <c r="AA1" s="1617"/>
      <c r="AB1" s="1617"/>
    </row>
    <row r="2" spans="1:30">
      <c r="A2" s="2181" t="s">
        <v>2169</v>
      </c>
      <c r="B2" s="121"/>
      <c r="D2" s="2445"/>
      <c r="E2" s="2439"/>
      <c r="F2" s="2439"/>
      <c r="G2" s="2440"/>
      <c r="H2" s="2440"/>
      <c r="I2" s="2440"/>
      <c r="J2" s="2243"/>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北京市怀柔区开放路46号楼1至2层23房地产</v>
      </c>
      <c r="T2" s="1617"/>
      <c r="U2" s="1617"/>
      <c r="V2" s="1617"/>
      <c r="W2" s="1617"/>
      <c r="X2" s="1617"/>
      <c r="Y2" s="1617"/>
      <c r="Z2" s="1617"/>
      <c r="AA2" s="1617"/>
      <c r="AB2" s="1617"/>
    </row>
    <row r="3" spans="1:30">
      <c r="A3" s="293" t="s">
        <v>2170</v>
      </c>
      <c r="B3" s="2184">
        <v>45595</v>
      </c>
      <c r="C3" s="2185" t="s">
        <v>2171</v>
      </c>
      <c r="D3" s="2184">
        <v>45580</v>
      </c>
      <c r="E3" s="2440"/>
      <c r="F3" s="2440"/>
      <c r="G3" s="2440"/>
      <c r="H3" s="2440"/>
      <c r="I3" s="2440"/>
      <c r="J3" s="2243"/>
      <c r="K3" s="2182"/>
      <c r="L3" s="2183"/>
      <c r="M3" s="2183"/>
      <c r="N3" s="2181"/>
      <c r="O3" s="1465"/>
      <c r="P3" s="2181"/>
      <c r="Q3" s="2181"/>
      <c r="R3" s="2181"/>
      <c r="S3" s="1560"/>
      <c r="T3" s="1617"/>
      <c r="U3" s="1617"/>
      <c r="V3" s="1617"/>
      <c r="W3" s="1617"/>
      <c r="X3" s="1617"/>
      <c r="Y3" s="1617"/>
      <c r="Z3" s="1617"/>
      <c r="AA3" s="1617"/>
      <c r="AB3" s="1617"/>
    </row>
    <row r="4" spans="1:30" ht="13.5" thickBot="1">
      <c r="A4" s="1026" t="s">
        <v>2172</v>
      </c>
      <c r="B4" s="2186" t="s">
        <v>3393</v>
      </c>
      <c r="C4" s="2187">
        <f ca="1">SUMIF(注册房地产估价师,B4,估价师及机构信息!B3:B24)</f>
        <v>1120070131</v>
      </c>
      <c r="D4" s="2186" t="s">
        <v>3392</v>
      </c>
      <c r="E4" s="2187">
        <f ca="1">SUMIF(注册房地产估价师,D4,估价师及机构信息!B3:B24)</f>
        <v>1120100036</v>
      </c>
      <c r="F4" s="2186"/>
      <c r="G4" s="2187">
        <f>SUMIF(注册房地产估价师,F4,估价师及机构信息!B3:B24)</f>
        <v>0</v>
      </c>
      <c r="H4" s="2186"/>
      <c r="I4" s="2187">
        <f>SUMIF(注册房地产估价师,H4,估价师及机构信息!B3:B24)</f>
        <v>0</v>
      </c>
      <c r="J4" s="2243"/>
      <c r="K4" s="2188" t="str">
        <f ca="1">CONCATENATE(B4,"（注册号：",C4,")、",D4,"（注册号：",E4,")")</f>
        <v>郑燚（注册号：1120070131)、崔锴（注册号：1120100036)</v>
      </c>
      <c r="L4" s="2183"/>
      <c r="M4" s="2183"/>
      <c r="N4" s="2181"/>
      <c r="O4" s="1465"/>
      <c r="P4" s="2181"/>
      <c r="Q4" s="2181"/>
      <c r="R4" s="2181"/>
      <c r="S4" s="1560"/>
      <c r="T4" s="1617"/>
      <c r="U4" s="1617"/>
      <c r="V4" s="1617"/>
      <c r="W4" s="1617"/>
      <c r="X4" s="1617"/>
      <c r="Y4" s="1617"/>
      <c r="Z4" s="1617"/>
      <c r="AA4" s="1617"/>
      <c r="AB4" s="1617"/>
    </row>
    <row r="5" spans="1:30" ht="13.5" thickTop="1">
      <c r="A5" s="2189" t="s">
        <v>2173</v>
      </c>
      <c r="B5" s="2190"/>
      <c r="C5" s="2191"/>
      <c r="D5" s="2192"/>
      <c r="E5" s="2440"/>
      <c r="F5" s="2440"/>
      <c r="G5" s="2440"/>
      <c r="H5" s="2440"/>
      <c r="I5" s="2440"/>
      <c r="J5" s="2243"/>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39"/>
      <c r="F6" s="2440"/>
      <c r="G6" s="2440"/>
      <c r="H6" s="2440"/>
      <c r="I6" s="2440"/>
      <c r="J6" s="2243"/>
      <c r="K6" s="2399" t="str">
        <f>IF(COUNTIF(B6,"*上海银行*"),"上海银行","")</f>
        <v/>
      </c>
      <c r="L6" s="2397"/>
      <c r="M6" s="2397"/>
      <c r="N6" s="2243"/>
      <c r="O6" s="1669"/>
      <c r="P6" s="2243"/>
      <c r="Q6" s="2243"/>
      <c r="R6" s="2243"/>
    </row>
    <row r="7" spans="1:30">
      <c r="A7" s="2193" t="s">
        <v>2175</v>
      </c>
      <c r="B7" s="2197"/>
      <c r="C7" s="2195"/>
      <c r="D7" s="2196"/>
      <c r="E7" s="2439"/>
      <c r="F7" s="2440"/>
      <c r="G7" s="2440"/>
      <c r="H7" s="2440"/>
      <c r="I7" s="2440"/>
      <c r="J7" s="2243"/>
      <c r="K7" s="2400"/>
      <c r="L7" s="2397"/>
      <c r="M7" s="2397"/>
      <c r="N7" s="2243"/>
      <c r="O7" s="1669"/>
      <c r="P7" s="2243"/>
      <c r="Q7" s="2243"/>
      <c r="R7" s="2243"/>
    </row>
    <row r="8" spans="1:30">
      <c r="A8" s="2198" t="s">
        <v>2176</v>
      </c>
      <c r="B8" s="2199" t="s">
        <v>3390</v>
      </c>
      <c r="C8" s="2200"/>
      <c r="D8" s="3209" t="s">
        <v>2177</v>
      </c>
      <c r="E8" s="2201" t="s">
        <v>3391</v>
      </c>
      <c r="F8" s="2202"/>
      <c r="G8" s="2440"/>
      <c r="H8" s="2440"/>
      <c r="I8" s="2440"/>
      <c r="J8" s="2243"/>
      <c r="K8" s="2398"/>
      <c r="L8" s="2397"/>
      <c r="M8" s="2397"/>
      <c r="N8" s="2243"/>
      <c r="O8" s="1669"/>
      <c r="P8" s="2243"/>
      <c r="Q8" s="2243"/>
      <c r="R8" s="2243"/>
    </row>
    <row r="9" spans="1:30" ht="13.5" thickBot="1">
      <c r="A9" s="2203" t="s">
        <v>2178</v>
      </c>
      <c r="B9" s="2204" t="s">
        <v>3391</v>
      </c>
      <c r="C9" s="2205"/>
      <c r="D9" s="3210"/>
      <c r="E9" s="2204" t="s">
        <v>43</v>
      </c>
      <c r="F9" s="2206"/>
      <c r="G9" s="2441"/>
      <c r="H9" s="2441"/>
      <c r="I9" s="2441"/>
      <c r="J9" s="2243"/>
      <c r="K9" s="2400"/>
      <c r="L9" s="2397"/>
      <c r="M9" s="2397"/>
      <c r="N9" s="2243"/>
      <c r="O9" s="1669"/>
      <c r="P9" s="2243"/>
      <c r="Q9" s="2243"/>
      <c r="R9" s="2243"/>
    </row>
    <row r="10" spans="1:30" ht="13.5" thickTop="1">
      <c r="A10" s="2207" t="s">
        <v>2179</v>
      </c>
      <c r="B10" s="2208" t="s">
        <v>3394</v>
      </c>
      <c r="C10" s="2209"/>
      <c r="D10" s="2192"/>
      <c r="E10" s="2210" t="s">
        <v>2180</v>
      </c>
      <c r="F10" s="3142" t="s">
        <v>3396</v>
      </c>
      <c r="G10" s="2442"/>
      <c r="H10" s="2443"/>
      <c r="I10" s="2444"/>
      <c r="J10" s="2243"/>
      <c r="K10" s="2400"/>
      <c r="L10" s="2397"/>
      <c r="M10" s="2397"/>
      <c r="N10" s="2243"/>
      <c r="O10" s="1669"/>
      <c r="P10" s="2243"/>
      <c r="Q10" s="2243"/>
      <c r="R10" s="2243"/>
    </row>
    <row r="11" spans="1:30">
      <c r="A11" s="2211" t="s">
        <v>2181</v>
      </c>
      <c r="B11" s="2212" t="s">
        <v>3395</v>
      </c>
      <c r="C11" s="3143" t="s">
        <v>3397</v>
      </c>
      <c r="D11" s="2213"/>
      <c r="E11" s="2181"/>
      <c r="F11" s="2181"/>
      <c r="G11" s="2181"/>
      <c r="H11" s="2181"/>
      <c r="I11" s="2181"/>
      <c r="J11" s="2799"/>
      <c r="K11" s="2397"/>
      <c r="L11" s="2397"/>
      <c r="M11" s="2397"/>
      <c r="N11" s="2243"/>
      <c r="O11" s="1669"/>
      <c r="P11" s="2243"/>
      <c r="Q11" s="2243"/>
      <c r="R11" s="2243"/>
    </row>
    <row r="12" spans="1:30">
      <c r="A12" s="2214" t="s">
        <v>2182</v>
      </c>
      <c r="B12" s="314" t="s">
        <v>2183</v>
      </c>
      <c r="C12" s="2215" t="s">
        <v>2184</v>
      </c>
      <c r="D12" s="2215" t="s">
        <v>2185</v>
      </c>
      <c r="E12" s="2215" t="s">
        <v>2186</v>
      </c>
      <c r="F12" s="2215" t="s">
        <v>2187</v>
      </c>
      <c r="G12" s="2215" t="s">
        <v>2188</v>
      </c>
      <c r="H12" s="2215" t="s">
        <v>2189</v>
      </c>
      <c r="I12" s="2798" t="s">
        <v>2578</v>
      </c>
      <c r="J12" s="2800"/>
      <c r="K12" s="2397"/>
      <c r="L12" s="2397"/>
      <c r="M12" s="2243"/>
      <c r="N12" s="1669"/>
      <c r="O12" s="2243"/>
      <c r="P12" s="2243"/>
      <c r="Q12" s="2243"/>
      <c r="AD12" s="1617"/>
    </row>
    <row r="13" spans="1:30">
      <c r="A13" s="3119" t="s">
        <v>3334</v>
      </c>
      <c r="B13" s="2216" t="s">
        <v>2190</v>
      </c>
      <c r="C13" s="802"/>
      <c r="D13" s="802">
        <v>51769</v>
      </c>
      <c r="E13" s="802"/>
      <c r="F13" s="802"/>
      <c r="G13" s="802"/>
      <c r="H13" s="802"/>
      <c r="I13" s="802"/>
      <c r="J13" s="2800"/>
      <c r="K13" s="2397"/>
      <c r="L13" s="2397"/>
      <c r="M13" s="2243"/>
      <c r="N13" s="1669"/>
      <c r="O13" s="2243"/>
      <c r="P13" s="2243"/>
      <c r="Q13" s="2243"/>
      <c r="AD13" s="1617"/>
    </row>
    <row r="14" spans="1:30">
      <c r="A14" s="1017"/>
      <c r="B14" s="2216" t="s">
        <v>2191</v>
      </c>
      <c r="C14" s="2217"/>
      <c r="D14" s="2217">
        <v>40</v>
      </c>
      <c r="E14" s="2217"/>
      <c r="F14" s="2217"/>
      <c r="G14" s="2217"/>
      <c r="H14" s="2217"/>
      <c r="I14" s="2217"/>
      <c r="J14" s="2801"/>
      <c r="K14" s="2397"/>
      <c r="L14" s="2397"/>
      <c r="M14" s="2243"/>
      <c r="N14" s="1669"/>
      <c r="O14" s="2243"/>
      <c r="P14" s="2243"/>
      <c r="Q14" s="2243"/>
      <c r="AD14" s="1617"/>
    </row>
    <row r="15" spans="1:30">
      <c r="A15" s="311"/>
      <c r="B15" s="2218" t="s">
        <v>2192</v>
      </c>
      <c r="C15" s="2219" t="str">
        <f>IF(A13="出让",IF(C13="","",ROUNDDOWN(MIN((C13-$D$3)/365,C14),2)),C14)</f>
        <v/>
      </c>
      <c r="D15" s="2219">
        <f>IF(A13="出让",IF(D13="","",ROUNDDOWN(MIN((D13-$D$3)/365,D14),2)),D14)</f>
        <v>16.95</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2"/>
      <c r="K15" s="1669"/>
      <c r="L15" s="1669"/>
      <c r="M15" s="2243"/>
      <c r="N15" s="1669"/>
      <c r="O15" s="2243"/>
      <c r="P15" s="2243"/>
      <c r="Q15" s="2243"/>
      <c r="AD15" s="1617"/>
    </row>
    <row r="16" spans="1:30">
      <c r="A16" s="2210" t="s">
        <v>2193</v>
      </c>
      <c r="B16" s="3216" t="s">
        <v>3398</v>
      </c>
      <c r="C16" s="3217"/>
      <c r="D16" s="3218"/>
      <c r="E16" s="2220" t="s">
        <v>2194</v>
      </c>
      <c r="F16" s="3219">
        <f>D15</f>
        <v>16.95</v>
      </c>
      <c r="G16" s="3220"/>
      <c r="H16" s="3220"/>
      <c r="I16" s="3221"/>
      <c r="J16" s="2243"/>
      <c r="K16" s="2401"/>
      <c r="L16" s="1669"/>
      <c r="M16" s="1669"/>
      <c r="N16" s="2243"/>
      <c r="O16" s="1669"/>
      <c r="P16" s="2243"/>
      <c r="Q16" s="2243"/>
      <c r="R16" s="2243"/>
    </row>
    <row r="17" spans="1:28">
      <c r="A17" s="304" t="s">
        <v>2195</v>
      </c>
      <c r="B17" s="293" t="s">
        <v>2196</v>
      </c>
      <c r="C17" s="8">
        <f>'数据-汇总表'!E3</f>
        <v>227.25</v>
      </c>
      <c r="D17" s="1255" t="s">
        <v>2197</v>
      </c>
      <c r="E17" s="3222" t="s">
        <v>2198</v>
      </c>
      <c r="F17" s="3223"/>
      <c r="G17" s="3223"/>
      <c r="H17" s="3223"/>
      <c r="I17" s="3224"/>
      <c r="J17" s="2243"/>
      <c r="K17" s="2402"/>
      <c r="L17" s="1669"/>
      <c r="M17" s="1669"/>
      <c r="N17" s="2243"/>
      <c r="O17" s="1669"/>
      <c r="P17" s="2243"/>
      <c r="Q17" s="2243"/>
      <c r="R17" s="2243"/>
      <c r="S17" s="2243"/>
      <c r="T17" s="2243"/>
      <c r="U17" s="2243"/>
      <c r="V17" s="2243"/>
    </row>
    <row r="18" spans="1:28" ht="24.75" thickBot="1">
      <c r="A18" s="2221" t="s">
        <v>2199</v>
      </c>
      <c r="B18" s="1026" t="s">
        <v>2200</v>
      </c>
      <c r="C18" s="2222">
        <f>'数据-汇总表'!D3</f>
        <v>0</v>
      </c>
      <c r="D18" s="1028" t="s">
        <v>2201</v>
      </c>
      <c r="E18" s="3225" t="s">
        <v>2202</v>
      </c>
      <c r="F18" s="3226"/>
      <c r="G18" s="3226"/>
      <c r="H18" s="3226"/>
      <c r="I18" s="3227"/>
      <c r="J18" s="2243"/>
      <c r="K18" s="2402"/>
      <c r="L18" s="1669"/>
      <c r="M18" s="1669"/>
      <c r="N18" s="2243"/>
      <c r="O18" s="1669"/>
      <c r="P18" s="2243"/>
      <c r="Q18" s="2243"/>
      <c r="R18" s="2243"/>
      <c r="S18" s="2243"/>
      <c r="T18" s="2243"/>
      <c r="U18" s="2243"/>
      <c r="V18" s="2243"/>
    </row>
    <row r="19" spans="1:28" ht="39.75" thickTop="1" thickBot="1">
      <c r="A19" s="318" t="s">
        <v>1055</v>
      </c>
      <c r="B19" s="298" t="s">
        <v>2203</v>
      </c>
      <c r="C19" s="1454" t="s">
        <v>3399</v>
      </c>
      <c r="D19" s="1455" t="s">
        <v>2204</v>
      </c>
      <c r="E19" s="1456" t="s">
        <v>3400</v>
      </c>
      <c r="F19" s="1457" t="str">
        <f>IF(AND(C19="是",E19="否"),"是否提供他项权证或相关说明","")</f>
        <v>是否提供他项权证或相关说明</v>
      </c>
      <c r="G19" s="1458" t="s">
        <v>3400</v>
      </c>
      <c r="H19" s="2440"/>
      <c r="I19" s="2440"/>
      <c r="J19" s="2243"/>
      <c r="K19" s="2400"/>
      <c r="L19" s="2397"/>
      <c r="M19" s="2397"/>
      <c r="N19" s="2243"/>
      <c r="O19" s="1669"/>
      <c r="P19" s="2243"/>
      <c r="Q19" s="2243"/>
      <c r="R19" s="2243"/>
      <c r="S19" s="2243"/>
      <c r="T19" s="2243"/>
      <c r="U19" s="2243"/>
      <c r="V19" s="2243"/>
    </row>
    <row r="20" spans="1:28">
      <c r="A20" s="2415" t="s">
        <v>2205</v>
      </c>
      <c r="B20" s="3212" t="s">
        <v>2206</v>
      </c>
      <c r="C20" s="3213"/>
      <c r="D20" s="3214" t="s">
        <v>2207</v>
      </c>
      <c r="E20" s="3215"/>
      <c r="F20" s="2428" t="s">
        <v>1056</v>
      </c>
      <c r="G20" s="2440"/>
      <c r="H20" s="2440"/>
      <c r="I20" s="2440"/>
      <c r="J20" s="2243"/>
      <c r="K20" s="3211"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5"/>
      <c r="P20" s="2181"/>
      <c r="Q20" s="2181"/>
      <c r="R20" s="2181"/>
      <c r="S20" s="2181"/>
      <c r="T20" s="2181"/>
      <c r="U20" s="2181"/>
      <c r="V20" s="2181"/>
      <c r="W20" s="1617"/>
      <c r="X20" s="1617"/>
      <c r="Y20" s="1617"/>
      <c r="Z20" s="1617"/>
      <c r="AA20" s="1617"/>
      <c r="AB20" s="1617"/>
    </row>
    <row r="21" spans="1:28" ht="24.75" thickBot="1">
      <c r="A21" s="2415"/>
      <c r="B21" s="2416" t="s">
        <v>2209</v>
      </c>
      <c r="C21" s="2294" t="s">
        <v>1057</v>
      </c>
      <c r="D21" s="1459" t="s">
        <v>2210</v>
      </c>
      <c r="E21" s="2417" t="s">
        <v>1057</v>
      </c>
      <c r="F21" s="2429"/>
      <c r="G21" s="2440"/>
      <c r="H21" s="2440"/>
      <c r="I21" s="2440"/>
      <c r="J21" s="2243"/>
      <c r="K21" s="3211"/>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5"/>
      <c r="B22" s="2418" t="s">
        <v>2211</v>
      </c>
      <c r="C22" s="2294" t="s">
        <v>1058</v>
      </c>
      <c r="D22" s="2440"/>
      <c r="E22" s="2440"/>
      <c r="F22" s="2440"/>
      <c r="G22" s="2440"/>
      <c r="H22" s="2440"/>
      <c r="I22" s="2440"/>
      <c r="J22" s="2243"/>
      <c r="K22" s="3211"/>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9" t="s">
        <v>2212</v>
      </c>
      <c r="B23" s="2291" t="s">
        <v>2213</v>
      </c>
      <c r="C23" s="2420"/>
      <c r="D23" s="2421" t="s">
        <v>2213</v>
      </c>
      <c r="E23" s="2422"/>
      <c r="F23" s="2440"/>
      <c r="G23" s="2440"/>
      <c r="H23" s="2440"/>
      <c r="I23" s="2440"/>
      <c r="J23" s="2243"/>
      <c r="K23" s="2399"/>
      <c r="L23" s="120"/>
      <c r="M23" s="2397"/>
      <c r="N23" s="2243"/>
      <c r="O23" s="1669"/>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0"/>
      <c r="M24" s="2397"/>
      <c r="N24" s="2243"/>
      <c r="O24" s="1669"/>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69"/>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69"/>
      <c r="P26" s="2243"/>
      <c r="Q26" s="2243"/>
      <c r="R26" s="2243"/>
      <c r="S26" s="2243"/>
      <c r="T26" s="2243"/>
      <c r="U26" s="2243"/>
      <c r="V26" s="2243"/>
    </row>
    <row r="27" spans="1:28" ht="13.5" thickTop="1">
      <c r="A27" s="3200" t="s">
        <v>2214</v>
      </c>
      <c r="B27" s="311" t="s">
        <v>2215</v>
      </c>
      <c r="C27" s="2223" t="s">
        <v>3401</v>
      </c>
      <c r="D27" s="2224"/>
      <c r="E27" s="2440"/>
      <c r="F27" s="2440"/>
      <c r="G27" s="2440"/>
      <c r="H27" s="2440"/>
      <c r="I27" s="2440"/>
      <c r="J27" s="2243"/>
      <c r="K27" s="2401"/>
      <c r="L27" s="1669"/>
      <c r="M27" s="1669"/>
      <c r="N27" s="2243"/>
      <c r="O27" s="1669"/>
      <c r="P27" s="2243"/>
      <c r="Q27" s="2243"/>
      <c r="R27" s="2243"/>
      <c r="S27" s="2243"/>
      <c r="T27" s="2243"/>
      <c r="U27" s="2243"/>
      <c r="V27" s="2243"/>
    </row>
    <row r="28" spans="1:28">
      <c r="A28" s="3200"/>
      <c r="B28" s="293" t="s">
        <v>2216</v>
      </c>
      <c r="C28" s="2225"/>
      <c r="D28" s="2226"/>
      <c r="E28" s="2440"/>
      <c r="F28" s="2440"/>
      <c r="G28" s="2440"/>
      <c r="H28" s="2440"/>
      <c r="I28" s="2440"/>
      <c r="J28" s="2243"/>
      <c r="K28" s="2400"/>
      <c r="L28" s="2397"/>
      <c r="M28" s="2397"/>
      <c r="N28" s="2243"/>
      <c r="O28" s="1669"/>
      <c r="P28" s="2243"/>
      <c r="Q28" s="2243"/>
      <c r="R28" s="2243"/>
      <c r="S28" s="2243"/>
      <c r="T28" s="2243"/>
      <c r="U28" s="2243"/>
      <c r="V28" s="2243"/>
    </row>
    <row r="29" spans="1:28">
      <c r="A29" s="3200"/>
      <c r="B29" s="293" t="s">
        <v>2217</v>
      </c>
      <c r="C29" s="2227"/>
      <c r="D29" s="2228"/>
      <c r="E29" s="2440"/>
      <c r="F29" s="2440"/>
      <c r="G29" s="2440"/>
      <c r="H29" s="2440"/>
      <c r="I29" s="2440"/>
      <c r="J29" s="2243"/>
      <c r="K29" s="2400"/>
      <c r="L29" s="2397"/>
      <c r="M29" s="2397"/>
      <c r="N29" s="2243"/>
      <c r="O29" s="1669"/>
      <c r="P29" s="2243"/>
      <c r="Q29" s="2243"/>
      <c r="R29" s="2243"/>
      <c r="S29" s="2243"/>
      <c r="T29" s="2243"/>
      <c r="U29" s="2243"/>
      <c r="V29" s="2243"/>
    </row>
    <row r="30" spans="1:28">
      <c r="A30" s="3201"/>
      <c r="B30" s="293" t="s">
        <v>2218</v>
      </c>
      <c r="C30" s="3202"/>
      <c r="D30" s="3203"/>
      <c r="E30" s="2440"/>
      <c r="F30" s="2440"/>
      <c r="G30" s="2440"/>
      <c r="H30" s="2440"/>
      <c r="I30" s="2440"/>
      <c r="J30" s="2243"/>
      <c r="K30" s="2400"/>
      <c r="L30" s="2397"/>
      <c r="M30" s="2397"/>
      <c r="N30" s="2243"/>
      <c r="O30" s="1669"/>
      <c r="P30" s="2243"/>
      <c r="Q30" s="2243"/>
      <c r="R30" s="2243"/>
      <c r="S30" s="2243"/>
      <c r="T30" s="2243"/>
      <c r="U30" s="2243"/>
      <c r="V30" s="2243"/>
    </row>
    <row r="31" spans="1:28">
      <c r="A31" s="3204" t="s">
        <v>2219</v>
      </c>
      <c r="B31" s="2229" t="s">
        <v>3402</v>
      </c>
      <c r="C31" s="12" t="str">
        <f>IF(B31="现房","成新及维护状况正常否",IF(B31="在建","工程状态是否正常",IF(B31="土地","是否闲置","-")))</f>
        <v>成新及维护状况正常否</v>
      </c>
      <c r="D31" s="1280"/>
      <c r="E31" s="2230"/>
      <c r="F31" s="2440"/>
      <c r="G31" s="2440"/>
      <c r="H31" s="2440"/>
      <c r="I31" s="2440"/>
      <c r="J31" s="2243"/>
      <c r="K31" s="2399"/>
      <c r="L31" s="2397"/>
      <c r="M31" s="2397"/>
      <c r="N31" s="2243"/>
      <c r="O31" s="1669"/>
      <c r="P31" s="2243"/>
      <c r="Q31" s="2243"/>
      <c r="R31" s="2243"/>
      <c r="S31" s="2243"/>
      <c r="T31" s="2243"/>
      <c r="U31" s="2243"/>
      <c r="V31" s="2243"/>
    </row>
    <row r="32" spans="1:28">
      <c r="A32" s="3205"/>
      <c r="B32" s="2229"/>
      <c r="C32" s="12" t="str">
        <f>IF(B32="现房","成新及维护状况是否正常",IF(B32="在建","工程状态是否正常",IF(B32="土地","是否闲置","-")))</f>
        <v>-</v>
      </c>
      <c r="D32" s="1280"/>
      <c r="E32" s="2230"/>
      <c r="F32" s="2440"/>
      <c r="G32" s="2440"/>
      <c r="H32" s="2440"/>
      <c r="I32" s="2440"/>
      <c r="J32" s="2243"/>
      <c r="K32" s="2400"/>
      <c r="L32" s="2397"/>
      <c r="M32" s="2397"/>
      <c r="N32" s="2243"/>
      <c r="O32" s="1669"/>
      <c r="P32" s="2243"/>
      <c r="Q32" s="2243"/>
      <c r="R32" s="2243"/>
      <c r="S32" s="2243"/>
      <c r="T32" s="2243"/>
      <c r="U32" s="2243"/>
      <c r="V32" s="2243"/>
    </row>
    <row r="33" spans="1:30">
      <c r="A33" s="3205"/>
      <c r="B33" s="2232"/>
      <c r="C33" s="1477" t="str">
        <f>IF(B33="现房","成新及维护状况是否正常",IF(B33="在建","工程状态是否正常",IF(B33="土地","是否闲置","-")))</f>
        <v>-</v>
      </c>
      <c r="D33" s="1273"/>
      <c r="E33" s="2233"/>
      <c r="F33" s="2440"/>
      <c r="G33" s="2440"/>
      <c r="H33" s="2440"/>
      <c r="I33" s="2440"/>
      <c r="J33" s="2243"/>
      <c r="K33" s="2400"/>
      <c r="L33" s="2397"/>
      <c r="M33" s="2397"/>
      <c r="N33" s="2243"/>
      <c r="O33" s="1669"/>
      <c r="P33" s="2243"/>
      <c r="Q33" s="2243"/>
      <c r="R33" s="2243"/>
      <c r="S33" s="2243"/>
      <c r="T33" s="2243"/>
      <c r="U33" s="2243"/>
      <c r="V33" s="2243"/>
    </row>
    <row r="34" spans="1:30">
      <c r="A34" s="293" t="s">
        <v>2220</v>
      </c>
      <c r="B34" s="1869"/>
      <c r="C34" s="1869"/>
      <c r="D34" s="1869"/>
      <c r="E34" s="1869"/>
      <c r="F34" s="1869"/>
      <c r="G34" s="1869"/>
      <c r="H34" s="1869"/>
      <c r="I34" s="2440"/>
      <c r="J34" s="2243"/>
      <c r="K34" s="8">
        <f>COUNTIF(B34:H34,"——")</f>
        <v>0</v>
      </c>
      <c r="L34" s="314" t="s">
        <v>2221</v>
      </c>
      <c r="M34" s="314" t="s">
        <v>2222</v>
      </c>
      <c r="N34" s="314" t="s">
        <v>2223</v>
      </c>
      <c r="O34" s="314" t="s">
        <v>2224</v>
      </c>
      <c r="P34" s="314" t="s">
        <v>2225</v>
      </c>
      <c r="Q34" s="314" t="s">
        <v>2226</v>
      </c>
      <c r="R34" s="314" t="s">
        <v>2227</v>
      </c>
      <c r="S34" s="3199" t="s">
        <v>2228</v>
      </c>
      <c r="T34" s="314" t="str">
        <f>NUMBERSTRING(7-K34,1)&amp;"通"</f>
        <v>七通</v>
      </c>
      <c r="U34" s="2243"/>
      <c r="V34" s="2243"/>
    </row>
    <row r="35" spans="1:30">
      <c r="A35" s="2234"/>
      <c r="B35" s="3199" t="s">
        <v>2229</v>
      </c>
      <c r="C35" s="3199"/>
      <c r="D35" s="3199"/>
      <c r="E35" s="3199"/>
      <c r="F35" s="8">
        <f>C10</f>
        <v>0</v>
      </c>
      <c r="G35" s="2440"/>
      <c r="H35" s="2440"/>
      <c r="I35" s="2440"/>
      <c r="J35" s="2243"/>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199"/>
      <c r="T35" s="137" t="str">
        <f>IF(T34="一通",L35,IF(T34="二通",M35,IF(T34="三通",N35,IF(T34="四通",O35,IF(T34="五通",P35,IF(T34="六通",Q35,R35))))))</f>
        <v>、、、、、、</v>
      </c>
      <c r="U35" s="2243"/>
      <c r="V35" s="2243"/>
    </row>
    <row r="36" spans="1:30">
      <c r="A36" s="2182"/>
      <c r="B36" s="8" t="s">
        <v>2185</v>
      </c>
      <c r="C36" s="8" t="s">
        <v>2186</v>
      </c>
      <c r="D36" s="8" t="s">
        <v>2184</v>
      </c>
      <c r="E36" s="8" t="s">
        <v>2189</v>
      </c>
      <c r="F36" s="2798" t="s">
        <v>2581</v>
      </c>
      <c r="G36" s="2440"/>
      <c r="H36" s="2440"/>
      <c r="I36" s="2440"/>
      <c r="J36" s="2243"/>
      <c r="K36" s="2400"/>
      <c r="L36" s="2397"/>
      <c r="M36" s="2397"/>
      <c r="N36" s="2243"/>
      <c r="O36" s="1669"/>
      <c r="P36" s="2243"/>
      <c r="Q36" s="2243"/>
      <c r="R36" s="2243"/>
      <c r="S36" s="2243"/>
      <c r="T36" s="2243"/>
      <c r="U36" s="2243"/>
      <c r="V36" s="2243"/>
    </row>
    <row r="37" spans="1:30">
      <c r="A37" s="2413" t="s">
        <v>2230</v>
      </c>
      <c r="B37" s="2235"/>
      <c r="C37" s="2235"/>
      <c r="D37" s="2235"/>
      <c r="E37" s="2235"/>
      <c r="F37" s="2235"/>
      <c r="G37" s="2440"/>
      <c r="H37" s="2440"/>
      <c r="I37" s="2440"/>
      <c r="J37" s="2243"/>
      <c r="K37" s="2400"/>
      <c r="L37" s="2397"/>
      <c r="M37" s="2397"/>
      <c r="N37" s="2243"/>
      <c r="O37" s="1669"/>
      <c r="P37" s="2243"/>
      <c r="Q37" s="2243"/>
      <c r="R37" s="2243"/>
      <c r="S37" s="2243"/>
      <c r="T37" s="2243"/>
      <c r="U37" s="2243"/>
      <c r="V37" s="2243"/>
    </row>
    <row r="38" spans="1:30" ht="13.5" thickBot="1">
      <c r="A38" s="2414" t="s">
        <v>2231</v>
      </c>
      <c r="B38" s="2236"/>
      <c r="C38" s="2236"/>
      <c r="D38" s="2236"/>
      <c r="E38" s="2236"/>
      <c r="F38" s="2236"/>
      <c r="G38" s="2441"/>
      <c r="H38" s="2441"/>
      <c r="I38" s="2441"/>
      <c r="J38" s="2243"/>
      <c r="K38" s="2400"/>
      <c r="L38" s="2397"/>
      <c r="M38" s="2397"/>
      <c r="N38" s="2243"/>
      <c r="O38" s="1669"/>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5"/>
      <c r="J40" s="2243"/>
      <c r="K40" s="2399"/>
      <c r="L40" s="1669"/>
      <c r="M40" s="1669"/>
      <c r="N40" s="2243"/>
      <c r="O40" s="1669"/>
      <c r="P40" s="2243"/>
      <c r="Q40" s="2243"/>
      <c r="R40" s="2243"/>
      <c r="S40" s="2243"/>
      <c r="T40" s="2243"/>
      <c r="U40" s="2243"/>
      <c r="V40" s="2243"/>
    </row>
    <row r="41" spans="1:30">
      <c r="A41" s="2240" t="s">
        <v>2233</v>
      </c>
      <c r="B41" s="1626"/>
      <c r="C41" s="1280"/>
      <c r="D41" s="2181"/>
      <c r="E41" s="2181"/>
      <c r="F41" s="2181"/>
      <c r="G41" s="2181"/>
      <c r="H41" s="2181"/>
      <c r="I41" s="1465"/>
      <c r="J41" s="2243"/>
      <c r="K41" s="2400"/>
      <c r="L41" s="2397"/>
      <c r="M41" s="2397"/>
      <c r="N41" s="2243"/>
      <c r="O41" s="1669"/>
      <c r="P41" s="2243"/>
      <c r="Q41" s="2243"/>
      <c r="R41" s="2243"/>
      <c r="S41" s="2243"/>
      <c r="T41" s="2243"/>
      <c r="U41" s="2243"/>
      <c r="V41" s="2243"/>
    </row>
    <row r="42" spans="1:30" ht="25.5">
      <c r="A42" s="314"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5" customFormat="1">
      <c r="A43" s="1461"/>
      <c r="B43" s="627"/>
      <c r="C43" s="627"/>
      <c r="D43" s="627"/>
      <c r="E43" s="627"/>
      <c r="F43" s="627"/>
      <c r="G43" s="627"/>
      <c r="H43" s="627"/>
      <c r="I43" s="627"/>
      <c r="J43" s="2241"/>
      <c r="K43" s="2242"/>
      <c r="L43" s="2242"/>
      <c r="M43" s="627"/>
      <c r="N43" s="627"/>
      <c r="O43" s="627"/>
      <c r="P43" s="627"/>
      <c r="Q43" s="627"/>
      <c r="R43" s="627"/>
      <c r="S43" s="2243"/>
      <c r="T43" s="2243"/>
      <c r="U43" s="2243"/>
      <c r="V43" s="2243"/>
    </row>
    <row r="44" spans="1:30" s="1615" customFormat="1">
      <c r="A44" s="1461"/>
      <c r="B44" s="1461"/>
      <c r="C44" s="627"/>
      <c r="D44" s="627"/>
      <c r="E44" s="627"/>
      <c r="F44" s="627"/>
      <c r="G44" s="627"/>
      <c r="H44" s="627"/>
      <c r="I44" s="627"/>
      <c r="J44" s="2241"/>
      <c r="K44" s="2242"/>
      <c r="L44" s="2242"/>
      <c r="M44" s="627"/>
      <c r="N44" s="627"/>
      <c r="O44" s="627"/>
      <c r="P44" s="627"/>
      <c r="Q44" s="627"/>
      <c r="R44" s="627"/>
      <c r="S44" s="2243"/>
      <c r="T44" s="2243"/>
      <c r="U44" s="2243"/>
      <c r="V44" s="2243"/>
    </row>
    <row r="45" spans="1:30" s="1615" customFormat="1">
      <c r="A45" s="1461"/>
      <c r="B45" s="1461"/>
      <c r="C45" s="627"/>
      <c r="D45" s="627"/>
      <c r="E45" s="627"/>
      <c r="F45" s="627"/>
      <c r="G45" s="627"/>
      <c r="H45" s="627"/>
      <c r="I45" s="627"/>
      <c r="J45" s="2241"/>
      <c r="K45" s="2242"/>
      <c r="L45" s="2242"/>
      <c r="M45" s="627"/>
      <c r="N45" s="627"/>
      <c r="O45" s="627"/>
      <c r="P45" s="627"/>
      <c r="Q45" s="627"/>
      <c r="R45" s="627"/>
      <c r="S45" s="2243"/>
      <c r="T45" s="2243"/>
      <c r="U45" s="2243"/>
      <c r="V45" s="2243"/>
    </row>
    <row r="46" spans="1:30" s="1615" customFormat="1">
      <c r="A46" s="1461"/>
      <c r="B46" s="1461"/>
      <c r="C46" s="627"/>
      <c r="D46" s="627"/>
      <c r="E46" s="627"/>
      <c r="F46" s="627"/>
      <c r="G46" s="627"/>
      <c r="H46" s="627"/>
      <c r="I46" s="627"/>
      <c r="J46" s="2241"/>
      <c r="K46" s="2242"/>
      <c r="L46" s="2242"/>
      <c r="M46" s="627"/>
      <c r="N46" s="627"/>
      <c r="O46" s="627"/>
      <c r="P46" s="627"/>
      <c r="Q46" s="627"/>
      <c r="R46" s="627"/>
      <c r="S46" s="2243"/>
      <c r="T46" s="2243"/>
      <c r="U46" s="2243"/>
      <c r="V46" s="2243"/>
    </row>
    <row r="47" spans="1:30" s="1615" customFormat="1">
      <c r="A47" s="1461"/>
      <c r="B47" s="1461"/>
      <c r="C47" s="627"/>
      <c r="D47" s="627"/>
      <c r="E47" s="627"/>
      <c r="F47" s="627"/>
      <c r="G47" s="627"/>
      <c r="H47" s="627"/>
      <c r="I47" s="627"/>
      <c r="J47" s="2241"/>
      <c r="K47" s="2242"/>
      <c r="L47" s="2242"/>
      <c r="M47" s="627"/>
      <c r="N47" s="627"/>
      <c r="O47" s="627"/>
      <c r="P47" s="627"/>
      <c r="Q47" s="627"/>
      <c r="R47" s="627"/>
      <c r="S47" s="2243"/>
      <c r="T47" s="2243"/>
      <c r="U47" s="2243"/>
      <c r="V47" s="2243"/>
    </row>
    <row r="48" spans="1:30" s="1615" customFormat="1">
      <c r="A48" s="1461"/>
      <c r="B48" s="1461"/>
      <c r="C48" s="627"/>
      <c r="D48" s="627"/>
      <c r="E48" s="627"/>
      <c r="F48" s="627"/>
      <c r="G48" s="627"/>
      <c r="H48" s="627"/>
      <c r="I48" s="627"/>
      <c r="J48" s="2241"/>
      <c r="K48" s="2242"/>
      <c r="L48" s="2242"/>
      <c r="M48" s="627"/>
      <c r="N48" s="627"/>
      <c r="O48" s="627"/>
      <c r="P48" s="627"/>
      <c r="Q48" s="627"/>
      <c r="R48" s="627"/>
      <c r="S48" s="2243"/>
      <c r="T48" s="2243"/>
      <c r="U48" s="2243"/>
      <c r="V48" s="2243"/>
    </row>
    <row r="49" spans="1:22" s="1615" customFormat="1">
      <c r="A49" s="1461"/>
      <c r="B49" s="1461"/>
      <c r="C49" s="627"/>
      <c r="D49" s="627"/>
      <c r="E49" s="627"/>
      <c r="F49" s="627"/>
      <c r="G49" s="627"/>
      <c r="H49" s="627"/>
      <c r="I49" s="627"/>
      <c r="J49" s="2241"/>
      <c r="K49" s="2242"/>
      <c r="L49" s="2242"/>
      <c r="M49" s="627"/>
      <c r="N49" s="627"/>
      <c r="O49" s="627"/>
      <c r="P49" s="627"/>
      <c r="Q49" s="627"/>
      <c r="R49" s="627"/>
      <c r="S49" s="2243"/>
      <c r="T49" s="2243"/>
      <c r="U49" s="2243"/>
      <c r="V49" s="2243"/>
    </row>
    <row r="50" spans="1:22" s="1615" customFormat="1">
      <c r="A50" s="1461"/>
      <c r="B50" s="1461"/>
      <c r="C50" s="627"/>
      <c r="D50" s="627"/>
      <c r="E50" s="627"/>
      <c r="F50" s="627"/>
      <c r="G50" s="627"/>
      <c r="H50" s="627"/>
      <c r="I50" s="627"/>
      <c r="J50" s="2241"/>
      <c r="K50" s="2242"/>
      <c r="L50" s="2242"/>
      <c r="M50" s="627"/>
      <c r="N50" s="627"/>
      <c r="O50" s="627"/>
      <c r="P50" s="627"/>
      <c r="Q50" s="627"/>
      <c r="R50" s="627"/>
      <c r="S50" s="2243"/>
      <c r="T50" s="2243"/>
      <c r="U50" s="2243"/>
      <c r="V50" s="2243"/>
    </row>
    <row r="51" spans="1:22" s="1615" customFormat="1">
      <c r="A51" s="1461"/>
      <c r="B51" s="1461"/>
      <c r="C51" s="627"/>
      <c r="D51" s="627"/>
      <c r="E51" s="627"/>
      <c r="F51" s="627"/>
      <c r="G51" s="627"/>
      <c r="H51" s="627"/>
      <c r="I51" s="627"/>
      <c r="J51" s="2241"/>
      <c r="K51" s="2242"/>
      <c r="L51" s="2242"/>
      <c r="M51" s="627"/>
      <c r="N51" s="627"/>
      <c r="O51" s="627"/>
      <c r="P51" s="627"/>
      <c r="Q51" s="627"/>
      <c r="R51" s="627"/>
    </row>
    <row r="52" spans="1:22" s="1615" customFormat="1">
      <c r="A52" s="1461"/>
      <c r="B52" s="1461"/>
      <c r="C52" s="1461"/>
      <c r="D52" s="1461"/>
      <c r="E52" s="1461"/>
      <c r="F52" s="627"/>
      <c r="G52" s="1461"/>
      <c r="H52" s="1461"/>
      <c r="I52" s="1461"/>
      <c r="J52" s="2244"/>
      <c r="K52" s="2242"/>
      <c r="L52" s="2242"/>
      <c r="M52" s="2242"/>
      <c r="N52" s="1461"/>
      <c r="O52" s="1461"/>
      <c r="P52" s="1461"/>
      <c r="Q52" s="1461"/>
      <c r="R52" s="1461"/>
    </row>
    <row r="53" spans="1:22" s="1615" customFormat="1">
      <c r="A53" s="1461"/>
      <c r="B53" s="1461"/>
      <c r="C53" s="1461"/>
      <c r="D53" s="1461"/>
      <c r="E53" s="1461"/>
      <c r="F53" s="627"/>
      <c r="G53" s="1461"/>
      <c r="H53" s="1461"/>
      <c r="I53" s="1461"/>
      <c r="J53" s="2244"/>
      <c r="K53" s="2242"/>
      <c r="L53" s="2242"/>
      <c r="M53" s="2242"/>
      <c r="N53" s="1461"/>
      <c r="O53" s="1461"/>
      <c r="P53" s="1461"/>
      <c r="Q53" s="1461"/>
      <c r="R53" s="1461"/>
    </row>
    <row r="54" spans="1:22" s="1615" customFormat="1">
      <c r="A54" s="1461"/>
      <c r="B54" s="1461"/>
      <c r="C54" s="1461"/>
      <c r="D54" s="1461"/>
      <c r="E54" s="1461"/>
      <c r="F54" s="627"/>
      <c r="G54" s="1461"/>
      <c r="H54" s="1461"/>
      <c r="I54" s="1461"/>
      <c r="J54" s="2244"/>
      <c r="K54" s="2242"/>
      <c r="L54" s="2242"/>
      <c r="M54" s="2242"/>
      <c r="N54" s="1461"/>
      <c r="O54" s="1461"/>
      <c r="P54" s="1461"/>
      <c r="Q54" s="1461"/>
      <c r="R54" s="1461"/>
    </row>
    <row r="55" spans="1:22" s="1615" customFormat="1">
      <c r="A55" s="1461"/>
      <c r="B55" s="1461"/>
      <c r="C55" s="1461"/>
      <c r="D55" s="1461"/>
      <c r="E55" s="1461"/>
      <c r="F55" s="627"/>
      <c r="G55" s="1461"/>
      <c r="H55" s="1461"/>
      <c r="I55" s="1461"/>
      <c r="J55" s="2244"/>
      <c r="K55" s="2242"/>
      <c r="L55" s="2242"/>
      <c r="M55" s="2242"/>
      <c r="N55" s="1461"/>
      <c r="O55" s="1461"/>
      <c r="P55" s="1461"/>
      <c r="Q55" s="1461"/>
      <c r="R55" s="1461"/>
    </row>
    <row r="56" spans="1:22" s="1615" customFormat="1">
      <c r="A56" s="1461"/>
      <c r="B56" s="1461"/>
      <c r="C56" s="1461"/>
      <c r="D56" s="1461"/>
      <c r="E56" s="1461"/>
      <c r="F56" s="627"/>
      <c r="G56" s="1461"/>
      <c r="H56" s="1461"/>
      <c r="I56" s="1461"/>
      <c r="J56" s="2244"/>
      <c r="K56" s="2242"/>
      <c r="L56" s="2242"/>
      <c r="M56" s="2242"/>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7" sqref="K37"/>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227.25</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227.25</v>
      </c>
      <c r="H5" s="13">
        <f t="shared" ref="H5:AT5" si="0">SUM(H13:H656)</f>
        <v>227.25</v>
      </c>
      <c r="I5" s="13">
        <f t="shared" si="0"/>
        <v>227.25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227.25</v>
      </c>
      <c r="BA5" s="15">
        <f t="shared" si="1"/>
        <v>227.25</v>
      </c>
      <c r="BB5" s="15">
        <f t="shared" si="1"/>
        <v>227.25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3403</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673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c r="C13" s="627">
        <v>23</v>
      </c>
      <c r="D13" s="1512" t="s">
        <v>3399</v>
      </c>
      <c r="E13" s="13">
        <f>IF($C$3="是",ROUND($A$3*G13/$B$3,2),ROUND($A$3*(G13-AT13)/$B$3,2))</f>
        <v>0</v>
      </c>
      <c r="F13" s="29"/>
      <c r="G13" s="30">
        <f>H13+AC13+AT13</f>
        <v>227.25</v>
      </c>
      <c r="H13" s="17">
        <f>SUMIF(I$12:AB$12,"总值",I13:AB13)</f>
        <v>227.25</v>
      </c>
      <c r="I13" s="1513">
        <v>227.25</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23</v>
      </c>
      <c r="AY13" s="1259">
        <f>ROUND($AY$6*AZ13/$AZ$5,2)</f>
        <v>0</v>
      </c>
      <c r="AZ13" s="13">
        <f>BA13+BL13</f>
        <v>227.25</v>
      </c>
      <c r="BA13" s="13">
        <f>SUM(BB13:BK13)</f>
        <v>227.25</v>
      </c>
      <c r="BB13" s="13">
        <f>IF($D13="是",I13-J13,0)</f>
        <v>227.25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52" sqref="I52"/>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37" t="s">
        <v>1131</v>
      </c>
      <c r="B2" s="3237"/>
      <c r="C2" s="3237"/>
      <c r="D2" s="747" t="s">
        <v>1107</v>
      </c>
      <c r="E2" s="1522" t="s">
        <v>1108</v>
      </c>
      <c r="F2" s="2437"/>
      <c r="G2" s="2430"/>
      <c r="H2" s="2431"/>
      <c r="I2" s="2145" t="s">
        <v>1132</v>
      </c>
      <c r="J2" s="2437"/>
      <c r="K2" s="2437"/>
      <c r="L2" s="2437"/>
      <c r="M2" s="2437"/>
      <c r="N2" s="2438"/>
      <c r="O2" s="2437"/>
      <c r="P2" s="2437"/>
    </row>
    <row r="3" spans="1:16" ht="15.75" thickBot="1">
      <c r="A3" s="3238" t="s">
        <v>1105</v>
      </c>
      <c r="B3" s="3238"/>
      <c r="C3" s="3238"/>
      <c r="D3" s="41">
        <f>'数据-基础表'!AY6</f>
        <v>0</v>
      </c>
      <c r="E3" s="41">
        <f>'数据-基础表'!AZ5</f>
        <v>227.25</v>
      </c>
      <c r="F3" s="2437"/>
      <c r="G3" s="42"/>
      <c r="H3" s="43" t="s">
        <v>1106</v>
      </c>
      <c r="I3" s="801" t="e">
        <f>ROUND('数据-基础表'!B3/'数据-基础表'!A3,2)</f>
        <v>#DIV/0!</v>
      </c>
      <c r="J3" s="2437"/>
      <c r="K3" s="2437"/>
      <c r="L3" s="2437"/>
      <c r="M3" s="2437"/>
      <c r="N3" s="2438"/>
      <c r="O3" s="2437"/>
      <c r="P3" s="2437"/>
    </row>
    <row r="4" spans="1:16" ht="15">
      <c r="A4" s="3239"/>
      <c r="B4" s="3240"/>
      <c r="C4" s="3241"/>
      <c r="D4" s="1523" t="s">
        <v>1107</v>
      </c>
      <c r="E4" s="1524" t="s">
        <v>1108</v>
      </c>
      <c r="F4" s="2437"/>
      <c r="G4" s="2432" t="s">
        <v>1133</v>
      </c>
      <c r="H4" s="43" t="s">
        <v>1113</v>
      </c>
      <c r="I4" s="801" t="e">
        <f>ROUND(SUMIF('数据-基础表'!I9:AS9,"地上",'数据-基础表'!I5:AS5)/'数据-基础表'!A3,2)</f>
        <v>#DIV/0!</v>
      </c>
      <c r="J4" s="2437"/>
      <c r="K4" s="2437"/>
      <c r="L4" s="2437"/>
      <c r="M4" s="2437"/>
      <c r="N4" s="2438"/>
      <c r="O4" s="2437"/>
      <c r="P4" s="2437"/>
    </row>
    <row r="5" spans="1:16">
      <c r="A5" s="42" t="s">
        <v>1109</v>
      </c>
      <c r="B5" s="3242" t="s">
        <v>1110</v>
      </c>
      <c r="C5" s="3242"/>
      <c r="D5" s="43">
        <f>ROUND($D$3*E5/$E$3,2)</f>
        <v>0</v>
      </c>
      <c r="E5" s="44">
        <f>SUMIF('数据-基础表'!$11:$11,"住宅",'数据-基础表'!$5:$5)</f>
        <v>0</v>
      </c>
      <c r="F5" s="2437"/>
      <c r="G5" s="42"/>
      <c r="H5" s="43" t="s">
        <v>1106</v>
      </c>
      <c r="I5" s="801" t="e">
        <f>ROUND(E31/D31,2)</f>
        <v>#DIV/0!</v>
      </c>
      <c r="J5" s="2437"/>
      <c r="K5" s="2437"/>
      <c r="L5" s="2437"/>
      <c r="M5" s="2437"/>
      <c r="N5" s="2437"/>
      <c r="O5" s="2437"/>
      <c r="P5" s="2437"/>
    </row>
    <row r="6" spans="1:16" ht="15" thickBot="1">
      <c r="A6" s="1526"/>
      <c r="B6" s="3242" t="s">
        <v>1111</v>
      </c>
      <c r="C6" s="3242"/>
      <c r="D6" s="43">
        <f>ROUND($D$3*E6/$E$3,2)</f>
        <v>0</v>
      </c>
      <c r="E6" s="44">
        <f>E3-E5</f>
        <v>227.25</v>
      </c>
      <c r="F6" s="2437"/>
      <c r="G6" s="1528" t="s">
        <v>1112</v>
      </c>
      <c r="H6" s="45" t="s">
        <v>1113</v>
      </c>
      <c r="I6" s="2433" t="e">
        <f>ROUND(F31/D31,2)</f>
        <v>#DIV/0!</v>
      </c>
      <c r="J6" s="2437"/>
      <c r="K6" s="2437"/>
      <c r="L6" s="2437"/>
      <c r="M6" s="2437"/>
      <c r="N6" s="2437"/>
      <c r="O6" s="2437"/>
      <c r="P6" s="2437"/>
    </row>
    <row r="7" spans="1:16" ht="15.75" thickBot="1">
      <c r="A7" s="3234"/>
      <c r="B7" s="3235"/>
      <c r="C7" s="3236"/>
      <c r="D7" s="1523" t="s">
        <v>1107</v>
      </c>
      <c r="E7" s="1527" t="s">
        <v>1114</v>
      </c>
      <c r="F7" s="2437"/>
      <c r="G7" s="2434" t="s">
        <v>1115</v>
      </c>
      <c r="H7" s="95"/>
      <c r="I7" s="2435"/>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227.25</v>
      </c>
      <c r="F8" s="2437"/>
      <c r="G8" s="2437"/>
      <c r="H8" s="2437"/>
      <c r="I8" s="2437"/>
      <c r="J8" s="2437"/>
      <c r="K8" s="2437"/>
      <c r="L8" s="2437"/>
      <c r="M8" s="2437"/>
      <c r="N8" s="2437"/>
      <c r="O8" s="2437"/>
      <c r="P8" s="2437"/>
    </row>
    <row r="9" spans="1:16">
      <c r="A9" s="1528"/>
      <c r="B9" s="1529"/>
      <c r="C9" s="43" t="s">
        <v>1119</v>
      </c>
      <c r="D9" s="43">
        <f t="shared" si="0"/>
        <v>0</v>
      </c>
      <c r="E9" s="47">
        <v>0</v>
      </c>
      <c r="F9" s="2437"/>
      <c r="G9" s="2437"/>
      <c r="H9" s="2437"/>
      <c r="I9" s="2437"/>
      <c r="J9" s="2437"/>
      <c r="K9" s="2437"/>
      <c r="L9" s="2437"/>
      <c r="M9" s="2437"/>
      <c r="N9" s="2437"/>
      <c r="O9" s="2437"/>
      <c r="P9" s="2437"/>
    </row>
    <row r="10" spans="1:16">
      <c r="A10" s="1528"/>
      <c r="B10" s="1529"/>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8"/>
      <c r="B11" s="1529"/>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8"/>
      <c r="B12" s="1529"/>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8"/>
      <c r="B13" s="1529"/>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8"/>
      <c r="B14" s="1529"/>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8"/>
      <c r="B15" s="1529"/>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6"/>
      <c r="B16" s="1529"/>
      <c r="C16" s="45" t="s">
        <v>1123</v>
      </c>
      <c r="D16" s="45">
        <f>SUM(D8:D15)</f>
        <v>0</v>
      </c>
      <c r="E16" s="48">
        <f>SUM(E8:E15)</f>
        <v>227.25</v>
      </c>
      <c r="F16" s="2437"/>
      <c r="G16" s="2437"/>
      <c r="H16" s="1530" t="s">
        <v>1135</v>
      </c>
      <c r="I16" s="1531"/>
      <c r="J16" s="1070"/>
      <c r="K16" s="3231" t="s">
        <v>1135</v>
      </c>
      <c r="L16" s="3232"/>
      <c r="M16" s="3232"/>
      <c r="N16" s="3232"/>
      <c r="O16" s="3232"/>
      <c r="P16" s="3233"/>
    </row>
    <row r="17" spans="1:19" ht="15">
      <c r="A17" s="1532" t="s">
        <v>1136</v>
      </c>
      <c r="B17" s="1533" t="s">
        <v>1137</v>
      </c>
      <c r="C17" s="1534" t="s">
        <v>1138</v>
      </c>
      <c r="D17" s="1535" t="s">
        <v>1126</v>
      </c>
      <c r="E17" s="1536" t="s">
        <v>1127</v>
      </c>
      <c r="F17" s="1537"/>
      <c r="G17" s="1538"/>
      <c r="H17" s="1539" t="s">
        <v>1139</v>
      </c>
      <c r="I17" s="1540" t="s">
        <v>1124</v>
      </c>
      <c r="J17" s="1070"/>
      <c r="K17" s="3228" t="s">
        <v>1140</v>
      </c>
      <c r="L17" s="3229"/>
      <c r="M17" s="3230"/>
      <c r="N17" s="3228" t="s">
        <v>1141</v>
      </c>
      <c r="O17" s="3229"/>
      <c r="P17" s="3230"/>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3" t="s">
        <v>3404</v>
      </c>
      <c r="D19" s="43">
        <f>ROUND($D$3*E19/$E$3,2)</f>
        <v>0</v>
      </c>
      <c r="E19" s="51">
        <f t="shared" ref="E19:E26" si="1">SUM(F19:G19)</f>
        <v>227.25</v>
      </c>
      <c r="F19" s="2555">
        <f>'数据-基础表'!H13</f>
        <v>227.25</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227.25</v>
      </c>
    </row>
    <row r="20" spans="1:19">
      <c r="A20" s="1548"/>
      <c r="B20" s="45" t="s">
        <v>1153</v>
      </c>
      <c r="C20" s="3113"/>
      <c r="D20" s="43">
        <f t="shared" ref="D20:D26" si="6">ROUND($D$3*E20/$E$3,2)</f>
        <v>0</v>
      </c>
      <c r="E20" s="51">
        <f t="shared" si="1"/>
        <v>0</v>
      </c>
      <c r="F20" s="2555"/>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3"/>
      <c r="D21" s="43">
        <f t="shared" si="6"/>
        <v>0</v>
      </c>
      <c r="E21" s="51">
        <f t="shared" si="1"/>
        <v>0</v>
      </c>
      <c r="F21" s="2555"/>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1153</v>
      </c>
      <c r="C22" s="3114"/>
      <c r="D22" s="43">
        <f t="shared" si="6"/>
        <v>0</v>
      </c>
      <c r="E22" s="51">
        <f t="shared" si="1"/>
        <v>0</v>
      </c>
      <c r="F22" s="2556"/>
      <c r="G22" s="2557"/>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1153</v>
      </c>
      <c r="C23" s="3114"/>
      <c r="D23" s="43">
        <f>ROUND($D$3*E23/$E$3,2)</f>
        <v>0</v>
      </c>
      <c r="E23" s="51">
        <f>SUM(F23:G23)</f>
        <v>0</v>
      </c>
      <c r="F23" s="2556"/>
      <c r="G23" s="2557"/>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1153</v>
      </c>
      <c r="C24" s="3114"/>
      <c r="D24" s="43">
        <f>ROUND($D$3*E24/$E$3,2)</f>
        <v>0</v>
      </c>
      <c r="E24" s="51">
        <f>SUM(F24:G24)</f>
        <v>0</v>
      </c>
      <c r="F24" s="2556"/>
      <c r="G24" s="2557"/>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1153</v>
      </c>
      <c r="C25" s="3114"/>
      <c r="D25" s="43">
        <f t="shared" si="6"/>
        <v>0</v>
      </c>
      <c r="E25" s="51">
        <f t="shared" si="1"/>
        <v>0</v>
      </c>
      <c r="F25" s="2556"/>
      <c r="G25" s="2557"/>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6"/>
      <c r="G26" s="2557"/>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227.25</v>
      </c>
      <c r="F27" s="1071">
        <f>IF(SUM(F19:F26)=E8,SUM(F19:F26),"地上面积有误")</f>
        <v>227.25</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227.25</v>
      </c>
    </row>
    <row r="28" spans="1:19">
      <c r="A28" s="1548"/>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8"/>
      <c r="B29" s="45" t="s">
        <v>1155</v>
      </c>
      <c r="C29" s="1554"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8"/>
      <c r="B30" s="45"/>
      <c r="C30" s="1555" t="s">
        <v>1154</v>
      </c>
      <c r="D30" s="1071">
        <f>SUM(D28:D29)</f>
        <v>0</v>
      </c>
      <c r="E30" s="1071">
        <f>SUM(E28:E29)</f>
        <v>0</v>
      </c>
      <c r="F30" s="1071">
        <f>SUM(F28:F29)</f>
        <v>0</v>
      </c>
      <c r="G30" s="1073">
        <f>SUM(G28:G29)</f>
        <v>0</v>
      </c>
      <c r="H30" s="2437"/>
      <c r="I30" s="2437"/>
      <c r="J30" s="2437"/>
      <c r="K30" s="2437"/>
      <c r="L30" s="2437"/>
      <c r="M30" s="2437"/>
      <c r="N30" s="2437"/>
      <c r="O30" s="2437"/>
      <c r="P30" s="2437"/>
    </row>
    <row r="31" spans="1:19" ht="15.75" thickBot="1">
      <c r="A31" s="1556"/>
      <c r="B31" s="96"/>
      <c r="C31" s="784" t="s">
        <v>1158</v>
      </c>
      <c r="D31" s="642">
        <f>D27+D30</f>
        <v>0</v>
      </c>
      <c r="E31" s="642">
        <f>E27+E30</f>
        <v>227.25</v>
      </c>
      <c r="F31" s="643">
        <f>F27+F30</f>
        <v>227.25</v>
      </c>
      <c r="G31" s="644">
        <f>G27+G30</f>
        <v>0</v>
      </c>
      <c r="H31" s="2437"/>
      <c r="I31" s="2437"/>
      <c r="J31" s="2437"/>
      <c r="K31" s="2437"/>
      <c r="L31" s="2437"/>
      <c r="M31" s="2437"/>
      <c r="N31" s="2437"/>
      <c r="O31" s="2437"/>
      <c r="P31" s="2437"/>
    </row>
    <row r="32" spans="1:19">
      <c r="A32" s="1525"/>
      <c r="B32" s="1525" t="s">
        <v>1159</v>
      </c>
      <c r="C32" s="1525"/>
      <c r="D32" s="1525"/>
      <c r="E32" s="989">
        <f>SUMIF(C19:C26,"*住宅*",E19:E26)</f>
        <v>0</v>
      </c>
      <c r="F32" s="1525"/>
      <c r="G32" s="1525"/>
      <c r="H32" s="2437"/>
      <c r="I32" s="2437"/>
      <c r="J32" s="2437"/>
      <c r="K32" s="2437"/>
      <c r="L32" s="2437"/>
      <c r="M32" s="2437"/>
      <c r="N32" s="2437"/>
      <c r="O32" s="2437"/>
      <c r="P32" s="2437"/>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N27" sqref="N27"/>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1"/>
    <col min="41" max="41" width="11.625" style="121" customWidth="1"/>
    <col min="42" max="42" width="9.75" style="121" customWidth="1"/>
    <col min="43" max="67" width="13.75" style="121"/>
    <col min="68" max="16384" width="13.75" style="1560"/>
  </cols>
  <sheetData>
    <row r="1" spans="1:67" ht="19.5"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6"/>
      <c r="AO1" s="2446"/>
      <c r="AP1" s="2446"/>
      <c r="AQ1" s="2446"/>
      <c r="AR1" s="2446"/>
    </row>
    <row r="2" spans="1:67" s="1450" customFormat="1" ht="15.75" thickBot="1">
      <c r="A2" s="1561" t="s">
        <v>1161</v>
      </c>
      <c r="B2" s="983">
        <f>项目基本情况!D3</f>
        <v>45580</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7"/>
      <c r="AO2" s="2437"/>
      <c r="AP2" s="2437"/>
      <c r="AQ2" s="2437"/>
      <c r="AR2" s="2437"/>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7"/>
      <c r="AO3" s="2437"/>
      <c r="AP3" s="2437"/>
      <c r="AQ3" s="2437"/>
      <c r="AR3" s="2437"/>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6"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7"/>
      <c r="AO4" s="2437"/>
      <c r="AP4" s="2437"/>
      <c r="AQ4" s="2437"/>
      <c r="AR4" s="2437"/>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3405</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4.25">
      <c r="A6" s="1585" t="str">
        <f>'数据-汇总表'!C19</f>
        <v>商业</v>
      </c>
      <c r="B6" s="1586" t="str">
        <f>IF(A6=0,"","经营性")</f>
        <v>经营性</v>
      </c>
      <c r="C6" s="1587" t="s">
        <v>673</v>
      </c>
      <c r="D6" s="804">
        <f>SUMIF(项目基本情况!C$12:I$12,C6,项目基本情况!C$14:I$14)</f>
        <v>40</v>
      </c>
      <c r="E6" s="803">
        <f>IF(B6="","",SUMIF(项目基本情况!C$12:I$12,C6,项目基本情况!C$13:I$13))</f>
        <v>51769</v>
      </c>
      <c r="F6" s="61">
        <f>SUMIF(项目基本情况!C$12:I$12,C6,项目基本情况!C$15:I$15)</f>
        <v>16.95</v>
      </c>
      <c r="G6" s="62">
        <f>IF(ISERROR(ROUND(POWER(1+H6,D6-F6)*(POWER(1+H6,F6)-1)/(POWER(1+H6,D6)-1),3)),0,ROUND(POWER(1+H6,D6-F6)*(POWER(1+H6,F6)-1)/(POWER(1+H6,D6)-1),3))</f>
        <v>0.65600000000000003</v>
      </c>
      <c r="H6" s="690">
        <v>0.05</v>
      </c>
      <c r="I6" s="690">
        <v>5.5E-2</v>
      </c>
      <c r="J6" s="63">
        <v>7.0000000000000007E-2</v>
      </c>
      <c r="K6" s="969">
        <f>SUMIF('数据-汇总表'!C$19:C$33,A6,'数据-汇总表'!E$19:E$33)</f>
        <v>227.25</v>
      </c>
      <c r="L6" s="691">
        <v>3000</v>
      </c>
      <c r="M6" s="64">
        <f t="shared" ref="M6:M14" si="0">ROUND(K6*L6/10000,0)</f>
        <v>68</v>
      </c>
      <c r="N6" s="3494">
        <f>M23</f>
        <v>0.73</v>
      </c>
      <c r="O6" s="64" t="str">
        <f>IF($N$5="成新度","——",ROUND(M6*N6,0))</f>
        <v>——</v>
      </c>
      <c r="P6" s="65" t="str">
        <f>IF($N$5="成新度","——",M6-O6)</f>
        <v>——</v>
      </c>
      <c r="Q6" s="692">
        <v>0.15</v>
      </c>
      <c r="R6" s="66">
        <f ca="1">SUMIF('数据-汇总表'!C$19:C$33,A6,'数据-汇总表'!R$19:R$27)</f>
        <v>0</v>
      </c>
      <c r="S6" s="49">
        <f>IF('数据-汇总表'!$I$17="按面积比例",SUMIF('数据-汇总表'!C$19:C$33,A6,'数据-汇总表'!K$19:K$33),SUMIF('数据-汇总表'!C$19:C$33,A6,'数据-汇总表'!N$19:N$33))</f>
        <v>0</v>
      </c>
      <c r="T6" s="1091">
        <f>ROUND($L$14*S6/10000,0)</f>
        <v>0</v>
      </c>
      <c r="U6" s="3497">
        <f>'比较法-商业 (2)'!C49</f>
        <v>2.7</v>
      </c>
      <c r="V6" s="67">
        <v>0.02</v>
      </c>
      <c r="W6" s="67">
        <v>0.1</v>
      </c>
      <c r="X6" s="978"/>
      <c r="Y6" s="68">
        <f>N6</f>
        <v>0.73</v>
      </c>
      <c r="Z6" s="69"/>
      <c r="AA6" s="63"/>
      <c r="AB6" s="63"/>
      <c r="AC6" s="978"/>
      <c r="AD6" s="70"/>
      <c r="AE6" s="979">
        <f ca="1">IF(AN6="",0,SUMIF(INDIRECT("'"&amp;AN6&amp;"'"&amp;"!E:E"),$AE$5,INDIRECT("'"&amp;AN6&amp;"'"&amp;"!F:F")))</f>
        <v>16.95</v>
      </c>
      <c r="AF6" s="74"/>
      <c r="AG6" s="129">
        <f>IF(AF6="",0,AE6-AF6)</f>
        <v>0</v>
      </c>
      <c r="AH6" s="71"/>
      <c r="AI6" s="73">
        <v>365</v>
      </c>
      <c r="AJ6" s="74"/>
      <c r="AK6" s="75">
        <v>5.0000000000000001E-3</v>
      </c>
      <c r="AL6" s="76">
        <v>1E-3</v>
      </c>
      <c r="AM6" s="77">
        <v>5.0000000000000001E-3</v>
      </c>
      <c r="AN6" s="1588" t="s">
        <v>3409</v>
      </c>
      <c r="AO6" s="50">
        <f ca="1">SUMIF(INDIRECT("'"&amp;AN6&amp;"'"&amp;"!A:A"),"总价",INDIRECT("'"&amp;AN6&amp;"'"&amp;"!B:B"))</f>
        <v>237.73509999999999</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4"/>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5"/>
      <c r="V8" s="693"/>
      <c r="W8" s="693"/>
      <c r="X8" s="978"/>
      <c r="Y8" s="68"/>
      <c r="Z8" s="69"/>
      <c r="AA8" s="63"/>
      <c r="AB8" s="63"/>
      <c r="AC8" s="978"/>
      <c r="AD8" s="70"/>
      <c r="AE8" s="979">
        <f t="shared" ca="1" si="6"/>
        <v>0</v>
      </c>
      <c r="AF8" s="74"/>
      <c r="AG8" s="129">
        <f t="shared" si="7"/>
        <v>0</v>
      </c>
      <c r="AH8" s="694"/>
      <c r="AI8" s="73"/>
      <c r="AJ8" s="74"/>
      <c r="AK8" s="695"/>
      <c r="AL8" s="696"/>
      <c r="AM8" s="105"/>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4"/>
      <c r="V9" s="67"/>
      <c r="W9" s="67"/>
      <c r="X9" s="978"/>
      <c r="Y9" s="68"/>
      <c r="Z9" s="69"/>
      <c r="AA9" s="63"/>
      <c r="AB9" s="63"/>
      <c r="AC9" s="978"/>
      <c r="AD9" s="70"/>
      <c r="AE9" s="979">
        <f t="shared" ca="1" si="6"/>
        <v>0</v>
      </c>
      <c r="AF9" s="74"/>
      <c r="AG9" s="129">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4"/>
      <c r="V10" s="67"/>
      <c r="W10" s="67"/>
      <c r="X10" s="978"/>
      <c r="Y10" s="68"/>
      <c r="Z10" s="69"/>
      <c r="AA10" s="63"/>
      <c r="AB10" s="63"/>
      <c r="AC10" s="978"/>
      <c r="AD10" s="70"/>
      <c r="AE10" s="979">
        <f t="shared" ca="1" si="6"/>
        <v>0</v>
      </c>
      <c r="AF10" s="74"/>
      <c r="AG10" s="129">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4"/>
      <c r="V11" s="63"/>
      <c r="W11" s="63"/>
      <c r="X11" s="978"/>
      <c r="Y11" s="68"/>
      <c r="Z11" s="81"/>
      <c r="AA11" s="63"/>
      <c r="AB11" s="63"/>
      <c r="AC11" s="978"/>
      <c r="AD11" s="70"/>
      <c r="AE11" s="979">
        <f t="shared" ca="1" si="6"/>
        <v>0</v>
      </c>
      <c r="AF11" s="74"/>
      <c r="AG11" s="129">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4"/>
      <c r="V12" s="63"/>
      <c r="W12" s="63"/>
      <c r="X12" s="978"/>
      <c r="Y12" s="68"/>
      <c r="Z12" s="81"/>
      <c r="AA12" s="63"/>
      <c r="AB12" s="63"/>
      <c r="AC12" s="978"/>
      <c r="AD12" s="70"/>
      <c r="AE12" s="979">
        <f t="shared" ca="1" si="6"/>
        <v>0</v>
      </c>
      <c r="AF12" s="74"/>
      <c r="AG12" s="129">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6"/>
      <c r="V13" s="67"/>
      <c r="W13" s="67"/>
      <c r="X13" s="978"/>
      <c r="Y13" s="68"/>
      <c r="Z13" s="69"/>
      <c r="AA13" s="63"/>
      <c r="AB13" s="63"/>
      <c r="AC13" s="978"/>
      <c r="AD13" s="70"/>
      <c r="AE13" s="979">
        <f t="shared" ca="1" si="6"/>
        <v>0</v>
      </c>
      <c r="AF13" s="74"/>
      <c r="AG13" s="129">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6"/>
      <c r="AO14" s="2437"/>
      <c r="AP14" s="2437"/>
      <c r="AQ14" s="2437"/>
      <c r="AR14" s="2437"/>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6"/>
      <c r="AO15" s="2437"/>
      <c r="AP15" s="2437"/>
      <c r="AQ15" s="2437"/>
      <c r="AR15" s="2437"/>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0.65600000000000003</v>
      </c>
      <c r="H16" s="84">
        <f>ROUND(SUMPRODUCT(H6:H13,K6:K13)/SUMPRODUCT((H6:H13&gt;0)*(K6:K13)),3)</f>
        <v>0.05</v>
      </c>
      <c r="I16" s="85"/>
      <c r="J16" s="85"/>
      <c r="K16" s="86">
        <f>SUM(K6:K15)</f>
        <v>227.25</v>
      </c>
      <c r="L16" s="87">
        <f>ROUND(M16*10000/SUM(K6:K14),0)</f>
        <v>2992</v>
      </c>
      <c r="M16" s="87">
        <f>SUM(M6:M14)</f>
        <v>68</v>
      </c>
      <c r="N16" s="88">
        <f>ROUND(SUMPRODUCT(M6:M14,N6:N14)/M16,3)</f>
        <v>0.73</v>
      </c>
      <c r="O16" s="87">
        <f>SUM(O6:O14)</f>
        <v>0</v>
      </c>
      <c r="P16" s="87">
        <f>SUM(P6:P14)</f>
        <v>0</v>
      </c>
      <c r="Q16" s="89">
        <f>ROUND(SUMPRODUCT(Q6:Q13,K6:K13)/SUMPRODUCT((Q6:Q13&gt;0)*(K6:K13)),2)</f>
        <v>0.15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121"/>
      <c r="K18" s="2447"/>
      <c r="L18" s="3144" t="s">
        <v>3479</v>
      </c>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5" t="s">
        <v>1211</v>
      </c>
      <c r="B19" s="97">
        <v>0</v>
      </c>
      <c r="C19" s="2558" t="s">
        <v>2303</v>
      </c>
      <c r="D19" s="2449"/>
      <c r="E19" s="2437"/>
      <c r="F19" s="2437"/>
      <c r="G19" s="2437"/>
      <c r="H19" s="2437"/>
      <c r="I19" s="2437"/>
      <c r="J19" s="2437"/>
      <c r="K19" s="2447"/>
      <c r="L19" s="3145" t="s">
        <v>3406</v>
      </c>
      <c r="M19" s="121"/>
      <c r="N19" s="121"/>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6" t="s">
        <v>1212</v>
      </c>
      <c r="B20" s="3496">
        <v>2</v>
      </c>
      <c r="C20" s="2559" t="s">
        <v>2301</v>
      </c>
      <c r="D20" s="2449"/>
      <c r="E20" s="2437"/>
      <c r="F20" s="2437"/>
      <c r="G20" s="2437"/>
      <c r="H20" s="2437"/>
      <c r="I20" s="2437"/>
      <c r="J20" s="2437"/>
      <c r="K20" s="2447"/>
      <c r="L20" s="2447">
        <v>2002</v>
      </c>
      <c r="M20" s="2446"/>
      <c r="N20" s="315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7" t="s">
        <v>1213</v>
      </c>
      <c r="B21" s="3496">
        <v>2</v>
      </c>
      <c r="C21" s="2437"/>
      <c r="D21" s="2449"/>
      <c r="E21" s="2437"/>
      <c r="F21" s="2437"/>
      <c r="G21" s="2437"/>
      <c r="H21" s="2437"/>
      <c r="I21" s="2437"/>
      <c r="J21" s="2437"/>
      <c r="K21" s="2447"/>
      <c r="L21" s="3145" t="s">
        <v>3407</v>
      </c>
      <c r="M21" s="2446">
        <f>ROUND(1-(1-2%)*(2024-L20)/50,2)</f>
        <v>0.56999999999999995</v>
      </c>
      <c r="N21" s="2446">
        <v>0.3</v>
      </c>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6" t="s">
        <v>1214</v>
      </c>
      <c r="B22" s="98">
        <f>B19+B20</f>
        <v>2</v>
      </c>
      <c r="C22" s="2437"/>
      <c r="D22" s="2449"/>
      <c r="E22" s="2437"/>
      <c r="F22" s="2437"/>
      <c r="G22" s="2437"/>
      <c r="H22" s="2437"/>
      <c r="I22" s="2437"/>
      <c r="J22" s="2437"/>
      <c r="K22" s="2447"/>
      <c r="L22" s="3145" t="s">
        <v>3408</v>
      </c>
      <c r="M22" s="2446">
        <v>0.8</v>
      </c>
      <c r="N22" s="2446">
        <f>1-N21</f>
        <v>0.7</v>
      </c>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7" t="s">
        <v>1215</v>
      </c>
      <c r="B23" s="98">
        <f>B19+B21</f>
        <v>2</v>
      </c>
      <c r="C23" s="2437"/>
      <c r="D23" s="2449"/>
      <c r="E23" s="2437"/>
      <c r="F23" s="2437"/>
      <c r="G23" s="2437"/>
      <c r="H23" s="2437"/>
      <c r="I23" s="2437"/>
      <c r="J23" s="2437"/>
      <c r="K23" s="2447"/>
      <c r="L23" s="2447"/>
      <c r="M23" s="2446">
        <f>ROUND(M21*N21+M22*N22,2)</f>
        <v>0.73</v>
      </c>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8" t="s">
        <v>1216</v>
      </c>
      <c r="B24" s="99">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8"/>
      <c r="B25" s="1541"/>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1" t="s">
        <v>1217</v>
      </c>
      <c r="B26" s="1599"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0" t="s">
        <v>1220</v>
      </c>
      <c r="B27" s="100">
        <v>120</v>
      </c>
      <c r="C27" s="2560" t="s">
        <v>2305</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1" t="s">
        <v>1221</v>
      </c>
      <c r="B28" s="102">
        <v>160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2" t="s">
        <v>1222</v>
      </c>
      <c r="B29" s="104"/>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3" t="s">
        <v>1223</v>
      </c>
      <c r="B30" s="637">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1" t="s">
        <v>1224</v>
      </c>
      <c r="B31" s="103">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4" t="s">
        <v>1225</v>
      </c>
      <c r="B32" s="638"/>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0" t="s">
        <v>1226</v>
      </c>
      <c r="B33" s="639">
        <v>0.03</v>
      </c>
      <c r="C33" s="2562" t="s">
        <v>3378</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1" t="s">
        <v>1227</v>
      </c>
      <c r="B34" s="105">
        <v>0</v>
      </c>
      <c r="C34" s="2562" t="s">
        <v>2295</v>
      </c>
      <c r="D34" s="2457" t="s">
        <v>2302</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1" t="s">
        <v>1228</v>
      </c>
      <c r="B35" s="102">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2" t="s">
        <v>1229</v>
      </c>
      <c r="B36" s="106">
        <v>0.02</v>
      </c>
      <c r="C36" s="2562" t="s">
        <v>3379</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3" t="s">
        <v>1230</v>
      </c>
      <c r="B37" s="107">
        <v>0.02</v>
      </c>
      <c r="C37" s="2562" t="s">
        <v>2297</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1" t="s">
        <v>1231</v>
      </c>
      <c r="B38" s="105">
        <v>0.02</v>
      </c>
      <c r="C38" s="2562" t="s">
        <v>2297</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4" t="s">
        <v>1232</v>
      </c>
      <c r="B39" s="308">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2312</v>
      </c>
      <c r="B40" s="1014">
        <f ca="1">IF(A40="利息：取LPR",存贷款利率!G1,存贷款利率!G1+C40)</f>
        <v>3.3500000000000002E-2</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0" t="s">
        <v>1233</v>
      </c>
      <c r="B41" s="108">
        <f>B42+B43</f>
        <v>5.5000000000000007E-2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5" t="s">
        <v>1234</v>
      </c>
      <c r="B42" s="109">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5" t="s">
        <v>1235</v>
      </c>
      <c r="B43" s="110">
        <f>B42*(B44+B45+B46)+B47</f>
        <v>5.000000000000001E-3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6" t="s">
        <v>1236</v>
      </c>
      <c r="B44" s="111">
        <v>0.05</v>
      </c>
      <c r="C44" s="2562" t="s">
        <v>2306</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6" t="s">
        <v>1237</v>
      </c>
      <c r="B45" s="109">
        <v>0.03</v>
      </c>
      <c r="C45" s="2561" t="s">
        <v>2298</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6" t="s">
        <v>1238</v>
      </c>
      <c r="B46" s="109">
        <v>0.02</v>
      </c>
      <c r="C46" s="2561" t="s">
        <v>2299</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7" t="s">
        <v>1239</v>
      </c>
      <c r="B47" s="112"/>
      <c r="C47" s="2564" t="s">
        <v>2307</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8" t="s">
        <v>1240</v>
      </c>
      <c r="B48" s="113">
        <v>0.03</v>
      </c>
      <c r="C48" s="2561" t="s">
        <v>2298</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4" t="s">
        <v>1241</v>
      </c>
      <c r="B49" s="109">
        <v>5.0000000000000002E-5</v>
      </c>
      <c r="C49" s="2561" t="s">
        <v>2300</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09" t="s">
        <v>1242</v>
      </c>
      <c r="B50" s="114">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2" t="s">
        <v>1243</v>
      </c>
      <c r="B51" s="115">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09" t="s">
        <v>1244</v>
      </c>
      <c r="B52" s="116">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1" t="s">
        <v>1245</v>
      </c>
      <c r="B53" s="1610" t="s">
        <v>29</v>
      </c>
      <c r="C53" s="2438" t="s">
        <v>1246</v>
      </c>
      <c r="D53" s="2563" t="s">
        <v>2304</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1"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1"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1"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1"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1"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1" t="s">
        <v>1252</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1"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1"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1"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2" t="s">
        <v>1256</v>
      </c>
      <c r="B63" s="117"/>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3"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3"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3"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3"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3"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7" customWidth="1"/>
    <col min="4" max="4" width="2.625" style="507" customWidth="1"/>
    <col min="5" max="5" width="5.875" style="507" customWidth="1"/>
    <col min="6" max="7" width="27" style="507"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0" customWidth="1"/>
    <col min="19" max="29" width="9" style="750"/>
    <col min="30" max="16384" width="9" style="1521"/>
  </cols>
  <sheetData>
    <row r="1" spans="1:29" s="2257" customFormat="1" ht="18.75" thickBot="1">
      <c r="A1" s="3243" t="s">
        <v>2286</v>
      </c>
      <c r="B1" s="3244"/>
      <c r="C1" s="3244"/>
      <c r="D1" s="3244"/>
      <c r="E1" s="3244"/>
      <c r="F1" s="3244"/>
      <c r="G1" s="3244"/>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2281</v>
      </c>
      <c r="D2" s="1594"/>
      <c r="E2" s="2258"/>
      <c r="F2" s="2261"/>
      <c r="G2" s="2260" t="s">
        <v>2282</v>
      </c>
      <c r="H2" s="750"/>
      <c r="I2" s="750"/>
      <c r="J2" s="750"/>
      <c r="K2" s="750"/>
      <c r="L2" s="750"/>
      <c r="M2" s="750"/>
      <c r="N2" s="750"/>
      <c r="O2" s="750"/>
      <c r="P2" s="750"/>
      <c r="Q2" s="750"/>
    </row>
    <row r="3" spans="1:29" ht="48">
      <c r="A3" s="2245" t="s">
        <v>2283</v>
      </c>
      <c r="B3" s="2262" t="s">
        <v>2252</v>
      </c>
      <c r="C3" s="2263" t="s">
        <v>2284</v>
      </c>
      <c r="D3" s="2264"/>
      <c r="E3" s="2246" t="s">
        <v>2283</v>
      </c>
      <c r="F3" s="2265" t="s">
        <v>2253</v>
      </c>
      <c r="G3" s="2266" t="s">
        <v>2285</v>
      </c>
      <c r="H3" s="750"/>
      <c r="I3" s="750"/>
      <c r="J3" s="750"/>
      <c r="K3" s="750"/>
      <c r="L3" s="750"/>
      <c r="M3" s="750"/>
      <c r="N3" s="750"/>
      <c r="O3" s="750"/>
      <c r="P3" s="750"/>
      <c r="Q3" s="750"/>
    </row>
    <row r="4" spans="1:29" ht="36.75">
      <c r="A4" s="2246"/>
      <c r="B4" s="314" t="s">
        <v>2254</v>
      </c>
      <c r="C4" s="2267" t="s">
        <v>2255</v>
      </c>
      <c r="D4" s="2264"/>
      <c r="E4" s="2268"/>
      <c r="F4" s="1280" t="s">
        <v>2256</v>
      </c>
      <c r="G4" s="2269" t="s">
        <v>2257</v>
      </c>
      <c r="H4" s="750"/>
      <c r="I4" s="750"/>
      <c r="J4" s="750"/>
      <c r="K4" s="750"/>
      <c r="L4" s="750"/>
      <c r="M4" s="750"/>
      <c r="N4" s="750"/>
      <c r="O4" s="750"/>
      <c r="P4" s="750"/>
      <c r="Q4" s="750"/>
    </row>
    <row r="5" spans="1:29" ht="36.75">
      <c r="A5" s="2246"/>
      <c r="B5" s="314" t="s">
        <v>2258</v>
      </c>
      <c r="C5" s="2267" t="s">
        <v>2259</v>
      </c>
      <c r="D5" s="2264"/>
      <c r="E5" s="2268"/>
      <c r="F5" s="314" t="s">
        <v>2260</v>
      </c>
      <c r="G5" s="2269" t="s">
        <v>2261</v>
      </c>
      <c r="H5" s="750"/>
      <c r="I5" s="750"/>
      <c r="J5" s="750"/>
      <c r="K5" s="750"/>
      <c r="L5" s="750"/>
      <c r="M5" s="750"/>
      <c r="N5" s="750"/>
      <c r="O5" s="750"/>
      <c r="P5" s="750"/>
      <c r="Q5" s="750"/>
    </row>
    <row r="6" spans="1:29" ht="36">
      <c r="A6" s="2246"/>
      <c r="B6" s="314" t="s">
        <v>2262</v>
      </c>
      <c r="C6" s="2269" t="s">
        <v>2257</v>
      </c>
      <c r="D6" s="2264"/>
      <c r="E6" s="2268"/>
      <c r="F6" s="314" t="s">
        <v>2263</v>
      </c>
      <c r="G6" s="2269" t="s">
        <v>2264</v>
      </c>
      <c r="H6" s="750"/>
      <c r="I6" s="750"/>
      <c r="J6" s="750"/>
      <c r="K6" s="750"/>
      <c r="L6" s="750"/>
      <c r="M6" s="750"/>
      <c r="N6" s="750"/>
      <c r="O6" s="750"/>
      <c r="P6" s="750"/>
      <c r="Q6" s="750"/>
    </row>
    <row r="7" spans="1:29" ht="24.75" thickBot="1">
      <c r="A7" s="2246"/>
      <c r="B7" s="314" t="s">
        <v>2260</v>
      </c>
      <c r="C7" s="2269" t="s">
        <v>2261</v>
      </c>
      <c r="D7" s="2243"/>
      <c r="E7" s="2270"/>
      <c r="F7" s="2271" t="s">
        <v>2265</v>
      </c>
      <c r="G7" s="2272" t="s">
        <v>2266</v>
      </c>
      <c r="H7" s="750"/>
      <c r="I7" s="750"/>
      <c r="J7" s="750"/>
      <c r="K7" s="750"/>
      <c r="L7" s="750"/>
      <c r="M7" s="750"/>
      <c r="N7" s="750"/>
      <c r="O7" s="750"/>
      <c r="P7" s="750"/>
      <c r="Q7" s="750"/>
    </row>
    <row r="8" spans="1:29">
      <c r="A8" s="2246"/>
      <c r="B8" s="314" t="s">
        <v>2263</v>
      </c>
      <c r="C8" s="2269" t="s">
        <v>2264</v>
      </c>
      <c r="D8" s="2243"/>
      <c r="E8" s="2243"/>
      <c r="F8" s="120"/>
      <c r="G8" s="120"/>
      <c r="H8" s="750"/>
      <c r="I8" s="750"/>
      <c r="J8" s="750"/>
      <c r="K8" s="750"/>
      <c r="L8" s="750"/>
      <c r="M8" s="750"/>
      <c r="N8" s="750"/>
      <c r="O8" s="750"/>
      <c r="P8" s="750"/>
      <c r="Q8" s="750"/>
    </row>
    <row r="9" spans="1:29" ht="24">
      <c r="A9" s="2246"/>
      <c r="B9" s="314" t="s">
        <v>2267</v>
      </c>
      <c r="C9" s="2267" t="s">
        <v>2268</v>
      </c>
      <c r="D9" s="2264"/>
      <c r="E9" s="2243"/>
      <c r="F9" s="120"/>
      <c r="G9" s="120"/>
      <c r="H9" s="750"/>
      <c r="I9" s="750"/>
      <c r="J9" s="750"/>
      <c r="K9" s="750"/>
      <c r="L9" s="750"/>
      <c r="M9" s="750"/>
      <c r="N9" s="750"/>
      <c r="O9" s="750"/>
      <c r="P9" s="750"/>
      <c r="Q9" s="750"/>
    </row>
    <row r="10" spans="1:29" ht="15" thickBot="1">
      <c r="A10" s="2247"/>
      <c r="B10" s="2273" t="s">
        <v>2269</v>
      </c>
      <c r="C10" s="2274"/>
      <c r="D10" s="2264"/>
      <c r="E10" s="2264"/>
      <c r="F10" s="120"/>
      <c r="G10" s="120"/>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2287</v>
      </c>
      <c r="B13" s="2278"/>
      <c r="C13" s="2278"/>
      <c r="D13" s="2277"/>
      <c r="E13" s="2278"/>
      <c r="F13" s="2278"/>
      <c r="G13" s="2278"/>
    </row>
    <row r="14" spans="1:29" ht="15" thickBot="1">
      <c r="A14" s="2283"/>
      <c r="B14" s="2283"/>
      <c r="C14" s="2284" t="s">
        <v>2270</v>
      </c>
      <c r="D14" s="2264"/>
      <c r="E14" s="2285"/>
      <c r="F14" s="2285"/>
      <c r="G14" s="2260" t="s">
        <v>2271</v>
      </c>
    </row>
    <row r="15" spans="1:29" ht="51">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8.25">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8.25">
      <c r="A17" s="2250"/>
      <c r="B17" s="2289" t="s">
        <v>2258</v>
      </c>
      <c r="C17" s="2290" t="str">
        <f>C5</f>
        <v>估价对象位于XX商圈，周边办公楼项目较多，入驻率高，办公集聚程度较好</v>
      </c>
      <c r="D17" s="2243"/>
      <c r="E17" s="2251"/>
      <c r="F17" s="2291" t="s">
        <v>2275</v>
      </c>
      <c r="G17" s="2293"/>
    </row>
    <row r="18" spans="1:17" ht="38.25">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5.5">
      <c r="A19" s="2250"/>
      <c r="B19" s="2291" t="s">
        <v>2276</v>
      </c>
      <c r="C19" s="2293"/>
      <c r="D19" s="2264"/>
      <c r="E19" s="2251"/>
      <c r="F19" s="314" t="s">
        <v>2260</v>
      </c>
      <c r="G19" s="2292" t="str">
        <f>G5</f>
        <v>估价对象所在区域公共配套设施齐备情况</v>
      </c>
    </row>
    <row r="20" spans="1:17" ht="25.5">
      <c r="A20" s="2250"/>
      <c r="B20" s="2291" t="s">
        <v>2277</v>
      </c>
      <c r="C20" s="2290" t="str">
        <f>C9</f>
        <v>区域自然环境：；人文环境；综合评价环境状况一般</v>
      </c>
      <c r="D20" s="2243"/>
      <c r="E20" s="2251"/>
      <c r="F20" s="314" t="s">
        <v>2263</v>
      </c>
      <c r="G20" s="2292" t="str">
        <f>G6</f>
        <v>估价对象所在区域基础设施水平</v>
      </c>
    </row>
    <row r="21" spans="1:17" ht="25.5">
      <c r="A21" s="2250"/>
      <c r="B21" s="314" t="s">
        <v>2260</v>
      </c>
      <c r="C21" s="2292" t="str">
        <f>C7</f>
        <v>估价对象所在区域公共配套设施齐备情况</v>
      </c>
      <c r="D21" s="2264"/>
      <c r="E21" s="2251"/>
      <c r="F21" s="2291" t="s">
        <v>2278</v>
      </c>
      <c r="G21" s="2294"/>
    </row>
    <row r="22" spans="1:17" ht="13.5" customHeight="1">
      <c r="A22" s="2250"/>
      <c r="B22" s="314" t="s">
        <v>2263</v>
      </c>
      <c r="C22" s="2292" t="str">
        <f>C8</f>
        <v>估价对象所在区域基础设施水平</v>
      </c>
      <c r="D22" s="2264"/>
      <c r="E22" s="2251"/>
      <c r="F22" s="2291" t="s">
        <v>2269</v>
      </c>
      <c r="G22" s="2293"/>
    </row>
    <row r="23" spans="1:17" s="750" customFormat="1" ht="15" thickBot="1">
      <c r="A23" s="2250"/>
      <c r="B23" s="2291" t="s">
        <v>2278</v>
      </c>
      <c r="C23" s="2294"/>
      <c r="D23" s="1613"/>
      <c r="E23" s="2252"/>
      <c r="F23" s="2295" t="s">
        <v>2279</v>
      </c>
      <c r="G23" s="2296"/>
      <c r="H23" s="2275"/>
      <c r="I23" s="2275"/>
      <c r="J23" s="2275"/>
      <c r="K23" s="2275"/>
      <c r="L23" s="2275"/>
      <c r="M23" s="2275"/>
      <c r="N23" s="2275"/>
      <c r="O23" s="2275"/>
      <c r="P23" s="2275"/>
      <c r="Q23" s="2275"/>
    </row>
    <row r="24" spans="1:17" s="750" customFormat="1" ht="15" thickBot="1">
      <c r="A24" s="2253"/>
      <c r="B24" s="2295" t="s">
        <v>2280</v>
      </c>
      <c r="C24" s="2297">
        <f>C10</f>
        <v>0</v>
      </c>
      <c r="D24" s="1613"/>
      <c r="E24" s="2243"/>
      <c r="F24" s="2243"/>
      <c r="G24" s="2243"/>
      <c r="H24" s="2275"/>
      <c r="I24" s="2275"/>
      <c r="J24" s="2275"/>
      <c r="K24" s="2275"/>
      <c r="L24" s="2275"/>
      <c r="M24" s="2275"/>
      <c r="N24" s="2275"/>
      <c r="O24" s="2275"/>
      <c r="P24" s="2275"/>
      <c r="Q24" s="2275"/>
    </row>
    <row r="25" spans="1:17" s="750" customFormat="1">
      <c r="B25" s="2275"/>
      <c r="C25" s="2275"/>
      <c r="D25" s="2275"/>
      <c r="H25" s="2275"/>
      <c r="I25" s="2275"/>
      <c r="J25" s="2275"/>
      <c r="K25" s="2275"/>
      <c r="L25" s="2275"/>
      <c r="M25" s="2275"/>
      <c r="N25" s="2275"/>
      <c r="O25" s="2275"/>
      <c r="P25" s="2275"/>
      <c r="Q25" s="2275"/>
    </row>
    <row r="26" spans="1:17" s="750" customFormat="1">
      <c r="B26" s="2275"/>
      <c r="C26" s="2275"/>
      <c r="D26" s="2275"/>
      <c r="H26" s="2275"/>
      <c r="I26" s="2275"/>
      <c r="J26" s="2275"/>
      <c r="K26" s="2275"/>
      <c r="L26" s="2275"/>
      <c r="M26" s="2275"/>
      <c r="N26" s="2275"/>
      <c r="O26" s="2275"/>
      <c r="P26" s="2275"/>
      <c r="Q26" s="2275"/>
    </row>
    <row r="27" spans="1:17" s="750" customFormat="1">
      <c r="B27" s="2275"/>
      <c r="C27" s="2275"/>
      <c r="D27" s="2275"/>
      <c r="H27" s="2275"/>
      <c r="I27" s="2275"/>
      <c r="J27" s="2275"/>
      <c r="K27" s="2275"/>
      <c r="L27" s="2275"/>
      <c r="M27" s="2275"/>
      <c r="N27" s="2275"/>
      <c r="O27" s="2275"/>
      <c r="P27" s="2275"/>
      <c r="Q27" s="2275"/>
    </row>
    <row r="28" spans="1:17" s="750" customFormat="1">
      <c r="B28" s="2275"/>
      <c r="C28" s="2275"/>
      <c r="D28" s="2275"/>
      <c r="H28" s="2275"/>
      <c r="I28" s="2275"/>
      <c r="J28" s="2275"/>
      <c r="K28" s="2275"/>
      <c r="L28" s="2275"/>
      <c r="M28" s="2275"/>
      <c r="N28" s="2275"/>
      <c r="O28" s="2275"/>
      <c r="P28" s="2275"/>
      <c r="Q28" s="2275"/>
    </row>
    <row r="29" spans="1:17" s="750" customFormat="1">
      <c r="B29" s="2275"/>
      <c r="C29" s="2275"/>
      <c r="D29" s="2275"/>
      <c r="H29" s="2275"/>
      <c r="I29" s="2275"/>
      <c r="J29" s="2275"/>
      <c r="K29" s="2275"/>
      <c r="L29" s="2275"/>
      <c r="M29" s="2275"/>
      <c r="N29" s="2275"/>
      <c r="O29" s="2275"/>
      <c r="P29" s="2275"/>
      <c r="Q29" s="2275"/>
    </row>
    <row r="30" spans="1:17" s="750" customFormat="1">
      <c r="B30" s="2275"/>
      <c r="C30" s="2275"/>
      <c r="D30" s="2275"/>
      <c r="H30" s="2275"/>
      <c r="I30" s="2275"/>
      <c r="J30" s="2275"/>
      <c r="K30" s="2275"/>
      <c r="L30" s="2275"/>
      <c r="M30" s="2275"/>
      <c r="N30" s="2275"/>
      <c r="O30" s="2275"/>
      <c r="P30" s="2275"/>
      <c r="Q30" s="2275"/>
    </row>
    <row r="31" spans="1:17" s="750" customFormat="1">
      <c r="B31" s="2275"/>
      <c r="C31" s="2275"/>
      <c r="D31" s="2275"/>
      <c r="H31" s="2275"/>
      <c r="I31" s="2275"/>
      <c r="J31" s="2275"/>
      <c r="K31" s="2275"/>
      <c r="L31" s="2275"/>
      <c r="M31" s="2275"/>
      <c r="N31" s="2275"/>
      <c r="O31" s="2275"/>
      <c r="P31" s="2275"/>
      <c r="Q31" s="2275"/>
    </row>
    <row r="32" spans="1:17" s="750" customFormat="1">
      <c r="B32" s="2275"/>
      <c r="C32" s="2275"/>
      <c r="D32" s="2275"/>
      <c r="H32" s="2275"/>
      <c r="I32" s="2275"/>
      <c r="J32" s="2275"/>
      <c r="K32" s="2275"/>
      <c r="L32" s="2275"/>
      <c r="M32" s="2275"/>
      <c r="N32" s="2275"/>
      <c r="O32" s="2275"/>
      <c r="P32" s="2275"/>
      <c r="Q32" s="2275"/>
    </row>
    <row r="33" spans="2:17" s="750" customFormat="1">
      <c r="B33" s="2275"/>
      <c r="C33" s="2275"/>
      <c r="D33" s="2275"/>
      <c r="H33" s="2275"/>
      <c r="I33" s="2275"/>
      <c r="J33" s="2275"/>
      <c r="K33" s="2275"/>
      <c r="L33" s="2275"/>
      <c r="M33" s="2275"/>
      <c r="N33" s="2275"/>
      <c r="O33" s="2275"/>
      <c r="P33" s="2275"/>
      <c r="Q33" s="2275"/>
    </row>
    <row r="34" spans="2:17" s="750" customFormat="1">
      <c r="B34" s="2275"/>
      <c r="C34" s="2275"/>
      <c r="D34" s="2275"/>
      <c r="H34" s="2275"/>
      <c r="I34" s="2275"/>
      <c r="J34" s="2275"/>
      <c r="K34" s="2275"/>
      <c r="L34" s="2275"/>
      <c r="M34" s="2275"/>
      <c r="N34" s="2275"/>
      <c r="O34" s="2275"/>
      <c r="P34" s="2275"/>
      <c r="Q34" s="2275"/>
    </row>
    <row r="35" spans="2:17" s="750" customFormat="1">
      <c r="B35" s="2275"/>
      <c r="C35" s="2275"/>
      <c r="D35" s="2275"/>
      <c r="H35" s="2275"/>
      <c r="I35" s="2275"/>
      <c r="J35" s="2275"/>
      <c r="K35" s="2275"/>
      <c r="L35" s="2275"/>
      <c r="M35" s="2275"/>
      <c r="N35" s="2275"/>
      <c r="O35" s="2275"/>
      <c r="P35" s="2275"/>
      <c r="Q35" s="2275"/>
    </row>
    <row r="36" spans="2:17" s="750" customFormat="1">
      <c r="B36" s="2275"/>
      <c r="C36" s="2275"/>
      <c r="D36" s="2275"/>
      <c r="H36" s="2275"/>
      <c r="I36" s="2275"/>
      <c r="J36" s="2275"/>
      <c r="K36" s="2275"/>
      <c r="L36" s="2275"/>
      <c r="M36" s="2275"/>
      <c r="N36" s="2275"/>
      <c r="O36" s="2275"/>
      <c r="P36" s="2275"/>
      <c r="Q36" s="2275"/>
    </row>
    <row r="37" spans="2:17" s="750" customFormat="1">
      <c r="B37" s="2275"/>
      <c r="C37" s="2275"/>
      <c r="D37" s="2275"/>
      <c r="H37" s="2275"/>
      <c r="I37" s="2275"/>
      <c r="J37" s="2275"/>
      <c r="K37" s="2275"/>
      <c r="L37" s="2275"/>
      <c r="M37" s="2275"/>
      <c r="N37" s="2275"/>
      <c r="O37" s="2275"/>
      <c r="P37" s="2275"/>
      <c r="Q37" s="2275"/>
    </row>
    <row r="38" spans="2:17" s="750" customFormat="1">
      <c r="B38" s="2275"/>
      <c r="C38" s="2275"/>
      <c r="D38" s="2275"/>
      <c r="E38" s="2275"/>
      <c r="F38" s="2275"/>
      <c r="G38" s="2275"/>
      <c r="H38" s="2275"/>
      <c r="I38" s="2275"/>
      <c r="J38" s="2275"/>
      <c r="K38" s="2275"/>
      <c r="L38" s="2275"/>
      <c r="M38" s="2275"/>
      <c r="N38" s="2275"/>
      <c r="O38" s="2275"/>
      <c r="P38" s="2275"/>
      <c r="Q38" s="2275"/>
    </row>
    <row r="39" spans="2:17" s="750" customFormat="1">
      <c r="B39" s="2275"/>
      <c r="C39" s="2275"/>
      <c r="D39" s="2275"/>
      <c r="E39" s="2275"/>
      <c r="F39" s="2275"/>
      <c r="G39" s="2275"/>
      <c r="H39" s="2275"/>
      <c r="I39" s="2275"/>
      <c r="J39" s="2275"/>
      <c r="K39" s="2275"/>
      <c r="L39" s="2275"/>
      <c r="M39" s="2275"/>
      <c r="N39" s="2275"/>
      <c r="O39" s="2275"/>
      <c r="P39" s="2275"/>
      <c r="Q39" s="2275"/>
    </row>
    <row r="40" spans="2:17" s="750" customFormat="1">
      <c r="B40" s="2275"/>
      <c r="C40" s="2275"/>
      <c r="D40" s="2275"/>
      <c r="E40" s="2275"/>
      <c r="F40" s="2275"/>
      <c r="G40" s="2275"/>
      <c r="H40" s="2275"/>
      <c r="I40" s="2275"/>
      <c r="J40" s="2275"/>
      <c r="K40" s="2275"/>
      <c r="L40" s="2275"/>
      <c r="M40" s="2275"/>
      <c r="N40" s="2275"/>
      <c r="O40" s="2275"/>
      <c r="P40" s="2275"/>
      <c r="Q40" s="2275"/>
    </row>
    <row r="41" spans="2:17" s="750" customFormat="1">
      <c r="B41" s="2275"/>
      <c r="C41" s="2275"/>
      <c r="D41" s="2275"/>
      <c r="E41" s="2275"/>
      <c r="F41" s="2275"/>
      <c r="G41" s="2275"/>
      <c r="H41" s="2275"/>
      <c r="I41" s="2275"/>
      <c r="J41" s="2275"/>
      <c r="K41" s="2275"/>
      <c r="L41" s="2275"/>
      <c r="M41" s="2275"/>
      <c r="N41" s="2275"/>
      <c r="O41" s="2275"/>
      <c r="P41" s="2275"/>
      <c r="Q41" s="2275"/>
    </row>
    <row r="42" spans="2:17" s="750" customFormat="1">
      <c r="B42" s="2275"/>
      <c r="C42" s="2275"/>
      <c r="D42" s="2275"/>
      <c r="E42" s="2275"/>
      <c r="F42" s="2275"/>
      <c r="G42" s="2275"/>
      <c r="H42" s="2275"/>
      <c r="I42" s="2275"/>
      <c r="J42" s="2275"/>
      <c r="K42" s="2275"/>
      <c r="L42" s="2275"/>
      <c r="M42" s="2275"/>
      <c r="N42" s="2275"/>
      <c r="O42" s="2275"/>
      <c r="P42" s="2275"/>
      <c r="Q42" s="2275"/>
    </row>
    <row r="43" spans="2:17" s="750" customFormat="1">
      <c r="B43" s="2275"/>
      <c r="C43" s="2275"/>
      <c r="D43" s="2275"/>
      <c r="E43" s="2275"/>
      <c r="F43" s="2275"/>
      <c r="G43" s="2275"/>
      <c r="H43" s="2275"/>
      <c r="I43" s="2275"/>
      <c r="J43" s="2275"/>
      <c r="K43" s="2275"/>
      <c r="L43" s="2275"/>
      <c r="M43" s="2275"/>
      <c r="N43" s="2275"/>
      <c r="O43" s="2275"/>
      <c r="P43" s="2275"/>
      <c r="Q43" s="2275"/>
    </row>
    <row r="44" spans="2:17" s="750" customFormat="1">
      <c r="B44" s="2275"/>
      <c r="C44" s="2275"/>
      <c r="D44" s="2275"/>
      <c r="E44" s="2275"/>
      <c r="F44" s="2275"/>
      <c r="G44" s="2275"/>
      <c r="H44" s="2275"/>
      <c r="I44" s="2275"/>
      <c r="J44" s="2275"/>
      <c r="K44" s="2275"/>
      <c r="L44" s="2275"/>
      <c r="M44" s="2275"/>
      <c r="N44" s="2275"/>
      <c r="O44" s="2275"/>
      <c r="P44" s="2275"/>
      <c r="Q44" s="2275"/>
    </row>
    <row r="45" spans="2:17" s="750" customFormat="1">
      <c r="B45" s="2275"/>
      <c r="C45" s="2275"/>
      <c r="D45" s="2275"/>
      <c r="E45" s="2275"/>
      <c r="F45" s="2275"/>
      <c r="G45" s="2275"/>
      <c r="H45" s="2275"/>
      <c r="I45" s="2275"/>
      <c r="J45" s="2275"/>
      <c r="K45" s="2275"/>
      <c r="L45" s="2275"/>
      <c r="M45" s="2275"/>
      <c r="N45" s="2275"/>
      <c r="O45" s="2275"/>
      <c r="P45" s="2275"/>
      <c r="Q45" s="2275"/>
    </row>
    <row r="46" spans="2:17" s="750" customFormat="1">
      <c r="B46" s="2275"/>
      <c r="C46" s="2275"/>
      <c r="D46" s="2275"/>
      <c r="E46" s="2275"/>
      <c r="F46" s="2275"/>
      <c r="G46" s="2275"/>
      <c r="H46" s="2275"/>
      <c r="I46" s="2275"/>
      <c r="J46" s="2275"/>
      <c r="K46" s="2275"/>
      <c r="L46" s="2275"/>
      <c r="M46" s="2275"/>
      <c r="N46" s="2275"/>
      <c r="O46" s="2275"/>
      <c r="P46" s="2275"/>
      <c r="Q46" s="2275"/>
    </row>
    <row r="47" spans="2:17" s="750" customFormat="1">
      <c r="B47" s="2275"/>
      <c r="C47" s="2275"/>
      <c r="D47" s="2275"/>
      <c r="E47" s="2275"/>
      <c r="F47" s="2275"/>
      <c r="G47" s="2275"/>
      <c r="H47" s="2275"/>
      <c r="I47" s="2275"/>
      <c r="J47" s="2275"/>
      <c r="K47" s="2275"/>
      <c r="L47" s="2275"/>
      <c r="M47" s="2275"/>
      <c r="N47" s="2275"/>
      <c r="O47" s="2275"/>
      <c r="P47" s="2275"/>
      <c r="Q47" s="2275"/>
    </row>
    <row r="48" spans="2:17" s="750" customFormat="1">
      <c r="B48" s="2275"/>
      <c r="C48" s="2275"/>
      <c r="D48" s="2275"/>
      <c r="E48" s="2275"/>
      <c r="F48" s="2275"/>
      <c r="G48" s="2275"/>
      <c r="H48" s="2275"/>
      <c r="I48" s="2275"/>
      <c r="J48" s="2275"/>
      <c r="K48" s="2275"/>
      <c r="L48" s="2275"/>
      <c r="M48" s="2275"/>
      <c r="N48" s="2275"/>
      <c r="O48" s="2275"/>
      <c r="P48" s="2275"/>
      <c r="Q48" s="2275"/>
    </row>
    <row r="49" spans="2:17" s="750" customFormat="1">
      <c r="B49" s="2275"/>
      <c r="C49" s="2275"/>
      <c r="D49" s="2275"/>
      <c r="E49" s="2275"/>
      <c r="F49" s="2275"/>
      <c r="G49" s="2275"/>
      <c r="H49" s="2275"/>
      <c r="I49" s="2275"/>
      <c r="J49" s="2275"/>
      <c r="K49" s="2275"/>
      <c r="L49" s="2275"/>
      <c r="M49" s="2275"/>
      <c r="N49" s="2275"/>
      <c r="O49" s="2275"/>
      <c r="P49" s="2275"/>
      <c r="Q49" s="2275"/>
    </row>
    <row r="50" spans="2:17" s="750" customFormat="1">
      <c r="B50" s="2275"/>
      <c r="C50" s="2275"/>
      <c r="D50" s="2275"/>
      <c r="E50" s="2275"/>
      <c r="F50" s="2275"/>
      <c r="G50" s="2275"/>
      <c r="H50" s="2275"/>
      <c r="I50" s="2275"/>
      <c r="J50" s="2275"/>
      <c r="K50" s="2275"/>
      <c r="L50" s="2275"/>
      <c r="M50" s="2275"/>
      <c r="N50" s="2275"/>
      <c r="O50" s="2275"/>
      <c r="P50" s="2275"/>
      <c r="Q50" s="2275"/>
    </row>
    <row r="51" spans="2:17" s="750" customFormat="1">
      <c r="B51" s="2275"/>
      <c r="C51" s="2275"/>
      <c r="D51" s="2275"/>
      <c r="E51" s="2275"/>
      <c r="F51" s="2275"/>
      <c r="G51" s="2275"/>
      <c r="H51" s="2275"/>
      <c r="I51" s="2275"/>
      <c r="J51" s="2275"/>
      <c r="K51" s="2275"/>
      <c r="L51" s="2275"/>
      <c r="M51" s="2275"/>
      <c r="N51" s="2275"/>
      <c r="O51" s="2275"/>
      <c r="P51" s="2275"/>
      <c r="Q51" s="2275"/>
    </row>
    <row r="52" spans="2:17" s="750" customFormat="1">
      <c r="B52" s="2275"/>
      <c r="C52" s="2275"/>
      <c r="D52" s="2275"/>
      <c r="E52" s="2275"/>
      <c r="F52" s="2275"/>
      <c r="G52" s="2275"/>
      <c r="H52" s="2275"/>
      <c r="I52" s="2275"/>
      <c r="J52" s="2275"/>
      <c r="K52" s="2275"/>
      <c r="L52" s="2275"/>
      <c r="M52" s="2275"/>
      <c r="N52" s="2275"/>
      <c r="O52" s="2275"/>
      <c r="P52" s="2275"/>
      <c r="Q52" s="2275"/>
    </row>
    <row r="53" spans="2:17" s="750" customFormat="1">
      <c r="B53" s="2275"/>
      <c r="C53" s="2275"/>
      <c r="D53" s="2275"/>
      <c r="E53" s="2275"/>
      <c r="F53" s="2275"/>
      <c r="G53" s="2275"/>
      <c r="H53" s="2275"/>
      <c r="I53" s="2275"/>
      <c r="J53" s="2275"/>
      <c r="K53" s="2275"/>
      <c r="L53" s="2275"/>
      <c r="M53" s="2275"/>
      <c r="N53" s="2275"/>
      <c r="O53" s="2275"/>
      <c r="P53" s="2275"/>
      <c r="Q53" s="2275"/>
    </row>
    <row r="54" spans="2:17" s="750" customFormat="1">
      <c r="B54" s="2275"/>
      <c r="C54" s="2275"/>
      <c r="D54" s="2275"/>
      <c r="E54" s="2275"/>
      <c r="F54" s="2275"/>
      <c r="G54" s="2275"/>
      <c r="H54" s="2275"/>
      <c r="I54" s="2275"/>
      <c r="J54" s="2275"/>
      <c r="K54" s="2275"/>
      <c r="L54" s="2275"/>
      <c r="M54" s="2275"/>
      <c r="N54" s="2275"/>
      <c r="O54" s="2275"/>
      <c r="P54" s="2275"/>
      <c r="Q54" s="2275"/>
    </row>
    <row r="55" spans="2:17" s="750" customFormat="1">
      <c r="B55" s="2275"/>
      <c r="C55" s="2275"/>
      <c r="D55" s="2275"/>
      <c r="E55" s="2275"/>
      <c r="F55" s="2275"/>
      <c r="G55" s="2275"/>
      <c r="H55" s="2275"/>
      <c r="I55" s="2275"/>
      <c r="J55" s="2275"/>
      <c r="K55" s="2275"/>
      <c r="L55" s="2275"/>
      <c r="M55" s="2275"/>
      <c r="N55" s="2275"/>
      <c r="O55" s="2275"/>
      <c r="P55" s="2275"/>
      <c r="Q55" s="2275"/>
    </row>
    <row r="56" spans="2:17" s="750" customFormat="1">
      <c r="B56" s="2275"/>
      <c r="C56" s="2275"/>
      <c r="D56" s="2275"/>
      <c r="E56" s="2275"/>
      <c r="F56" s="2275"/>
      <c r="G56" s="2275"/>
      <c r="H56" s="2275"/>
      <c r="I56" s="2275"/>
      <c r="J56" s="2275"/>
      <c r="K56" s="2275"/>
      <c r="L56" s="2275"/>
      <c r="M56" s="2275"/>
      <c r="N56" s="2275"/>
      <c r="O56" s="2275"/>
      <c r="P56" s="2275"/>
      <c r="Q56" s="2275"/>
    </row>
    <row r="57" spans="2:17" s="750" customFormat="1">
      <c r="B57" s="2275"/>
      <c r="C57" s="2275"/>
      <c r="D57" s="2275"/>
      <c r="E57" s="2275"/>
      <c r="F57" s="2275"/>
      <c r="G57" s="2275"/>
      <c r="H57" s="2275"/>
      <c r="I57" s="2275"/>
      <c r="J57" s="2275"/>
      <c r="K57" s="2275"/>
      <c r="L57" s="2275"/>
      <c r="M57" s="2275"/>
      <c r="N57" s="2275"/>
      <c r="O57" s="2275"/>
      <c r="P57" s="2275"/>
      <c r="Q57" s="2275"/>
    </row>
    <row r="58" spans="2:17" s="750" customFormat="1">
      <c r="B58" s="2275"/>
      <c r="C58" s="2275"/>
      <c r="D58" s="2275"/>
      <c r="E58" s="2275"/>
      <c r="F58" s="2275"/>
      <c r="G58" s="2275"/>
      <c r="H58" s="2275"/>
      <c r="I58" s="2275"/>
      <c r="J58" s="2275"/>
      <c r="K58" s="2275"/>
      <c r="L58" s="2275"/>
      <c r="M58" s="2275"/>
      <c r="N58" s="2275"/>
      <c r="O58" s="2275"/>
      <c r="P58" s="2275"/>
      <c r="Q58" s="2275"/>
    </row>
    <row r="59" spans="2:17" s="750" customFormat="1">
      <c r="B59" s="2275"/>
      <c r="C59" s="2275"/>
      <c r="D59" s="2275"/>
      <c r="E59" s="2275"/>
      <c r="F59" s="2275"/>
      <c r="G59" s="2275"/>
      <c r="H59" s="2275"/>
      <c r="I59" s="2275"/>
      <c r="J59" s="2275"/>
      <c r="K59" s="2275"/>
      <c r="L59" s="2275"/>
      <c r="M59" s="2275"/>
      <c r="N59" s="2275"/>
      <c r="O59" s="2275"/>
      <c r="P59" s="2275"/>
      <c r="Q59" s="2275"/>
    </row>
    <row r="60" spans="2:17" s="750" customFormat="1">
      <c r="B60" s="2275"/>
      <c r="C60" s="2275"/>
      <c r="D60" s="2275"/>
      <c r="E60" s="2275"/>
      <c r="F60" s="2275"/>
      <c r="G60" s="2275"/>
      <c r="H60" s="2275"/>
      <c r="I60" s="2275"/>
      <c r="J60" s="2275"/>
      <c r="K60" s="2275"/>
      <c r="L60" s="2275"/>
      <c r="M60" s="2275"/>
      <c r="N60" s="2275"/>
      <c r="O60" s="2275"/>
      <c r="P60" s="2275"/>
      <c r="Q60" s="2275"/>
    </row>
    <row r="61" spans="2:17" s="750" customFormat="1">
      <c r="B61" s="2275"/>
      <c r="C61" s="2275"/>
      <c r="D61" s="2275"/>
      <c r="E61" s="2275"/>
      <c r="F61" s="2275"/>
      <c r="G61" s="2275"/>
      <c r="H61" s="2275"/>
      <c r="I61" s="2275"/>
      <c r="J61" s="2275"/>
      <c r="K61" s="2275"/>
      <c r="L61" s="2275"/>
      <c r="M61" s="2275"/>
      <c r="N61" s="2275"/>
      <c r="O61" s="2275"/>
      <c r="P61" s="2275"/>
      <c r="Q61" s="2275"/>
    </row>
    <row r="62" spans="2:17" s="750" customFormat="1">
      <c r="B62" s="2275"/>
      <c r="C62" s="2275"/>
      <c r="D62" s="2275"/>
      <c r="E62" s="2275"/>
      <c r="F62" s="2275"/>
      <c r="G62" s="2275"/>
      <c r="H62" s="2275"/>
      <c r="I62" s="2275"/>
      <c r="J62" s="2275"/>
      <c r="K62" s="2275"/>
      <c r="L62" s="2275"/>
      <c r="M62" s="2275"/>
      <c r="N62" s="2275"/>
      <c r="O62" s="2275"/>
      <c r="P62" s="2275"/>
      <c r="Q62" s="2275"/>
    </row>
    <row r="63" spans="2:17" s="750" customFormat="1">
      <c r="B63" s="2275"/>
      <c r="C63" s="2275"/>
      <c r="D63" s="2275"/>
      <c r="E63" s="2275"/>
      <c r="F63" s="2275"/>
      <c r="G63" s="2275"/>
      <c r="H63" s="2275"/>
      <c r="I63" s="2275"/>
      <c r="J63" s="2275"/>
      <c r="K63" s="2275"/>
      <c r="L63" s="2275"/>
      <c r="M63" s="2275"/>
      <c r="N63" s="2275"/>
      <c r="O63" s="2275"/>
      <c r="P63" s="2275"/>
      <c r="Q63" s="2275"/>
    </row>
    <row r="64" spans="2:17" s="750" customFormat="1">
      <c r="B64" s="2275"/>
      <c r="C64" s="2275"/>
      <c r="D64" s="2275"/>
      <c r="E64" s="2275"/>
      <c r="F64" s="2275"/>
      <c r="G64" s="2275"/>
      <c r="H64" s="2275"/>
      <c r="I64" s="2275"/>
      <c r="J64" s="2275"/>
      <c r="K64" s="2275"/>
      <c r="L64" s="2275"/>
      <c r="M64" s="2275"/>
      <c r="N64" s="2275"/>
      <c r="O64" s="2275"/>
      <c r="P64" s="2275"/>
      <c r="Q64" s="2275"/>
    </row>
    <row r="65" spans="2:17" s="750" customFormat="1">
      <c r="B65" s="2275"/>
      <c r="C65" s="2275"/>
      <c r="D65" s="2275"/>
      <c r="E65" s="2275"/>
      <c r="F65" s="2275"/>
      <c r="G65" s="2275"/>
      <c r="H65" s="2275"/>
      <c r="I65" s="2275"/>
      <c r="J65" s="2275"/>
      <c r="K65" s="2275"/>
      <c r="L65" s="2275"/>
      <c r="M65" s="2275"/>
      <c r="N65" s="2275"/>
      <c r="O65" s="2275"/>
      <c r="P65" s="2275"/>
      <c r="Q65" s="2275"/>
    </row>
    <row r="66" spans="2:17" s="750" customFormat="1">
      <c r="B66" s="2275"/>
      <c r="C66" s="2275"/>
      <c r="D66" s="2275"/>
      <c r="E66" s="2275"/>
      <c r="F66" s="2275"/>
      <c r="G66" s="2275"/>
      <c r="H66" s="2275"/>
      <c r="I66" s="2275"/>
      <c r="J66" s="2275"/>
      <c r="K66" s="2275"/>
      <c r="L66" s="2275"/>
      <c r="M66" s="2275"/>
      <c r="N66" s="2275"/>
      <c r="O66" s="2275"/>
      <c r="P66" s="2275"/>
      <c r="Q66" s="2275"/>
    </row>
    <row r="67" spans="2:17" s="750" customFormat="1">
      <c r="B67" s="2275"/>
      <c r="C67" s="2275"/>
      <c r="D67" s="2275"/>
      <c r="E67" s="2275"/>
      <c r="F67" s="2275"/>
      <c r="G67" s="2275"/>
      <c r="H67" s="2275"/>
      <c r="I67" s="2275"/>
      <c r="J67" s="2275"/>
      <c r="K67" s="2275"/>
      <c r="L67" s="2275"/>
      <c r="M67" s="2275"/>
      <c r="N67" s="2275"/>
      <c r="O67" s="2275"/>
      <c r="P67" s="2275"/>
      <c r="Q67" s="2275"/>
    </row>
    <row r="68" spans="2:17" s="750" customFormat="1">
      <c r="B68" s="2275"/>
      <c r="C68" s="2275"/>
      <c r="D68" s="2275"/>
      <c r="E68" s="2275"/>
      <c r="F68" s="2275"/>
      <c r="G68" s="2275"/>
      <c r="H68" s="2275"/>
      <c r="I68" s="2275"/>
      <c r="J68" s="2275"/>
      <c r="K68" s="2275"/>
      <c r="L68" s="2275"/>
      <c r="M68" s="2275"/>
      <c r="N68" s="2275"/>
      <c r="O68" s="2275"/>
      <c r="P68" s="2275"/>
      <c r="Q68" s="2275"/>
    </row>
    <row r="69" spans="2:17" s="750" customFormat="1">
      <c r="B69" s="2275"/>
      <c r="C69" s="2275"/>
      <c r="D69" s="2275"/>
      <c r="E69" s="2275"/>
      <c r="F69" s="2275"/>
      <c r="G69" s="2275"/>
      <c r="H69" s="2275"/>
      <c r="I69" s="2275"/>
      <c r="J69" s="2275"/>
      <c r="K69" s="2275"/>
      <c r="L69" s="2275"/>
      <c r="M69" s="2275"/>
      <c r="N69" s="2275"/>
      <c r="O69" s="2275"/>
      <c r="P69" s="2275"/>
      <c r="Q69" s="2275"/>
    </row>
    <row r="70" spans="2:17" s="750" customFormat="1">
      <c r="B70" s="2275"/>
      <c r="C70" s="2275"/>
      <c r="D70" s="2275"/>
      <c r="E70" s="2275"/>
      <c r="F70" s="2275"/>
      <c r="G70" s="2275"/>
      <c r="H70" s="2275"/>
      <c r="I70" s="2275"/>
      <c r="J70" s="2275"/>
      <c r="K70" s="2275"/>
      <c r="L70" s="2275"/>
      <c r="M70" s="2275"/>
      <c r="N70" s="2275"/>
      <c r="O70" s="2275"/>
      <c r="P70" s="2275"/>
      <c r="Q70" s="2275"/>
    </row>
    <row r="71" spans="2:17" s="750" customFormat="1">
      <c r="B71" s="2275"/>
      <c r="C71" s="2275"/>
      <c r="D71" s="2275"/>
      <c r="E71" s="2275"/>
      <c r="F71" s="2275"/>
      <c r="G71" s="2275"/>
      <c r="H71" s="2275"/>
      <c r="I71" s="2275"/>
      <c r="J71" s="2275"/>
      <c r="K71" s="2275"/>
      <c r="L71" s="2275"/>
      <c r="M71" s="2275"/>
      <c r="N71" s="2275"/>
      <c r="O71" s="2275"/>
      <c r="P71" s="2275"/>
      <c r="Q71" s="2275"/>
    </row>
    <row r="72" spans="2:17" s="750" customFormat="1">
      <c r="B72" s="2275"/>
      <c r="C72" s="2275"/>
      <c r="D72" s="2275"/>
      <c r="E72" s="2275"/>
      <c r="F72" s="2275"/>
      <c r="G72" s="2275"/>
      <c r="H72" s="2275"/>
      <c r="I72" s="2275"/>
      <c r="J72" s="2275"/>
      <c r="K72" s="2275"/>
      <c r="L72" s="2275"/>
      <c r="M72" s="2275"/>
      <c r="N72" s="2275"/>
      <c r="O72" s="2275"/>
      <c r="P72" s="2275"/>
      <c r="Q72" s="2275"/>
    </row>
    <row r="73" spans="2:17" s="750" customFormat="1">
      <c r="B73" s="2275"/>
      <c r="C73" s="2275"/>
      <c r="D73" s="2275"/>
      <c r="E73" s="2275"/>
      <c r="F73" s="2275"/>
      <c r="G73" s="2275"/>
      <c r="H73" s="2275"/>
      <c r="I73" s="2275"/>
      <c r="J73" s="2275"/>
      <c r="K73" s="2275"/>
      <c r="L73" s="2275"/>
      <c r="M73" s="2275"/>
      <c r="N73" s="2275"/>
      <c r="O73" s="2275"/>
      <c r="P73" s="2275"/>
      <c r="Q73" s="2275"/>
    </row>
    <row r="74" spans="2:17" s="750" customFormat="1">
      <c r="B74" s="2275"/>
      <c r="C74" s="2275"/>
      <c r="D74" s="2275"/>
      <c r="E74" s="2275"/>
      <c r="F74" s="2275"/>
      <c r="G74" s="2275"/>
      <c r="H74" s="2275"/>
      <c r="I74" s="2275"/>
      <c r="J74" s="2275"/>
      <c r="K74" s="2275"/>
      <c r="L74" s="2275"/>
      <c r="M74" s="2275"/>
      <c r="N74" s="2275"/>
      <c r="O74" s="2275"/>
      <c r="P74" s="2275"/>
      <c r="Q74" s="2275"/>
    </row>
    <row r="75" spans="2:17" s="750" customFormat="1">
      <c r="B75" s="2275"/>
      <c r="C75" s="2275"/>
      <c r="D75" s="2275"/>
      <c r="E75" s="2275"/>
      <c r="F75" s="2275"/>
      <c r="G75" s="2275"/>
      <c r="H75" s="2275"/>
      <c r="I75" s="2275"/>
      <c r="J75" s="2275"/>
      <c r="K75" s="2275"/>
      <c r="L75" s="2275"/>
      <c r="M75" s="2275"/>
      <c r="N75" s="2275"/>
      <c r="O75" s="2275"/>
      <c r="P75" s="2275"/>
      <c r="Q75" s="2275"/>
    </row>
    <row r="76" spans="2:17" s="750" customFormat="1">
      <c r="B76" s="2275"/>
      <c r="C76" s="2275"/>
      <c r="D76" s="2275"/>
      <c r="E76" s="2275"/>
      <c r="F76" s="2275"/>
      <c r="G76" s="2275"/>
      <c r="H76" s="2275"/>
      <c r="I76" s="2275"/>
      <c r="J76" s="2275"/>
      <c r="K76" s="2275"/>
      <c r="L76" s="2275"/>
      <c r="M76" s="2275"/>
      <c r="N76" s="2275"/>
      <c r="O76" s="2275"/>
      <c r="P76" s="2275"/>
      <c r="Q76" s="2275"/>
    </row>
    <row r="77" spans="2:17" s="750" customFormat="1">
      <c r="B77" s="2275"/>
      <c r="C77" s="2275"/>
      <c r="D77" s="2275"/>
      <c r="E77" s="2275"/>
      <c r="F77" s="2275"/>
      <c r="G77" s="2275"/>
      <c r="H77" s="2275"/>
      <c r="I77" s="2275"/>
      <c r="J77" s="2275"/>
      <c r="K77" s="2275"/>
      <c r="L77" s="2275"/>
      <c r="M77" s="2275"/>
      <c r="N77" s="2275"/>
      <c r="O77" s="2275"/>
      <c r="P77" s="2275"/>
      <c r="Q77" s="2275"/>
    </row>
    <row r="78" spans="2:17" s="750" customFormat="1">
      <c r="B78" s="2275"/>
      <c r="C78" s="2275"/>
      <c r="D78" s="2275"/>
      <c r="E78" s="2275"/>
      <c r="F78" s="2275"/>
      <c r="G78" s="2275"/>
      <c r="H78" s="2275"/>
      <c r="I78" s="2275"/>
      <c r="J78" s="2275"/>
      <c r="K78" s="2275"/>
      <c r="L78" s="2275"/>
      <c r="M78" s="2275"/>
      <c r="N78" s="2275"/>
      <c r="O78" s="2275"/>
      <c r="P78" s="2275"/>
      <c r="Q78" s="2275"/>
    </row>
    <row r="79" spans="2:17" s="750" customFormat="1">
      <c r="B79" s="2275"/>
      <c r="C79" s="2275"/>
      <c r="D79" s="2275"/>
      <c r="E79" s="2275"/>
      <c r="F79" s="2275"/>
      <c r="G79" s="2275"/>
      <c r="H79" s="2275"/>
      <c r="I79" s="2275"/>
      <c r="J79" s="2275"/>
      <c r="K79" s="2275"/>
      <c r="L79" s="2275"/>
      <c r="M79" s="2275"/>
      <c r="N79" s="2275"/>
      <c r="O79" s="2275"/>
      <c r="P79" s="2275"/>
      <c r="Q79" s="2275"/>
    </row>
    <row r="80" spans="2:17" s="750" customFormat="1">
      <c r="B80" s="2275"/>
      <c r="C80" s="2275"/>
      <c r="D80" s="2275"/>
      <c r="E80" s="2275"/>
      <c r="F80" s="2275"/>
      <c r="G80" s="2275"/>
      <c r="H80" s="2275"/>
      <c r="I80" s="2275"/>
      <c r="J80" s="2275"/>
      <c r="K80" s="2275"/>
      <c r="L80" s="2275"/>
      <c r="M80" s="2275"/>
      <c r="N80" s="2275"/>
      <c r="O80" s="2275"/>
      <c r="P80" s="2275"/>
      <c r="Q80" s="2275"/>
    </row>
    <row r="81" spans="2:17" s="750" customFormat="1">
      <c r="B81" s="2275"/>
      <c r="C81" s="2275"/>
      <c r="D81" s="2275"/>
      <c r="E81" s="2275"/>
      <c r="F81" s="2275"/>
      <c r="G81" s="2275"/>
      <c r="H81" s="2275"/>
      <c r="I81" s="2275"/>
      <c r="J81" s="2275"/>
      <c r="K81" s="2275"/>
      <c r="L81" s="2275"/>
      <c r="M81" s="2275"/>
      <c r="N81" s="2275"/>
      <c r="O81" s="2275"/>
      <c r="P81" s="2275"/>
      <c r="Q81" s="2275"/>
    </row>
    <row r="82" spans="2:17" s="750" customFormat="1">
      <c r="B82" s="2275"/>
      <c r="C82" s="2275"/>
      <c r="D82" s="2275"/>
      <c r="E82" s="2275"/>
      <c r="F82" s="2275"/>
      <c r="G82" s="2275"/>
      <c r="H82" s="2275"/>
      <c r="I82" s="2275"/>
      <c r="J82" s="2275"/>
      <c r="K82" s="2275"/>
      <c r="L82" s="2275"/>
      <c r="M82" s="2275"/>
      <c r="N82" s="2275"/>
      <c r="O82" s="2275"/>
      <c r="P82" s="2275"/>
      <c r="Q82" s="2275"/>
    </row>
    <row r="83" spans="2:17" s="750" customFormat="1">
      <c r="B83" s="2275"/>
      <c r="C83" s="2275"/>
      <c r="D83" s="2275"/>
      <c r="E83" s="2275"/>
      <c r="F83" s="2275"/>
      <c r="G83" s="2275"/>
      <c r="H83" s="2275"/>
      <c r="I83" s="2275"/>
      <c r="J83" s="2275"/>
      <c r="K83" s="2275"/>
      <c r="L83" s="2275"/>
      <c r="M83" s="2275"/>
      <c r="N83" s="2275"/>
      <c r="O83" s="2275"/>
      <c r="P83" s="2275"/>
      <c r="Q83" s="2275"/>
    </row>
    <row r="84" spans="2:17" s="750" customFormat="1">
      <c r="B84" s="2275"/>
      <c r="C84" s="2275"/>
      <c r="D84" s="2275"/>
      <c r="E84" s="2275"/>
      <c r="F84" s="2275"/>
      <c r="G84" s="2275"/>
      <c r="H84" s="2275"/>
      <c r="I84" s="2275"/>
      <c r="J84" s="2275"/>
      <c r="K84" s="2275"/>
      <c r="L84" s="2275"/>
      <c r="M84" s="2275"/>
      <c r="N84" s="2275"/>
      <c r="O84" s="2275"/>
      <c r="P84" s="2275"/>
      <c r="Q84" s="2275"/>
    </row>
    <row r="85" spans="2:17" s="750" customFormat="1">
      <c r="B85" s="2275"/>
      <c r="C85" s="2275"/>
      <c r="D85" s="2275"/>
      <c r="E85" s="2275"/>
      <c r="F85" s="2275"/>
      <c r="G85" s="2275"/>
      <c r="H85" s="2275"/>
      <c r="I85" s="2275"/>
      <c r="J85" s="2275"/>
      <c r="K85" s="2275"/>
      <c r="L85" s="2275"/>
      <c r="M85" s="2275"/>
      <c r="N85" s="2275"/>
      <c r="O85" s="2275"/>
      <c r="P85" s="2275"/>
      <c r="Q85" s="2275"/>
    </row>
    <row r="86" spans="2:17" s="750" customFormat="1">
      <c r="B86" s="2275"/>
      <c r="C86" s="2275"/>
      <c r="D86" s="2275"/>
      <c r="E86" s="2275"/>
      <c r="F86" s="2275"/>
      <c r="G86" s="2275"/>
      <c r="H86" s="2275"/>
      <c r="I86" s="2275"/>
      <c r="J86" s="2275"/>
      <c r="K86" s="2275"/>
      <c r="L86" s="2275"/>
      <c r="M86" s="2275"/>
      <c r="N86" s="2275"/>
      <c r="O86" s="2275"/>
      <c r="P86" s="2275"/>
      <c r="Q86" s="2275"/>
    </row>
    <row r="87" spans="2:17" s="750" customFormat="1">
      <c r="B87" s="2275"/>
      <c r="C87" s="2275"/>
      <c r="D87" s="2275"/>
      <c r="E87" s="2275"/>
      <c r="F87" s="2275"/>
      <c r="G87" s="2275"/>
      <c r="H87" s="2275"/>
      <c r="I87" s="2275"/>
      <c r="J87" s="2275"/>
      <c r="K87" s="2275"/>
      <c r="L87" s="2275"/>
      <c r="M87" s="2275"/>
      <c r="N87" s="2275"/>
      <c r="O87" s="2275"/>
      <c r="P87" s="2275"/>
      <c r="Q87" s="2275"/>
    </row>
    <row r="88" spans="2:17" s="750" customFormat="1">
      <c r="B88" s="2275"/>
      <c r="C88" s="2275"/>
      <c r="D88" s="2275"/>
      <c r="E88" s="2275"/>
      <c r="F88" s="2275"/>
      <c r="G88" s="2275"/>
      <c r="H88" s="2275"/>
      <c r="I88" s="2275"/>
      <c r="J88" s="2275"/>
      <c r="K88" s="2275"/>
      <c r="L88" s="2275"/>
      <c r="M88" s="2275"/>
      <c r="N88" s="2275"/>
      <c r="O88" s="2275"/>
      <c r="P88" s="2275"/>
      <c r="Q88" s="2275"/>
    </row>
    <row r="89" spans="2:17" s="750" customFormat="1">
      <c r="B89" s="2275"/>
      <c r="C89" s="2275"/>
      <c r="D89" s="2275"/>
      <c r="E89" s="2275"/>
      <c r="F89" s="2275"/>
      <c r="G89" s="2275"/>
      <c r="H89" s="2275"/>
      <c r="I89" s="2275"/>
      <c r="J89" s="2275"/>
      <c r="K89" s="2275"/>
      <c r="L89" s="2275"/>
      <c r="M89" s="2275"/>
      <c r="N89" s="2275"/>
      <c r="O89" s="2275"/>
      <c r="P89" s="2275"/>
      <c r="Q89" s="2275"/>
    </row>
    <row r="90" spans="2:17" s="750" customFormat="1">
      <c r="B90" s="2275"/>
      <c r="C90" s="2275"/>
      <c r="D90" s="2275"/>
      <c r="E90" s="2275"/>
      <c r="F90" s="2275"/>
      <c r="G90" s="2275"/>
      <c r="H90" s="2275"/>
      <c r="I90" s="2275"/>
      <c r="J90" s="2275"/>
      <c r="K90" s="2275"/>
      <c r="L90" s="2275"/>
      <c r="M90" s="2275"/>
      <c r="N90" s="2275"/>
      <c r="O90" s="2275"/>
      <c r="P90" s="2275"/>
      <c r="Q90" s="2275"/>
    </row>
    <row r="91" spans="2:17" s="750" customFormat="1">
      <c r="B91" s="2275"/>
      <c r="C91" s="2275"/>
      <c r="D91" s="2275"/>
      <c r="E91" s="2275"/>
      <c r="F91" s="2275"/>
      <c r="G91" s="2275"/>
      <c r="H91" s="2275"/>
      <c r="I91" s="2275"/>
      <c r="J91" s="2275"/>
      <c r="K91" s="2275"/>
      <c r="L91" s="2275"/>
      <c r="M91" s="2275"/>
      <c r="N91" s="2275"/>
      <c r="O91" s="2275"/>
      <c r="P91" s="2275"/>
      <c r="Q91" s="2275"/>
    </row>
    <row r="92" spans="2:17" s="750" customFormat="1">
      <c r="B92" s="2275"/>
      <c r="C92" s="2275"/>
      <c r="D92" s="2275"/>
      <c r="E92" s="2275"/>
      <c r="F92" s="2275"/>
      <c r="G92" s="2275"/>
      <c r="H92" s="2275"/>
      <c r="I92" s="2275"/>
      <c r="J92" s="2275"/>
      <c r="K92" s="2275"/>
      <c r="L92" s="2275"/>
      <c r="M92" s="2275"/>
      <c r="N92" s="2275"/>
      <c r="O92" s="2275"/>
      <c r="P92" s="2275"/>
      <c r="Q92" s="2275"/>
    </row>
    <row r="93" spans="2:17" s="750" customFormat="1">
      <c r="B93" s="2275"/>
      <c r="C93" s="2275"/>
      <c r="D93" s="2275"/>
      <c r="E93" s="2275"/>
      <c r="F93" s="2275"/>
      <c r="G93" s="2275"/>
      <c r="H93" s="2275"/>
      <c r="I93" s="2275"/>
      <c r="J93" s="2275"/>
      <c r="K93" s="2275"/>
      <c r="L93" s="2275"/>
      <c r="M93" s="2275"/>
      <c r="N93" s="2275"/>
      <c r="O93" s="2275"/>
      <c r="P93" s="2275"/>
      <c r="Q93" s="2275"/>
    </row>
    <row r="94" spans="2:17" s="750" customFormat="1">
      <c r="B94" s="2275"/>
      <c r="C94" s="2275"/>
      <c r="D94" s="2275"/>
      <c r="E94" s="2275"/>
      <c r="F94" s="2275"/>
      <c r="G94" s="2275"/>
      <c r="H94" s="2275"/>
      <c r="I94" s="2275"/>
      <c r="J94" s="2275"/>
      <c r="K94" s="2275"/>
      <c r="L94" s="2275"/>
      <c r="M94" s="2275"/>
      <c r="N94" s="2275"/>
      <c r="O94" s="2275"/>
      <c r="P94" s="2275"/>
      <c r="Q94" s="2275"/>
    </row>
    <row r="95" spans="2:17" s="750" customFormat="1">
      <c r="B95" s="2275"/>
      <c r="C95" s="2275"/>
      <c r="D95" s="2275"/>
      <c r="E95" s="2275"/>
      <c r="F95" s="2275"/>
      <c r="G95" s="2275"/>
      <c r="H95" s="2275"/>
      <c r="I95" s="2275"/>
      <c r="J95" s="2275"/>
      <c r="K95" s="2275"/>
      <c r="L95" s="2275"/>
      <c r="M95" s="2275"/>
      <c r="N95" s="2275"/>
      <c r="O95" s="2275"/>
      <c r="P95" s="2275"/>
      <c r="Q95" s="2275"/>
    </row>
    <row r="96" spans="2:17" s="750" customFormat="1">
      <c r="B96" s="2275"/>
      <c r="C96" s="2275"/>
      <c r="D96" s="2275"/>
      <c r="E96" s="2275"/>
      <c r="F96" s="2275"/>
      <c r="G96" s="2275"/>
      <c r="H96" s="2275"/>
      <c r="I96" s="2275"/>
      <c r="J96" s="2275"/>
      <c r="K96" s="2275"/>
      <c r="L96" s="2275"/>
      <c r="M96" s="2275"/>
      <c r="N96" s="2275"/>
      <c r="O96" s="2275"/>
      <c r="P96" s="2275"/>
      <c r="Q96" s="2275"/>
    </row>
    <row r="97" spans="2:17" s="750" customFormat="1">
      <c r="B97" s="2275"/>
      <c r="C97" s="2275"/>
      <c r="D97" s="2275"/>
      <c r="E97" s="2275"/>
      <c r="F97" s="2275"/>
      <c r="G97" s="2275"/>
      <c r="H97" s="2275"/>
      <c r="I97" s="2275"/>
      <c r="J97" s="2275"/>
      <c r="K97" s="2275"/>
      <c r="L97" s="2275"/>
      <c r="M97" s="2275"/>
      <c r="N97" s="2275"/>
      <c r="O97" s="2275"/>
      <c r="P97" s="2275"/>
      <c r="Q97" s="2275"/>
    </row>
    <row r="98" spans="2:17" s="750" customFormat="1">
      <c r="B98" s="2275"/>
      <c r="C98" s="2275"/>
      <c r="D98" s="2275"/>
      <c r="E98" s="2275"/>
      <c r="F98" s="2275"/>
      <c r="G98" s="2275"/>
      <c r="H98" s="2275"/>
      <c r="I98" s="2275"/>
      <c r="J98" s="2275"/>
      <c r="K98" s="2275"/>
      <c r="L98" s="2275"/>
      <c r="M98" s="2275"/>
      <c r="N98" s="2275"/>
      <c r="O98" s="2275"/>
      <c r="P98" s="2275"/>
      <c r="Q98" s="2275"/>
    </row>
    <row r="99" spans="2:17" s="750" customFormat="1">
      <c r="B99" s="2275"/>
      <c r="C99" s="2275"/>
      <c r="D99" s="2275"/>
      <c r="E99" s="2275"/>
      <c r="F99" s="2275"/>
      <c r="G99" s="2275"/>
      <c r="H99" s="2275"/>
      <c r="I99" s="2275"/>
      <c r="J99" s="2275"/>
      <c r="K99" s="2275"/>
      <c r="L99" s="2275"/>
      <c r="M99" s="2275"/>
      <c r="N99" s="2275"/>
      <c r="O99" s="2275"/>
      <c r="P99" s="2275"/>
      <c r="Q99" s="2275"/>
    </row>
    <row r="100" spans="2:17" s="750" customFormat="1">
      <c r="B100" s="2275"/>
      <c r="C100" s="2275"/>
      <c r="D100" s="2275"/>
      <c r="E100" s="2275"/>
      <c r="F100" s="2275"/>
      <c r="G100" s="2275"/>
      <c r="H100" s="2275"/>
      <c r="I100" s="2275"/>
      <c r="J100" s="2275"/>
      <c r="K100" s="2275"/>
      <c r="L100" s="2275"/>
      <c r="M100" s="2275"/>
      <c r="N100" s="2275"/>
      <c r="O100" s="2275"/>
      <c r="P100" s="2275"/>
      <c r="Q100" s="2275"/>
    </row>
    <row r="101" spans="2:17" s="750" customFormat="1">
      <c r="B101" s="2275"/>
      <c r="C101" s="2275"/>
      <c r="D101" s="2275"/>
      <c r="E101" s="2275"/>
      <c r="F101" s="2275"/>
      <c r="G101" s="2275"/>
      <c r="H101" s="2275"/>
      <c r="I101" s="2275"/>
      <c r="J101" s="2275"/>
      <c r="K101" s="2275"/>
      <c r="L101" s="2275"/>
      <c r="M101" s="2275"/>
      <c r="N101" s="2275"/>
      <c r="O101" s="2275"/>
      <c r="P101" s="2275"/>
      <c r="Q101" s="2275"/>
    </row>
    <row r="102" spans="2:17" s="750" customFormat="1">
      <c r="B102" s="2275"/>
      <c r="C102" s="2275"/>
      <c r="D102" s="2275"/>
      <c r="E102" s="2275"/>
      <c r="F102" s="2275"/>
      <c r="G102" s="2275"/>
      <c r="H102" s="2275"/>
      <c r="I102" s="2275"/>
      <c r="J102" s="2275"/>
      <c r="K102" s="2275"/>
      <c r="L102" s="2275"/>
      <c r="M102" s="2275"/>
      <c r="N102" s="2275"/>
      <c r="O102" s="2275"/>
      <c r="P102" s="2275"/>
      <c r="Q102" s="2275"/>
    </row>
    <row r="103" spans="2:17" s="750" customFormat="1">
      <c r="B103" s="2275"/>
      <c r="C103" s="2275"/>
      <c r="D103" s="2275"/>
      <c r="E103" s="2275"/>
      <c r="F103" s="2275"/>
      <c r="G103" s="2275"/>
      <c r="H103" s="2275"/>
      <c r="I103" s="2275"/>
      <c r="J103" s="2275"/>
      <c r="K103" s="2275"/>
      <c r="L103" s="2275"/>
      <c r="M103" s="2275"/>
      <c r="N103" s="2275"/>
      <c r="O103" s="2275"/>
      <c r="P103" s="2275"/>
      <c r="Q103" s="2275"/>
    </row>
    <row r="104" spans="2:17" s="750" customFormat="1">
      <c r="B104" s="2275"/>
      <c r="C104" s="2275"/>
      <c r="D104" s="2275"/>
      <c r="E104" s="2275"/>
      <c r="F104" s="2275"/>
      <c r="G104" s="2275"/>
      <c r="H104" s="2275"/>
      <c r="I104" s="2275"/>
      <c r="J104" s="2275"/>
      <c r="K104" s="2275"/>
      <c r="L104" s="2275"/>
      <c r="M104" s="2275"/>
      <c r="N104" s="2275"/>
      <c r="O104" s="2275"/>
      <c r="P104" s="2275"/>
      <c r="Q104" s="2275"/>
    </row>
    <row r="105" spans="2:17" s="750" customFormat="1">
      <c r="B105" s="2275"/>
      <c r="C105" s="2275"/>
      <c r="D105" s="2275"/>
      <c r="E105" s="2275"/>
      <c r="F105" s="2275"/>
      <c r="G105" s="2275"/>
      <c r="H105" s="2275"/>
      <c r="I105" s="2275"/>
      <c r="J105" s="2275"/>
      <c r="K105" s="2275"/>
      <c r="L105" s="2275"/>
      <c r="M105" s="2275"/>
      <c r="N105" s="2275"/>
      <c r="O105" s="2275"/>
      <c r="P105" s="2275"/>
      <c r="Q105" s="2275"/>
    </row>
    <row r="106" spans="2:17" s="750" customFormat="1">
      <c r="B106" s="2275"/>
      <c r="C106" s="2275"/>
      <c r="D106" s="2275"/>
      <c r="E106" s="2275"/>
      <c r="F106" s="2275"/>
      <c r="G106" s="2275"/>
      <c r="H106" s="2275"/>
      <c r="I106" s="2275"/>
      <c r="J106" s="2275"/>
      <c r="K106" s="2275"/>
      <c r="L106" s="2275"/>
      <c r="M106" s="2275"/>
      <c r="N106" s="2275"/>
      <c r="O106" s="2275"/>
      <c r="P106" s="2275"/>
      <c r="Q106" s="2275"/>
    </row>
    <row r="107" spans="2:17" s="750" customFormat="1">
      <c r="B107" s="2275"/>
      <c r="C107" s="2275"/>
      <c r="D107" s="2275"/>
      <c r="E107" s="2275"/>
      <c r="F107" s="2275"/>
      <c r="G107" s="2275"/>
      <c r="H107" s="2275"/>
      <c r="I107" s="2275"/>
      <c r="J107" s="2275"/>
      <c r="K107" s="2275"/>
      <c r="L107" s="2275"/>
      <c r="M107" s="2275"/>
      <c r="N107" s="2275"/>
      <c r="O107" s="2275"/>
      <c r="P107" s="2275"/>
      <c r="Q107" s="2275"/>
    </row>
    <row r="108" spans="2:17" s="750" customFormat="1">
      <c r="B108" s="2275"/>
      <c r="C108" s="2275"/>
      <c r="D108" s="2275"/>
      <c r="E108" s="2275"/>
      <c r="F108" s="2275"/>
      <c r="G108" s="2275"/>
      <c r="H108" s="2275"/>
      <c r="I108" s="2275"/>
      <c r="J108" s="2275"/>
      <c r="K108" s="2275"/>
      <c r="L108" s="2275"/>
      <c r="M108" s="2275"/>
      <c r="N108" s="2275"/>
      <c r="O108" s="2275"/>
      <c r="P108" s="2275"/>
      <c r="Q108" s="2275"/>
    </row>
    <row r="109" spans="2:17" s="750" customFormat="1">
      <c r="B109" s="2275"/>
      <c r="C109" s="2275"/>
      <c r="D109" s="2275"/>
      <c r="E109" s="2275"/>
      <c r="F109" s="2275"/>
      <c r="G109" s="2275"/>
      <c r="H109" s="2275"/>
      <c r="I109" s="2275"/>
      <c r="J109" s="2275"/>
      <c r="K109" s="2275"/>
      <c r="L109" s="2275"/>
      <c r="M109" s="2275"/>
      <c r="N109" s="2275"/>
      <c r="O109" s="2275"/>
      <c r="P109" s="2275"/>
      <c r="Q109" s="2275"/>
    </row>
    <row r="110" spans="2:17" s="750" customFormat="1">
      <c r="B110" s="2275"/>
      <c r="C110" s="2275"/>
      <c r="D110" s="2275"/>
      <c r="E110" s="2275"/>
      <c r="F110" s="2275"/>
      <c r="G110" s="2275"/>
      <c r="H110" s="2275"/>
      <c r="I110" s="2275"/>
      <c r="J110" s="2275"/>
      <c r="K110" s="2275"/>
      <c r="L110" s="2275"/>
      <c r="M110" s="2275"/>
      <c r="N110" s="2275"/>
      <c r="O110" s="2275"/>
      <c r="P110" s="2275"/>
      <c r="Q110" s="2275"/>
    </row>
    <row r="111" spans="2:17" s="750" customFormat="1">
      <c r="B111" s="2275"/>
      <c r="C111" s="2275"/>
      <c r="D111" s="2275"/>
      <c r="E111" s="2275"/>
      <c r="F111" s="2275"/>
      <c r="G111" s="2275"/>
      <c r="H111" s="2275"/>
      <c r="I111" s="2275"/>
      <c r="J111" s="2275"/>
      <c r="K111" s="2275"/>
      <c r="L111" s="2275"/>
      <c r="M111" s="2275"/>
      <c r="N111" s="2275"/>
      <c r="O111" s="2275"/>
      <c r="P111" s="2275"/>
      <c r="Q111" s="2275"/>
    </row>
    <row r="112" spans="2:17" s="750" customFormat="1">
      <c r="B112" s="2275"/>
      <c r="C112" s="2275"/>
      <c r="D112" s="2275"/>
      <c r="E112" s="2275"/>
      <c r="F112" s="2275"/>
      <c r="G112" s="2275"/>
      <c r="H112" s="2275"/>
      <c r="I112" s="2275"/>
      <c r="J112" s="2275"/>
      <c r="K112" s="2275"/>
      <c r="L112" s="2275"/>
      <c r="M112" s="2275"/>
      <c r="N112" s="2275"/>
      <c r="O112" s="2275"/>
      <c r="P112" s="2275"/>
      <c r="Q112" s="2275"/>
    </row>
    <row r="113" spans="2:17" s="750" customFormat="1">
      <c r="B113" s="2275"/>
      <c r="C113" s="2275"/>
      <c r="D113" s="2275"/>
      <c r="E113" s="2275"/>
      <c r="F113" s="2275"/>
      <c r="G113" s="2275"/>
      <c r="H113" s="2275"/>
      <c r="I113" s="2275"/>
      <c r="J113" s="2275"/>
      <c r="K113" s="2275"/>
      <c r="L113" s="2275"/>
      <c r="M113" s="2275"/>
      <c r="N113" s="2275"/>
      <c r="O113" s="2275"/>
      <c r="P113" s="2275"/>
      <c r="Q113" s="2275"/>
    </row>
    <row r="114" spans="2:17" s="750" customFormat="1">
      <c r="B114" s="2275"/>
      <c r="C114" s="2275"/>
      <c r="D114" s="2275"/>
      <c r="E114" s="2275"/>
      <c r="F114" s="2275"/>
      <c r="G114" s="2275"/>
      <c r="H114" s="2275"/>
      <c r="I114" s="2275"/>
      <c r="J114" s="2275"/>
      <c r="K114" s="2275"/>
      <c r="L114" s="2275"/>
      <c r="M114" s="2275"/>
      <c r="N114" s="2275"/>
      <c r="O114" s="2275"/>
      <c r="P114" s="2275"/>
      <c r="Q114" s="2275"/>
    </row>
    <row r="115" spans="2:17" s="750" customFormat="1">
      <c r="B115" s="2275"/>
      <c r="C115" s="2275"/>
      <c r="D115" s="2275"/>
      <c r="E115" s="2275"/>
      <c r="F115" s="2275"/>
      <c r="G115" s="2275"/>
      <c r="H115" s="2275"/>
      <c r="I115" s="2275"/>
      <c r="J115" s="2275"/>
      <c r="K115" s="2275"/>
      <c r="L115" s="2275"/>
      <c r="M115" s="2275"/>
      <c r="N115" s="2275"/>
      <c r="O115" s="2275"/>
      <c r="P115" s="2275"/>
      <c r="Q115" s="2275"/>
    </row>
    <row r="116" spans="2:17" s="750" customFormat="1">
      <c r="B116" s="2275"/>
      <c r="C116" s="2275"/>
      <c r="D116" s="2275"/>
      <c r="E116" s="2275"/>
      <c r="F116" s="2275"/>
      <c r="G116" s="2275"/>
      <c r="H116" s="2275"/>
      <c r="I116" s="2275"/>
      <c r="J116" s="2275"/>
      <c r="K116" s="2275"/>
      <c r="L116" s="2275"/>
      <c r="M116" s="2275"/>
      <c r="N116" s="2275"/>
      <c r="O116" s="2275"/>
      <c r="P116" s="2275"/>
      <c r="Q116" s="2275"/>
    </row>
    <row r="117" spans="2:17" s="750" customFormat="1">
      <c r="B117" s="2275"/>
      <c r="C117" s="2275"/>
      <c r="D117" s="2275"/>
      <c r="E117" s="2275"/>
      <c r="F117" s="2275"/>
      <c r="G117" s="2275"/>
      <c r="H117" s="2275"/>
      <c r="I117" s="2275"/>
      <c r="J117" s="2275"/>
      <c r="K117" s="2275"/>
      <c r="L117" s="2275"/>
      <c r="M117" s="2275"/>
      <c r="N117" s="2275"/>
      <c r="O117" s="2275"/>
      <c r="P117" s="2275"/>
      <c r="Q117" s="2275"/>
    </row>
    <row r="118" spans="2:17" s="750" customFormat="1">
      <c r="B118" s="2275"/>
      <c r="C118" s="2275"/>
      <c r="D118" s="2275"/>
      <c r="E118" s="2275"/>
      <c r="F118" s="2275"/>
      <c r="G118" s="2275"/>
      <c r="H118" s="2275"/>
      <c r="I118" s="2275"/>
      <c r="J118" s="2275"/>
      <c r="K118" s="2275"/>
      <c r="L118" s="2275"/>
      <c r="M118" s="2275"/>
      <c r="N118" s="2275"/>
      <c r="O118" s="2275"/>
      <c r="P118" s="2275"/>
      <c r="Q118" s="2275"/>
    </row>
    <row r="119" spans="2:17" s="750" customFormat="1">
      <c r="B119" s="2275"/>
      <c r="C119" s="2275"/>
      <c r="D119" s="2275"/>
      <c r="E119" s="2275"/>
      <c r="F119" s="2275"/>
      <c r="G119" s="2275"/>
      <c r="H119" s="2275"/>
      <c r="I119" s="2275"/>
      <c r="J119" s="2275"/>
      <c r="K119" s="2275"/>
      <c r="L119" s="2275"/>
      <c r="M119" s="2275"/>
      <c r="N119" s="2275"/>
      <c r="O119" s="2275"/>
      <c r="P119" s="2275"/>
      <c r="Q119" s="2275"/>
    </row>
    <row r="120" spans="2:17" s="750" customFormat="1">
      <c r="B120" s="2275"/>
      <c r="C120" s="2275"/>
      <c r="D120" s="2275"/>
      <c r="E120" s="2275"/>
      <c r="F120" s="2275"/>
      <c r="G120" s="2275"/>
      <c r="H120" s="2275"/>
      <c r="I120" s="2275"/>
      <c r="J120" s="2275"/>
      <c r="K120" s="2275"/>
      <c r="L120" s="2275"/>
      <c r="M120" s="2275"/>
      <c r="N120" s="2275"/>
      <c r="O120" s="2275"/>
      <c r="P120" s="2275"/>
      <c r="Q120" s="2275"/>
    </row>
    <row r="121" spans="2:17" s="750" customFormat="1">
      <c r="B121" s="2275"/>
      <c r="C121" s="2275"/>
      <c r="D121" s="2275"/>
      <c r="E121" s="2275"/>
      <c r="F121" s="2275"/>
      <c r="G121" s="2275"/>
      <c r="H121" s="2275"/>
      <c r="I121" s="2275"/>
      <c r="J121" s="2275"/>
      <c r="K121" s="2275"/>
      <c r="L121" s="2275"/>
      <c r="M121" s="2275"/>
      <c r="N121" s="2275"/>
      <c r="O121" s="2275"/>
      <c r="P121" s="2275"/>
      <c r="Q121" s="2275"/>
    </row>
    <row r="122" spans="2:17" s="750" customFormat="1">
      <c r="B122" s="2275"/>
      <c r="C122" s="2275"/>
      <c r="D122" s="2275"/>
      <c r="E122" s="2275"/>
      <c r="F122" s="2275"/>
      <c r="G122" s="2275"/>
      <c r="H122" s="2275"/>
      <c r="I122" s="2275"/>
      <c r="J122" s="2275"/>
      <c r="K122" s="2275"/>
      <c r="L122" s="2275"/>
      <c r="M122" s="2275"/>
      <c r="N122" s="2275"/>
      <c r="O122" s="2275"/>
      <c r="P122" s="2275"/>
      <c r="Q122" s="2275"/>
    </row>
    <row r="123" spans="2:17" s="750" customFormat="1">
      <c r="B123" s="2275"/>
      <c r="C123" s="2275"/>
      <c r="D123" s="2275"/>
      <c r="E123" s="2275"/>
      <c r="F123" s="2275"/>
      <c r="G123" s="2275"/>
      <c r="H123" s="2275"/>
      <c r="I123" s="2275"/>
      <c r="J123" s="2275"/>
      <c r="K123" s="2275"/>
      <c r="L123" s="2275"/>
      <c r="M123" s="2275"/>
      <c r="N123" s="2275"/>
      <c r="O123" s="2275"/>
      <c r="P123" s="2275"/>
      <c r="Q123" s="2275"/>
    </row>
    <row r="124" spans="2:17" s="750" customFormat="1">
      <c r="B124" s="2275"/>
      <c r="C124" s="2275"/>
      <c r="D124" s="2275"/>
      <c r="E124" s="2275"/>
      <c r="F124" s="2275"/>
      <c r="G124" s="2275"/>
      <c r="H124" s="2275"/>
      <c r="I124" s="2275"/>
      <c r="J124" s="2275"/>
      <c r="K124" s="2275"/>
      <c r="L124" s="2275"/>
      <c r="M124" s="2275"/>
      <c r="N124" s="2275"/>
      <c r="O124" s="2275"/>
      <c r="P124" s="2275"/>
      <c r="Q124" s="2275"/>
    </row>
    <row r="125" spans="2:17" s="750" customFormat="1">
      <c r="B125" s="2275"/>
      <c r="C125" s="2275"/>
      <c r="D125" s="2275"/>
      <c r="E125" s="2275"/>
      <c r="F125" s="2275"/>
      <c r="G125" s="2275"/>
      <c r="H125" s="2275"/>
      <c r="I125" s="2275"/>
      <c r="J125" s="2275"/>
      <c r="K125" s="2275"/>
      <c r="L125" s="2275"/>
      <c r="M125" s="2275"/>
      <c r="N125" s="2275"/>
      <c r="O125" s="2275"/>
      <c r="P125" s="2275"/>
      <c r="Q125" s="2275"/>
    </row>
    <row r="126" spans="2:17" s="750" customFormat="1">
      <c r="B126" s="2275"/>
      <c r="C126" s="2275"/>
      <c r="D126" s="2275"/>
      <c r="E126" s="2275"/>
      <c r="F126" s="2275"/>
      <c r="G126" s="2275"/>
      <c r="H126" s="2275"/>
      <c r="I126" s="2275"/>
      <c r="J126" s="2275"/>
      <c r="K126" s="2275"/>
      <c r="L126" s="2275"/>
      <c r="M126" s="2275"/>
      <c r="N126" s="2275"/>
      <c r="O126" s="2275"/>
      <c r="P126" s="2275"/>
      <c r="Q126" s="2275"/>
    </row>
    <row r="127" spans="2:17" s="750" customFormat="1">
      <c r="B127" s="2275"/>
      <c r="C127" s="2275"/>
      <c r="D127" s="2275"/>
      <c r="E127" s="2275"/>
      <c r="F127" s="2275"/>
      <c r="G127" s="2275"/>
      <c r="H127" s="2275"/>
      <c r="I127" s="2275"/>
      <c r="J127" s="2275"/>
      <c r="K127" s="2275"/>
      <c r="L127" s="2275"/>
      <c r="M127" s="2275"/>
      <c r="N127" s="2275"/>
      <c r="O127" s="2275"/>
      <c r="P127" s="2275"/>
      <c r="Q127" s="2275"/>
    </row>
    <row r="128" spans="2:17" s="750" customFormat="1">
      <c r="B128" s="2275"/>
      <c r="C128" s="2275"/>
      <c r="D128" s="2275"/>
      <c r="E128" s="2275"/>
      <c r="F128" s="2275"/>
      <c r="G128" s="2275"/>
      <c r="H128" s="2275"/>
      <c r="I128" s="2275"/>
      <c r="J128" s="2275"/>
      <c r="K128" s="2275"/>
      <c r="L128" s="2275"/>
      <c r="M128" s="2275"/>
      <c r="N128" s="2275"/>
      <c r="O128" s="2275"/>
      <c r="P128" s="2275"/>
      <c r="Q128" s="2275"/>
    </row>
    <row r="129" spans="2:17" s="750" customFormat="1">
      <c r="B129" s="2275"/>
      <c r="C129" s="2275"/>
      <c r="D129" s="2275"/>
      <c r="E129" s="2275"/>
      <c r="F129" s="2275"/>
      <c r="G129" s="2275"/>
      <c r="H129" s="2275"/>
      <c r="I129" s="2275"/>
      <c r="J129" s="2275"/>
      <c r="K129" s="2275"/>
      <c r="L129" s="2275"/>
      <c r="M129" s="2275"/>
      <c r="N129" s="2275"/>
      <c r="O129" s="2275"/>
      <c r="P129" s="2275"/>
      <c r="Q129" s="2275"/>
    </row>
    <row r="130" spans="2:17" s="750" customFormat="1">
      <c r="B130" s="2275"/>
      <c r="C130" s="2275"/>
      <c r="D130" s="2275"/>
      <c r="E130" s="2275"/>
      <c r="F130" s="2275"/>
      <c r="G130" s="2275"/>
      <c r="H130" s="2275"/>
      <c r="I130" s="2275"/>
      <c r="J130" s="2275"/>
      <c r="K130" s="2275"/>
      <c r="L130" s="2275"/>
      <c r="M130" s="2275"/>
      <c r="N130" s="2275"/>
      <c r="O130" s="2275"/>
      <c r="P130" s="2275"/>
      <c r="Q130" s="2275"/>
    </row>
    <row r="131" spans="2:17" s="750" customFormat="1">
      <c r="B131" s="2275"/>
      <c r="C131" s="2275"/>
      <c r="D131" s="2275"/>
      <c r="E131" s="2275"/>
      <c r="F131" s="2275"/>
      <c r="G131" s="2275"/>
      <c r="H131" s="2275"/>
      <c r="I131" s="2275"/>
      <c r="J131" s="2275"/>
      <c r="K131" s="2275"/>
      <c r="L131" s="2275"/>
      <c r="M131" s="2275"/>
      <c r="N131" s="2275"/>
      <c r="O131" s="2275"/>
      <c r="P131" s="2275"/>
      <c r="Q131" s="2275"/>
    </row>
    <row r="132" spans="2:17" s="750" customFormat="1">
      <c r="B132" s="2275"/>
      <c r="C132" s="2275"/>
      <c r="D132" s="2275"/>
      <c r="E132" s="2275"/>
      <c r="F132" s="2275"/>
      <c r="G132" s="2275"/>
      <c r="H132" s="2275"/>
      <c r="I132" s="2275"/>
      <c r="J132" s="2275"/>
      <c r="K132" s="2275"/>
      <c r="L132" s="2275"/>
      <c r="M132" s="2275"/>
      <c r="N132" s="2275"/>
      <c r="O132" s="2275"/>
      <c r="P132" s="2275"/>
      <c r="Q132" s="2275"/>
    </row>
    <row r="133" spans="2:17" s="750" customFormat="1">
      <c r="B133" s="2275"/>
      <c r="C133" s="2275"/>
      <c r="D133" s="2275"/>
      <c r="E133" s="2275"/>
      <c r="F133" s="2275"/>
      <c r="G133" s="2275"/>
      <c r="H133" s="2275"/>
      <c r="I133" s="2275"/>
      <c r="J133" s="2275"/>
      <c r="K133" s="2275"/>
      <c r="L133" s="2275"/>
      <c r="M133" s="2275"/>
      <c r="N133" s="2275"/>
      <c r="O133" s="2275"/>
      <c r="P133" s="2275"/>
      <c r="Q133" s="2275"/>
    </row>
    <row r="134" spans="2:17" s="750" customFormat="1">
      <c r="B134" s="2275"/>
      <c r="C134" s="2275"/>
      <c r="D134" s="2275"/>
      <c r="E134" s="2275"/>
      <c r="F134" s="2275"/>
      <c r="G134" s="2275"/>
      <c r="H134" s="2275"/>
      <c r="I134" s="2275"/>
      <c r="J134" s="2275"/>
      <c r="K134" s="2275"/>
      <c r="L134" s="2275"/>
      <c r="M134" s="2275"/>
      <c r="N134" s="2275"/>
      <c r="O134" s="2275"/>
      <c r="P134" s="2275"/>
      <c r="Q134" s="2275"/>
    </row>
    <row r="135" spans="2:17" s="750" customFormat="1">
      <c r="B135" s="2275"/>
      <c r="C135" s="2275"/>
      <c r="D135" s="2275"/>
      <c r="E135" s="2275"/>
      <c r="F135" s="2275"/>
      <c r="G135" s="2275"/>
      <c r="H135" s="2275"/>
      <c r="I135" s="2275"/>
      <c r="J135" s="2275"/>
      <c r="K135" s="2275"/>
      <c r="L135" s="2275"/>
      <c r="M135" s="2275"/>
      <c r="N135" s="2275"/>
      <c r="O135" s="2275"/>
      <c r="P135" s="2275"/>
      <c r="Q135" s="2275"/>
    </row>
    <row r="136" spans="2:17" s="750" customFormat="1">
      <c r="B136" s="2275"/>
      <c r="C136" s="2275"/>
      <c r="D136" s="2275"/>
      <c r="E136" s="2275"/>
      <c r="F136" s="2275"/>
      <c r="G136" s="2275"/>
      <c r="H136" s="2275"/>
      <c r="I136" s="2275"/>
      <c r="J136" s="2275"/>
      <c r="K136" s="2275"/>
      <c r="L136" s="2275"/>
      <c r="M136" s="2275"/>
      <c r="N136" s="2275"/>
      <c r="O136" s="2275"/>
      <c r="P136" s="2275"/>
      <c r="Q136" s="2275"/>
    </row>
    <row r="137" spans="2:17" s="750" customFormat="1">
      <c r="B137" s="2275"/>
      <c r="C137" s="2275"/>
      <c r="D137" s="2275"/>
      <c r="E137" s="2275"/>
      <c r="F137" s="2275"/>
      <c r="G137" s="2275"/>
      <c r="H137" s="2275"/>
      <c r="I137" s="2275"/>
      <c r="J137" s="2275"/>
      <c r="K137" s="2275"/>
      <c r="L137" s="2275"/>
      <c r="M137" s="2275"/>
      <c r="N137" s="2275"/>
      <c r="O137" s="2275"/>
      <c r="P137" s="2275"/>
      <c r="Q137" s="2275"/>
    </row>
    <row r="138" spans="2:17" s="750" customFormat="1">
      <c r="B138" s="2275"/>
      <c r="C138" s="2275"/>
      <c r="D138" s="2275"/>
      <c r="E138" s="2275"/>
      <c r="F138" s="2275"/>
      <c r="G138" s="2275"/>
      <c r="H138" s="2275"/>
      <c r="I138" s="2275"/>
      <c r="J138" s="2275"/>
      <c r="K138" s="2275"/>
      <c r="L138" s="2275"/>
      <c r="M138" s="2275"/>
      <c r="N138" s="2275"/>
      <c r="O138" s="2275"/>
      <c r="P138" s="2275"/>
      <c r="Q138" s="2275"/>
    </row>
    <row r="139" spans="2:17" s="750" customFormat="1">
      <c r="B139" s="2275"/>
      <c r="C139" s="2275"/>
      <c r="D139" s="2275"/>
      <c r="E139" s="2275"/>
      <c r="F139" s="2275"/>
      <c r="G139" s="2275"/>
      <c r="H139" s="2275"/>
      <c r="I139" s="2275"/>
      <c r="J139" s="2275"/>
      <c r="K139" s="2275"/>
      <c r="L139" s="2275"/>
      <c r="M139" s="2275"/>
      <c r="N139" s="2275"/>
      <c r="O139" s="2275"/>
      <c r="P139" s="2275"/>
      <c r="Q139" s="2275"/>
    </row>
    <row r="140" spans="2:17" s="750" customFormat="1">
      <c r="B140" s="2275"/>
      <c r="C140" s="2275"/>
      <c r="D140" s="2275"/>
      <c r="E140" s="2275"/>
      <c r="F140" s="2275"/>
      <c r="G140" s="2275"/>
      <c r="H140" s="2275"/>
      <c r="I140" s="2275"/>
      <c r="J140" s="2275"/>
      <c r="K140" s="2275"/>
      <c r="L140" s="2275"/>
      <c r="M140" s="2275"/>
      <c r="N140" s="2275"/>
      <c r="O140" s="2275"/>
      <c r="P140" s="2275"/>
      <c r="Q140" s="2275"/>
    </row>
    <row r="141" spans="2:17" s="750" customFormat="1">
      <c r="B141" s="2275"/>
      <c r="C141" s="2275"/>
      <c r="D141" s="2275"/>
      <c r="E141" s="2275"/>
      <c r="F141" s="2275"/>
      <c r="G141" s="2275"/>
      <c r="H141" s="2275"/>
      <c r="I141" s="2275"/>
      <c r="J141" s="2275"/>
      <c r="K141" s="2275"/>
      <c r="L141" s="2275"/>
      <c r="M141" s="2275"/>
      <c r="N141" s="2275"/>
      <c r="O141" s="2275"/>
      <c r="P141" s="2275"/>
      <c r="Q141" s="2275"/>
    </row>
    <row r="142" spans="2:17" s="750" customFormat="1">
      <c r="B142" s="2275"/>
      <c r="C142" s="2275"/>
      <c r="D142" s="2275"/>
      <c r="E142" s="2275"/>
      <c r="F142" s="2275"/>
      <c r="G142" s="2275"/>
      <c r="H142" s="2275"/>
      <c r="I142" s="2275"/>
      <c r="J142" s="2275"/>
      <c r="K142" s="2275"/>
      <c r="L142" s="2275"/>
      <c r="M142" s="2275"/>
      <c r="N142" s="2275"/>
      <c r="O142" s="2275"/>
      <c r="P142" s="2275"/>
      <c r="Q142" s="2275"/>
    </row>
    <row r="143" spans="2:17" s="750" customFormat="1">
      <c r="B143" s="2275"/>
      <c r="C143" s="2275"/>
      <c r="D143" s="2275"/>
      <c r="E143" s="2275"/>
      <c r="F143" s="2275"/>
      <c r="G143" s="2275"/>
      <c r="H143" s="2275"/>
      <c r="I143" s="2275"/>
      <c r="J143" s="2275"/>
      <c r="K143" s="2275"/>
      <c r="L143" s="2275"/>
      <c r="M143" s="2275"/>
      <c r="N143" s="2275"/>
      <c r="O143" s="2275"/>
      <c r="P143" s="2275"/>
      <c r="Q143" s="2275"/>
    </row>
    <row r="144" spans="2:17" s="750" customFormat="1">
      <c r="B144" s="2275"/>
      <c r="C144" s="2275"/>
      <c r="D144" s="2275"/>
      <c r="E144" s="2275"/>
      <c r="F144" s="2275"/>
      <c r="G144" s="2275"/>
      <c r="H144" s="2275"/>
      <c r="I144" s="2275"/>
      <c r="J144" s="2275"/>
      <c r="K144" s="2275"/>
      <c r="L144" s="2275"/>
      <c r="M144" s="2275"/>
      <c r="N144" s="2275"/>
      <c r="O144" s="2275"/>
      <c r="P144" s="2275"/>
      <c r="Q144" s="2275"/>
    </row>
    <row r="145" spans="2:17" s="750" customFormat="1">
      <c r="B145" s="2275"/>
      <c r="C145" s="2275"/>
      <c r="D145" s="2275"/>
      <c r="E145" s="2275"/>
      <c r="F145" s="2275"/>
      <c r="G145" s="2275"/>
      <c r="H145" s="2275"/>
      <c r="I145" s="2275"/>
      <c r="J145" s="2275"/>
      <c r="K145" s="2275"/>
      <c r="L145" s="2275"/>
      <c r="M145" s="2275"/>
      <c r="N145" s="2275"/>
      <c r="O145" s="2275"/>
      <c r="P145" s="2275"/>
      <c r="Q145" s="2275"/>
    </row>
    <row r="146" spans="2:17" s="750" customFormat="1">
      <c r="B146" s="2275"/>
      <c r="C146" s="2275"/>
      <c r="D146" s="2275"/>
      <c r="E146" s="2275"/>
      <c r="F146" s="2275"/>
      <c r="G146" s="2275"/>
      <c r="H146" s="2275"/>
      <c r="I146" s="2275"/>
      <c r="J146" s="2275"/>
      <c r="K146" s="2275"/>
      <c r="L146" s="2275"/>
      <c r="M146" s="2275"/>
      <c r="N146" s="2275"/>
      <c r="O146" s="2275"/>
      <c r="P146" s="2275"/>
      <c r="Q146" s="2275"/>
    </row>
    <row r="147" spans="2:17" s="750" customFormat="1">
      <c r="B147" s="2275"/>
      <c r="C147" s="2275"/>
      <c r="D147" s="2275"/>
      <c r="E147" s="2275"/>
      <c r="F147" s="2275"/>
      <c r="G147" s="2275"/>
      <c r="H147" s="2275"/>
      <c r="I147" s="2275"/>
      <c r="J147" s="2275"/>
      <c r="K147" s="2275"/>
      <c r="L147" s="2275"/>
      <c r="M147" s="2275"/>
      <c r="N147" s="2275"/>
      <c r="O147" s="2275"/>
      <c r="P147" s="2275"/>
      <c r="Q147" s="2275"/>
    </row>
    <row r="148" spans="2:17" s="750" customFormat="1">
      <c r="B148" s="2275"/>
      <c r="C148" s="2275"/>
      <c r="D148" s="2275"/>
      <c r="E148" s="2275"/>
      <c r="F148" s="2275"/>
      <c r="G148" s="2275"/>
      <c r="H148" s="2275"/>
      <c r="I148" s="2275"/>
      <c r="J148" s="2275"/>
      <c r="K148" s="2275"/>
      <c r="L148" s="2275"/>
      <c r="M148" s="2275"/>
      <c r="N148" s="2275"/>
      <c r="O148" s="2275"/>
      <c r="P148" s="2275"/>
      <c r="Q148" s="2275"/>
    </row>
    <row r="149" spans="2:17" s="750" customFormat="1">
      <c r="B149" s="2275"/>
      <c r="C149" s="2275"/>
      <c r="D149" s="2275"/>
      <c r="E149" s="2275"/>
      <c r="F149" s="2275"/>
      <c r="G149" s="2275"/>
      <c r="H149" s="2275"/>
      <c r="I149" s="2275"/>
      <c r="J149" s="2275"/>
      <c r="K149" s="2275"/>
      <c r="L149" s="2275"/>
      <c r="M149" s="2275"/>
      <c r="N149" s="2275"/>
      <c r="O149" s="2275"/>
      <c r="P149" s="2275"/>
      <c r="Q149" s="2275"/>
    </row>
    <row r="150" spans="2:17" s="750" customFormat="1">
      <c r="B150" s="2275"/>
      <c r="C150" s="2275"/>
      <c r="D150" s="2275"/>
      <c r="E150" s="2275"/>
      <c r="F150" s="2275"/>
      <c r="G150" s="2275"/>
      <c r="H150" s="2275"/>
      <c r="I150" s="2275"/>
      <c r="J150" s="2275"/>
      <c r="K150" s="2275"/>
      <c r="L150" s="2275"/>
      <c r="M150" s="2275"/>
      <c r="N150" s="2275"/>
      <c r="O150" s="2275"/>
      <c r="P150" s="2275"/>
      <c r="Q150" s="2275"/>
    </row>
    <row r="151" spans="2:17" s="750" customFormat="1">
      <c r="B151" s="2275"/>
      <c r="C151" s="2275"/>
      <c r="D151" s="2275"/>
      <c r="E151" s="2275"/>
      <c r="F151" s="2275"/>
      <c r="G151" s="2275"/>
      <c r="H151" s="2275"/>
      <c r="I151" s="2275"/>
      <c r="J151" s="2275"/>
      <c r="K151" s="2275"/>
      <c r="L151" s="2275"/>
      <c r="M151" s="2275"/>
      <c r="N151" s="2275"/>
      <c r="O151" s="2275"/>
      <c r="P151" s="2275"/>
      <c r="Q151" s="2275"/>
    </row>
    <row r="152" spans="2:17" s="750" customFormat="1">
      <c r="B152" s="2275"/>
      <c r="C152" s="2275"/>
      <c r="D152" s="2275"/>
      <c r="E152" s="2275"/>
      <c r="F152" s="2275"/>
      <c r="G152" s="2275"/>
      <c r="H152" s="2275"/>
      <c r="I152" s="2275"/>
      <c r="J152" s="2275"/>
      <c r="K152" s="2275"/>
      <c r="L152" s="2275"/>
      <c r="M152" s="2275"/>
      <c r="N152" s="2275"/>
      <c r="O152" s="2275"/>
      <c r="P152" s="2275"/>
      <c r="Q152" s="2275"/>
    </row>
    <row r="153" spans="2:17" s="750" customFormat="1">
      <c r="B153" s="2275"/>
      <c r="C153" s="2275"/>
      <c r="D153" s="2275"/>
      <c r="E153" s="2275"/>
      <c r="F153" s="2275"/>
      <c r="G153" s="2275"/>
      <c r="H153" s="2275"/>
      <c r="I153" s="2275"/>
      <c r="J153" s="2275"/>
      <c r="K153" s="2275"/>
      <c r="L153" s="2275"/>
      <c r="M153" s="2275"/>
      <c r="N153" s="2275"/>
      <c r="O153" s="2275"/>
      <c r="P153" s="2275"/>
      <c r="Q153" s="2275"/>
    </row>
    <row r="154" spans="2:17" s="750" customFormat="1">
      <c r="B154" s="2275"/>
      <c r="C154" s="2275"/>
      <c r="D154" s="2275"/>
      <c r="E154" s="2275"/>
      <c r="F154" s="2275"/>
      <c r="G154" s="2275"/>
      <c r="H154" s="2275"/>
      <c r="I154" s="2275"/>
      <c r="J154" s="2275"/>
      <c r="K154" s="2275"/>
      <c r="L154" s="2275"/>
      <c r="M154" s="2275"/>
      <c r="N154" s="2275"/>
      <c r="O154" s="2275"/>
      <c r="P154" s="2275"/>
      <c r="Q154" s="2275"/>
    </row>
    <row r="155" spans="2:17" s="750" customFormat="1">
      <c r="B155" s="2275"/>
      <c r="C155" s="2275"/>
      <c r="D155" s="2275"/>
      <c r="E155" s="2275"/>
      <c r="F155" s="2275"/>
      <c r="G155" s="2275"/>
      <c r="H155" s="2275"/>
      <c r="I155" s="2275"/>
      <c r="J155" s="2275"/>
      <c r="K155" s="2275"/>
      <c r="L155" s="2275"/>
      <c r="M155" s="2275"/>
      <c r="N155" s="2275"/>
      <c r="O155" s="2275"/>
      <c r="P155" s="2275"/>
      <c r="Q155" s="2275"/>
    </row>
    <row r="156" spans="2:17" s="750" customFormat="1">
      <c r="B156" s="2275"/>
      <c r="C156" s="2275"/>
      <c r="D156" s="2275"/>
      <c r="E156" s="2275"/>
      <c r="F156" s="2275"/>
      <c r="G156" s="2275"/>
      <c r="H156" s="2275"/>
      <c r="I156" s="2275"/>
      <c r="J156" s="2275"/>
      <c r="K156" s="2275"/>
      <c r="L156" s="2275"/>
      <c r="M156" s="2275"/>
      <c r="N156" s="2275"/>
      <c r="O156" s="2275"/>
      <c r="P156" s="2275"/>
      <c r="Q156" s="2275"/>
    </row>
    <row r="157" spans="2:17" s="750" customFormat="1">
      <c r="B157" s="2275"/>
      <c r="C157" s="2275"/>
      <c r="D157" s="2275"/>
      <c r="E157" s="2275"/>
      <c r="F157" s="2275"/>
      <c r="G157" s="2275"/>
      <c r="H157" s="2275"/>
      <c r="I157" s="2275"/>
      <c r="J157" s="2275"/>
      <c r="K157" s="2275"/>
      <c r="L157" s="2275"/>
      <c r="M157" s="2275"/>
      <c r="N157" s="2275"/>
      <c r="O157" s="2275"/>
      <c r="P157" s="2275"/>
      <c r="Q157" s="2275"/>
    </row>
    <row r="158" spans="2:17" s="750" customFormat="1">
      <c r="B158" s="2275"/>
      <c r="C158" s="2275"/>
      <c r="D158" s="2275"/>
      <c r="E158" s="2275"/>
      <c r="F158" s="2275"/>
      <c r="G158" s="2275"/>
      <c r="H158" s="2275"/>
      <c r="I158" s="2275"/>
      <c r="J158" s="2275"/>
      <c r="K158" s="2275"/>
      <c r="L158" s="2275"/>
      <c r="M158" s="2275"/>
      <c r="N158" s="2275"/>
      <c r="O158" s="2275"/>
      <c r="P158" s="2275"/>
      <c r="Q158" s="2275"/>
    </row>
    <row r="159" spans="2:17" s="750" customFormat="1">
      <c r="B159" s="2275"/>
      <c r="C159" s="2275"/>
      <c r="D159" s="2275"/>
      <c r="E159" s="2275"/>
      <c r="F159" s="2275"/>
      <c r="G159" s="2275"/>
      <c r="H159" s="2275"/>
      <c r="I159" s="2275"/>
      <c r="J159" s="2275"/>
      <c r="K159" s="2275"/>
      <c r="L159" s="2275"/>
      <c r="M159" s="2275"/>
      <c r="N159" s="2275"/>
      <c r="O159" s="2275"/>
      <c r="P159" s="2275"/>
      <c r="Q159" s="2275"/>
    </row>
    <row r="160" spans="2:17" s="750" customFormat="1">
      <c r="B160" s="2275"/>
      <c r="C160" s="2275"/>
      <c r="D160" s="2275"/>
      <c r="E160" s="2275"/>
      <c r="F160" s="2275"/>
      <c r="G160" s="2275"/>
      <c r="H160" s="2275"/>
      <c r="I160" s="2275"/>
      <c r="J160" s="2275"/>
      <c r="K160" s="2275"/>
      <c r="L160" s="2275"/>
      <c r="M160" s="2275"/>
      <c r="N160" s="2275"/>
      <c r="O160" s="2275"/>
      <c r="P160" s="2275"/>
      <c r="Q160" s="2275"/>
    </row>
    <row r="161" spans="2:17" s="750" customFormat="1">
      <c r="B161" s="2275"/>
      <c r="C161" s="2275"/>
      <c r="D161" s="2275"/>
      <c r="E161" s="2275"/>
      <c r="F161" s="2275"/>
      <c r="G161" s="2275"/>
      <c r="H161" s="2275"/>
      <c r="I161" s="2275"/>
      <c r="J161" s="2275"/>
      <c r="K161" s="2275"/>
      <c r="L161" s="2275"/>
      <c r="M161" s="2275"/>
      <c r="N161" s="2275"/>
      <c r="O161" s="2275"/>
      <c r="P161" s="2275"/>
      <c r="Q161" s="2275"/>
    </row>
    <row r="162" spans="2:17" s="750" customFormat="1">
      <c r="B162" s="2275"/>
      <c r="C162" s="2275"/>
      <c r="D162" s="2275"/>
      <c r="E162" s="2275"/>
      <c r="F162" s="2275"/>
      <c r="G162" s="2275"/>
      <c r="H162" s="2275"/>
      <c r="I162" s="2275"/>
      <c r="J162" s="2275"/>
      <c r="K162" s="2275"/>
      <c r="L162" s="2275"/>
      <c r="M162" s="2275"/>
      <c r="N162" s="2275"/>
      <c r="O162" s="2275"/>
      <c r="P162" s="2275"/>
      <c r="Q162" s="2275"/>
    </row>
    <row r="163" spans="2:17" s="750" customFormat="1">
      <c r="B163" s="2275"/>
      <c r="C163" s="2275"/>
      <c r="D163" s="2275"/>
      <c r="E163" s="2275"/>
      <c r="F163" s="2275"/>
      <c r="G163" s="2275"/>
      <c r="H163" s="2275"/>
      <c r="I163" s="2275"/>
      <c r="J163" s="2275"/>
      <c r="K163" s="2275"/>
      <c r="L163" s="2275"/>
      <c r="M163" s="2275"/>
      <c r="N163" s="2275"/>
      <c r="O163" s="2275"/>
      <c r="P163" s="2275"/>
      <c r="Q163" s="2275"/>
    </row>
    <row r="164" spans="2:17" s="750" customFormat="1">
      <c r="B164" s="2275"/>
      <c r="C164" s="2275"/>
      <c r="D164" s="2275"/>
      <c r="E164" s="2275"/>
      <c r="F164" s="2275"/>
      <c r="G164" s="2275"/>
      <c r="H164" s="2275"/>
      <c r="I164" s="2275"/>
      <c r="J164" s="2275"/>
      <c r="K164" s="2275"/>
      <c r="L164" s="2275"/>
      <c r="M164" s="2275"/>
      <c r="N164" s="2275"/>
      <c r="O164" s="2275"/>
      <c r="P164" s="2275"/>
      <c r="Q164" s="2275"/>
    </row>
    <row r="165" spans="2:17" s="750" customFormat="1">
      <c r="B165" s="2275"/>
      <c r="C165" s="2275"/>
      <c r="D165" s="2275"/>
      <c r="E165" s="2275"/>
      <c r="F165" s="2275"/>
      <c r="G165" s="2275"/>
      <c r="H165" s="2275"/>
      <c r="I165" s="2275"/>
      <c r="J165" s="2275"/>
      <c r="K165" s="2275"/>
      <c r="L165" s="2275"/>
      <c r="M165" s="2275"/>
      <c r="N165" s="2275"/>
      <c r="O165" s="2275"/>
      <c r="P165" s="2275"/>
      <c r="Q165" s="2275"/>
    </row>
    <row r="166" spans="2:17" s="750" customFormat="1">
      <c r="B166" s="2275"/>
      <c r="C166" s="2275"/>
      <c r="D166" s="2275"/>
      <c r="E166" s="2275"/>
      <c r="F166" s="2275"/>
      <c r="G166" s="2275"/>
      <c r="H166" s="2275"/>
      <c r="I166" s="2275"/>
      <c r="J166" s="2275"/>
      <c r="K166" s="2275"/>
      <c r="L166" s="2275"/>
      <c r="M166" s="2275"/>
      <c r="N166" s="2275"/>
      <c r="O166" s="2275"/>
      <c r="P166" s="2275"/>
      <c r="Q166" s="2275"/>
    </row>
    <row r="167" spans="2:17" s="750" customFormat="1">
      <c r="B167" s="2275"/>
      <c r="C167" s="2275"/>
      <c r="D167" s="2275"/>
      <c r="E167" s="2275"/>
      <c r="F167" s="2275"/>
      <c r="G167" s="2275"/>
      <c r="H167" s="2275"/>
      <c r="I167" s="2275"/>
      <c r="J167" s="2275"/>
      <c r="K167" s="2275"/>
      <c r="L167" s="2275"/>
      <c r="M167" s="2275"/>
      <c r="N167" s="2275"/>
      <c r="O167" s="2275"/>
      <c r="P167" s="2275"/>
      <c r="Q167" s="2275"/>
    </row>
    <row r="168" spans="2:17" s="750" customFormat="1">
      <c r="B168" s="2275"/>
      <c r="C168" s="2275"/>
      <c r="D168" s="2275"/>
      <c r="E168" s="2275"/>
      <c r="F168" s="2275"/>
      <c r="G168" s="2275"/>
      <c r="H168" s="2275"/>
      <c r="I168" s="2275"/>
      <c r="J168" s="2275"/>
      <c r="K168" s="2275"/>
      <c r="L168" s="2275"/>
      <c r="M168" s="2275"/>
      <c r="N168" s="2275"/>
      <c r="O168" s="2275"/>
      <c r="P168" s="2275"/>
      <c r="Q168" s="2275"/>
    </row>
    <row r="169" spans="2:17" s="750" customFormat="1">
      <c r="B169" s="2275"/>
      <c r="C169" s="2275"/>
      <c r="D169" s="2275"/>
      <c r="E169" s="2275"/>
      <c r="F169" s="2275"/>
      <c r="G169" s="2275"/>
      <c r="H169" s="2275"/>
      <c r="I169" s="2275"/>
      <c r="J169" s="2275"/>
      <c r="K169" s="2275"/>
      <c r="L169" s="2275"/>
      <c r="M169" s="2275"/>
      <c r="N169" s="2275"/>
      <c r="O169" s="2275"/>
      <c r="P169" s="2275"/>
      <c r="Q169" s="2275"/>
    </row>
    <row r="170" spans="2:17" s="750" customFormat="1">
      <c r="B170" s="2275"/>
      <c r="C170" s="2275"/>
      <c r="D170" s="2275"/>
      <c r="E170" s="2275"/>
      <c r="F170" s="2275"/>
      <c r="G170" s="2275"/>
      <c r="H170" s="2275"/>
      <c r="I170" s="2275"/>
      <c r="J170" s="2275"/>
      <c r="K170" s="2275"/>
      <c r="L170" s="2275"/>
      <c r="M170" s="2275"/>
      <c r="N170" s="2275"/>
      <c r="O170" s="2275"/>
      <c r="P170" s="2275"/>
      <c r="Q170" s="2275"/>
    </row>
    <row r="171" spans="2:17" s="750" customFormat="1">
      <c r="B171" s="2275"/>
      <c r="C171" s="2275"/>
      <c r="D171" s="2275"/>
      <c r="E171" s="2275"/>
      <c r="F171" s="2275"/>
      <c r="G171" s="2275"/>
      <c r="H171" s="2275"/>
      <c r="I171" s="2275"/>
      <c r="J171" s="2275"/>
      <c r="K171" s="2275"/>
      <c r="L171" s="2275"/>
      <c r="M171" s="2275"/>
      <c r="N171" s="2275"/>
      <c r="O171" s="2275"/>
      <c r="P171" s="2275"/>
      <c r="Q171" s="2275"/>
    </row>
    <row r="172" spans="2:17" s="750" customFormat="1">
      <c r="B172" s="2275"/>
      <c r="C172" s="2275"/>
      <c r="D172" s="2275"/>
      <c r="E172" s="2275"/>
      <c r="F172" s="2275"/>
      <c r="G172" s="2275"/>
      <c r="H172" s="2275"/>
      <c r="I172" s="2275"/>
      <c r="J172" s="2275"/>
      <c r="K172" s="2275"/>
      <c r="L172" s="2275"/>
      <c r="M172" s="2275"/>
      <c r="N172" s="2275"/>
      <c r="O172" s="2275"/>
      <c r="P172" s="2275"/>
      <c r="Q172" s="2275"/>
    </row>
    <row r="173" spans="2:17" s="750" customFormat="1">
      <c r="B173" s="2275"/>
      <c r="C173" s="2275"/>
      <c r="D173" s="2275"/>
      <c r="E173" s="2275"/>
      <c r="F173" s="2275"/>
      <c r="G173" s="2275"/>
      <c r="H173" s="2275"/>
      <c r="I173" s="2275"/>
      <c r="J173" s="2275"/>
      <c r="K173" s="2275"/>
      <c r="L173" s="2275"/>
      <c r="M173" s="2275"/>
      <c r="N173" s="2275"/>
      <c r="O173" s="2275"/>
      <c r="P173" s="2275"/>
      <c r="Q173" s="2275"/>
    </row>
    <row r="174" spans="2:17" s="750" customFormat="1">
      <c r="B174" s="2275"/>
      <c r="C174" s="2275"/>
      <c r="D174" s="2275"/>
      <c r="E174" s="2275"/>
      <c r="F174" s="2275"/>
      <c r="G174" s="2275"/>
      <c r="H174" s="2275"/>
      <c r="I174" s="2275"/>
      <c r="J174" s="2275"/>
      <c r="K174" s="2275"/>
      <c r="L174" s="2275"/>
      <c r="M174" s="2275"/>
      <c r="N174" s="2275"/>
      <c r="O174" s="2275"/>
      <c r="P174" s="2275"/>
      <c r="Q174" s="2275"/>
    </row>
    <row r="175" spans="2:17" s="750" customFormat="1">
      <c r="B175" s="2275"/>
      <c r="C175" s="2275"/>
      <c r="D175" s="2275"/>
      <c r="E175" s="2275"/>
      <c r="F175" s="2275"/>
      <c r="G175" s="2275"/>
      <c r="H175" s="2275"/>
      <c r="I175" s="2275"/>
      <c r="J175" s="2275"/>
      <c r="K175" s="2275"/>
      <c r="L175" s="2275"/>
      <c r="M175" s="2275"/>
      <c r="N175" s="2275"/>
      <c r="O175" s="2275"/>
      <c r="P175" s="2275"/>
      <c r="Q175" s="2275"/>
    </row>
    <row r="176" spans="2:17" s="750" customFormat="1">
      <c r="B176" s="2275"/>
      <c r="C176" s="2275"/>
      <c r="D176" s="2275"/>
      <c r="E176" s="2275"/>
      <c r="F176" s="2275"/>
      <c r="G176" s="2275"/>
      <c r="H176" s="2275"/>
      <c r="I176" s="2275"/>
      <c r="J176" s="2275"/>
      <c r="K176" s="2275"/>
      <c r="L176" s="2275"/>
      <c r="M176" s="2275"/>
      <c r="N176" s="2275"/>
      <c r="O176" s="2275"/>
      <c r="P176" s="2275"/>
      <c r="Q176" s="2275"/>
    </row>
    <row r="177" spans="1:17" s="750" customFormat="1">
      <c r="B177" s="2275"/>
      <c r="C177" s="2275"/>
      <c r="D177" s="2275"/>
      <c r="E177" s="2275"/>
      <c r="F177" s="2275"/>
      <c r="G177" s="2275"/>
      <c r="H177" s="2275"/>
      <c r="I177" s="2275"/>
      <c r="J177" s="2275"/>
      <c r="K177" s="2275"/>
      <c r="L177" s="2275"/>
      <c r="M177" s="2275"/>
      <c r="N177" s="2275"/>
      <c r="O177" s="2275"/>
      <c r="P177" s="2275"/>
      <c r="Q177" s="2275"/>
    </row>
    <row r="178" spans="1:17" s="750" customFormat="1">
      <c r="B178" s="2275"/>
      <c r="C178" s="2275"/>
      <c r="D178" s="2275"/>
      <c r="E178" s="2275"/>
      <c r="F178" s="2275"/>
      <c r="G178" s="2275"/>
      <c r="H178" s="2275"/>
      <c r="I178" s="2275"/>
      <c r="J178" s="2275"/>
      <c r="K178" s="2275"/>
      <c r="L178" s="2275"/>
      <c r="M178" s="2275"/>
      <c r="N178" s="2275"/>
      <c r="O178" s="2275"/>
      <c r="P178" s="2275"/>
      <c r="Q178" s="2275"/>
    </row>
    <row r="179" spans="1:17" s="750" customFormat="1">
      <c r="B179" s="2275"/>
      <c r="C179" s="2275"/>
      <c r="D179" s="2275"/>
      <c r="E179" s="2275"/>
      <c r="F179" s="2275"/>
      <c r="G179" s="2275"/>
      <c r="H179" s="2275"/>
      <c r="I179" s="2275"/>
      <c r="J179" s="2275"/>
      <c r="K179" s="2275"/>
      <c r="L179" s="2275"/>
      <c r="M179" s="2275"/>
      <c r="N179" s="2275"/>
      <c r="O179" s="2275"/>
      <c r="P179" s="2275"/>
      <c r="Q179" s="2275"/>
    </row>
    <row r="180" spans="1:17" s="750" customFormat="1">
      <c r="B180" s="2275"/>
      <c r="C180" s="2275"/>
      <c r="D180" s="2275"/>
      <c r="E180" s="2275"/>
      <c r="F180" s="2275"/>
      <c r="G180" s="2275"/>
      <c r="H180" s="2275"/>
      <c r="I180" s="2275"/>
      <c r="J180" s="2275"/>
      <c r="K180" s="2275"/>
      <c r="L180" s="2275"/>
      <c r="M180" s="2275"/>
      <c r="N180" s="2275"/>
      <c r="O180" s="2275"/>
      <c r="P180" s="2275"/>
      <c r="Q180" s="2275"/>
    </row>
    <row r="181" spans="1:17" s="750" customFormat="1">
      <c r="B181" s="2275"/>
      <c r="C181" s="2275"/>
      <c r="D181" s="2275"/>
      <c r="E181" s="2275"/>
      <c r="F181" s="2275"/>
      <c r="G181" s="2275"/>
      <c r="H181" s="2275"/>
      <c r="I181" s="2275"/>
      <c r="J181" s="2275"/>
      <c r="K181" s="2275"/>
      <c r="L181" s="2275"/>
      <c r="M181" s="2275"/>
      <c r="N181" s="2275"/>
      <c r="O181" s="2275"/>
      <c r="P181" s="2275"/>
      <c r="Q181" s="2275"/>
    </row>
    <row r="182" spans="1:17" s="750" customFormat="1">
      <c r="B182" s="2275"/>
      <c r="C182" s="2275"/>
      <c r="D182" s="2275"/>
      <c r="E182" s="2275"/>
      <c r="F182" s="2275"/>
      <c r="G182" s="2275"/>
      <c r="H182" s="2275"/>
      <c r="I182" s="2275"/>
      <c r="J182" s="2275"/>
      <c r="K182" s="2275"/>
      <c r="L182" s="2275"/>
      <c r="M182" s="2275"/>
      <c r="N182" s="2275"/>
      <c r="O182" s="2275"/>
      <c r="P182" s="2275"/>
      <c r="Q182" s="2275"/>
    </row>
    <row r="183" spans="1:17" s="750" customFormat="1">
      <c r="B183" s="2275"/>
      <c r="C183" s="2275"/>
      <c r="D183" s="2275"/>
      <c r="E183" s="2275"/>
      <c r="F183" s="2275"/>
      <c r="G183" s="2275"/>
      <c r="H183" s="2275"/>
      <c r="I183" s="2275"/>
      <c r="J183" s="2275"/>
      <c r="K183" s="2275"/>
      <c r="L183" s="2275"/>
      <c r="M183" s="2275"/>
      <c r="N183" s="2275"/>
      <c r="O183" s="2275"/>
      <c r="P183" s="2275"/>
      <c r="Q183" s="2275"/>
    </row>
    <row r="184" spans="1:17" s="750" customFormat="1">
      <c r="B184" s="2275"/>
      <c r="C184" s="2275"/>
      <c r="D184" s="2275"/>
      <c r="E184" s="2275"/>
      <c r="F184" s="2275"/>
      <c r="G184" s="2275"/>
      <c r="H184" s="2275"/>
      <c r="I184" s="2275"/>
      <c r="J184" s="2275"/>
      <c r="K184" s="2275"/>
      <c r="L184" s="2275"/>
      <c r="M184" s="2275"/>
      <c r="N184" s="2275"/>
      <c r="O184" s="2275"/>
      <c r="P184" s="2275"/>
      <c r="Q184" s="2275"/>
    </row>
    <row r="185" spans="1:17" s="750" customFormat="1">
      <c r="B185" s="2275"/>
      <c r="C185" s="2275"/>
      <c r="D185" s="2275"/>
      <c r="E185" s="2275"/>
      <c r="F185" s="2275"/>
      <c r="G185" s="2275"/>
      <c r="H185" s="2275"/>
      <c r="I185" s="2275"/>
      <c r="J185" s="2275"/>
      <c r="K185" s="2275"/>
      <c r="L185" s="2275"/>
      <c r="M185" s="2275"/>
      <c r="N185" s="2275"/>
      <c r="O185" s="2275"/>
      <c r="P185" s="2275"/>
      <c r="Q185" s="2275"/>
    </row>
    <row r="186" spans="1:17">
      <c r="A186" s="750"/>
      <c r="B186" s="2275"/>
      <c r="C186" s="2275"/>
      <c r="E186" s="2275"/>
      <c r="F186" s="2275"/>
      <c r="G186" s="2275"/>
    </row>
    <row r="187" spans="1:17">
      <c r="A187" s="750"/>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15" sqref="E15"/>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227.25</v>
      </c>
      <c r="C1" s="2459"/>
      <c r="D1" s="2459"/>
      <c r="E1" s="2459"/>
      <c r="F1" s="2459"/>
      <c r="G1" s="2460"/>
      <c r="H1" s="2460"/>
      <c r="I1" s="2460"/>
      <c r="J1" s="2460"/>
      <c r="K1" s="2460"/>
    </row>
    <row r="2" spans="1:11" ht="16.5">
      <c r="A2" s="2298" t="s">
        <v>653</v>
      </c>
      <c r="B2" s="2298">
        <f>SUM(C14:C23)</f>
        <v>0</v>
      </c>
      <c r="C2" s="2459"/>
      <c r="D2" s="2459"/>
      <c r="E2" s="2459"/>
      <c r="F2" s="2459"/>
      <c r="G2" s="2460"/>
      <c r="H2" s="2460"/>
      <c r="I2" s="2460"/>
      <c r="J2" s="2460"/>
      <c r="K2" s="2460"/>
    </row>
    <row r="3" spans="1:11" ht="16.5">
      <c r="A3" s="2298" t="s">
        <v>662</v>
      </c>
      <c r="B3" s="2300">
        <f>项目基本情况!D3</f>
        <v>45580</v>
      </c>
      <c r="C3" s="2459"/>
      <c r="D3" s="2459"/>
      <c r="E3" s="2459"/>
      <c r="F3" s="2459"/>
      <c r="G3" s="2460"/>
      <c r="H3" s="2460"/>
      <c r="I3" s="2460"/>
      <c r="J3" s="2460"/>
      <c r="K3" s="2460"/>
    </row>
    <row r="4" spans="1:11" ht="33">
      <c r="A4" s="2298" t="s">
        <v>661</v>
      </c>
      <c r="B4" s="2298" t="s">
        <v>660</v>
      </c>
      <c r="C4" s="2298" t="s">
        <v>659</v>
      </c>
      <c r="D4" s="2298" t="s">
        <v>658</v>
      </c>
      <c r="E4" s="2459"/>
      <c r="F4" s="2460"/>
      <c r="G4" s="2460"/>
      <c r="H4" s="2460"/>
      <c r="I4" s="2460"/>
      <c r="J4" s="2460"/>
      <c r="K4" s="2460"/>
    </row>
    <row r="5" spans="1:11" ht="16.5">
      <c r="A5" s="2298" t="s">
        <v>657</v>
      </c>
      <c r="B5" s="2298">
        <f ca="1">SUM(D14:D23)</f>
        <v>464.52170000000001</v>
      </c>
      <c r="C5" s="2298">
        <f ca="1">IF(B5=D14,结果表!H102,ROUND(B5*10000/$B$1,0))</f>
        <v>20441</v>
      </c>
      <c r="D5" s="2298" t="e">
        <f ca="1">ROUND(B5*10000/$B$2,0)</f>
        <v>#DIV/0!</v>
      </c>
      <c r="E5" s="2459"/>
      <c r="F5" s="2460"/>
      <c r="G5" s="2460"/>
      <c r="H5" s="2460"/>
      <c r="I5" s="2460"/>
      <c r="J5" s="2460"/>
      <c r="K5" s="2460"/>
    </row>
    <row r="6" spans="1:11" ht="16.5">
      <c r="A6" s="2298" t="s">
        <v>656</v>
      </c>
      <c r="B6" s="2298">
        <f>SUM(G14:G23)</f>
        <v>0</v>
      </c>
      <c r="C6" s="2298">
        <f ca="1">IF(B6=G14,结果表!H108,ROUND(B6*10000/$B$1,0))</f>
        <v>20441</v>
      </c>
      <c r="D6" s="2298" t="e">
        <f>ROUND(B6*10000/$B$2,0)</f>
        <v>#DIV/0!</v>
      </c>
      <c r="E6" s="2459"/>
      <c r="F6" s="2460"/>
      <c r="G6" s="2460"/>
      <c r="H6" s="2460"/>
      <c r="I6" s="2460"/>
      <c r="J6" s="2460"/>
      <c r="K6" s="2460"/>
    </row>
    <row r="7" spans="1:11" ht="16.5">
      <c r="A7" s="2298" t="s">
        <v>664</v>
      </c>
      <c r="B7" s="2298">
        <f>SUM(H14:H23)</f>
        <v>0</v>
      </c>
      <c r="C7" s="2298" t="str">
        <f>IF(B7=H14,结果表!H110,ROUND(B7*10000/$B$1,0))</f>
        <v>——</v>
      </c>
      <c r="D7" s="2298" t="e">
        <f>ROUND(B7*10000/$B$2,0)</f>
        <v>#DIV/0!</v>
      </c>
      <c r="E7" s="2459"/>
      <c r="F7" s="2460"/>
      <c r="G7" s="2460"/>
      <c r="H7" s="2460"/>
      <c r="I7" s="2460"/>
      <c r="J7" s="2460"/>
      <c r="K7" s="2460"/>
    </row>
    <row r="8" spans="1:11" ht="16.5">
      <c r="A8" s="2298" t="s">
        <v>587</v>
      </c>
      <c r="B8" s="2298">
        <f>SUM(I14:I23)</f>
        <v>0</v>
      </c>
      <c r="C8" s="2298" t="str">
        <f>IF(B8=I14,结果表!H112,ROUND(B8*10000/$B$1,0))</f>
        <v>——</v>
      </c>
      <c r="D8" s="2298" t="e">
        <f>ROUND(B8*10000/$B$2,0)</f>
        <v>#DIV/0!</v>
      </c>
      <c r="E8" s="2459"/>
      <c r="F8" s="2460"/>
      <c r="G8" s="2460"/>
      <c r="H8" s="2460"/>
      <c r="I8" s="2460"/>
      <c r="J8" s="2460"/>
      <c r="K8" s="2460"/>
    </row>
    <row r="9" spans="1:11" ht="16.5">
      <c r="A9" s="2298" t="s">
        <v>655</v>
      </c>
      <c r="B9" s="1243"/>
      <c r="C9" s="2459"/>
      <c r="D9" s="2459"/>
      <c r="E9" s="2459"/>
      <c r="F9" s="2460"/>
      <c r="G9" s="2460"/>
      <c r="H9" s="2460"/>
      <c r="I9" s="2460"/>
      <c r="J9" s="2460"/>
      <c r="K9" s="2460"/>
    </row>
    <row r="10" spans="1:11" ht="16.5">
      <c r="A10" s="2298" t="s">
        <v>654</v>
      </c>
      <c r="B10" s="2298">
        <f>IF(E10="",0,ROUND(B1*(E10*365/G10)/10000,0))</f>
        <v>0</v>
      </c>
      <c r="C10" s="2298" t="s">
        <v>3358</v>
      </c>
      <c r="D10" s="2298" t="s">
        <v>3359</v>
      </c>
      <c r="E10" s="3134"/>
      <c r="F10" s="3138" t="s">
        <v>3360</v>
      </c>
      <c r="G10" s="3135"/>
      <c r="H10" s="2460"/>
      <c r="I10" s="2460"/>
      <c r="J10" s="2460"/>
      <c r="K10" s="2460"/>
    </row>
    <row r="11" spans="1:11" ht="16.5">
      <c r="A11" s="2298" t="s">
        <v>670</v>
      </c>
      <c r="B11" s="1243"/>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1" t="s">
        <v>669</v>
      </c>
      <c r="B13" s="2302" t="s">
        <v>666</v>
      </c>
      <c r="C13" s="2302" t="s">
        <v>668</v>
      </c>
      <c r="D13" s="2302" t="s">
        <v>667</v>
      </c>
      <c r="E13" s="2298" t="s">
        <v>659</v>
      </c>
      <c r="F13" s="2298" t="s">
        <v>658</v>
      </c>
      <c r="G13" s="2302" t="s">
        <v>652</v>
      </c>
      <c r="H13" s="2302" t="s">
        <v>663</v>
      </c>
      <c r="I13" s="2302" t="s">
        <v>651</v>
      </c>
      <c r="J13" s="2460"/>
      <c r="K13" s="2460"/>
    </row>
    <row r="14" spans="1:11" ht="16.5">
      <c r="A14" s="2303" t="s">
        <v>650</v>
      </c>
      <c r="B14" s="2304">
        <f>'数据-汇总表'!E3</f>
        <v>227.25</v>
      </c>
      <c r="C14" s="2304"/>
      <c r="D14" s="2304">
        <f ca="1">结果表!H101</f>
        <v>464.52170000000001</v>
      </c>
      <c r="E14" s="2304">
        <f ca="1">结果表!H102</f>
        <v>20441</v>
      </c>
      <c r="F14" s="2304" t="e">
        <f ca="1">ROUND(D14*10000/C14,0)</f>
        <v>#DIV/0!</v>
      </c>
      <c r="G14" s="2304"/>
      <c r="H14" s="2304"/>
      <c r="I14" s="2304"/>
      <c r="J14" s="2460"/>
      <c r="K14" s="2460"/>
    </row>
    <row r="15" spans="1:11" ht="16.5">
      <c r="A15" s="2303" t="s">
        <v>649</v>
      </c>
      <c r="B15" s="2305"/>
      <c r="C15" s="2305"/>
      <c r="D15" s="2305"/>
      <c r="E15" s="2304" t="e">
        <f t="shared" ref="E15:E23" si="0">ROUND(D15*10000/B15,0)</f>
        <v>#DIV/0!</v>
      </c>
      <c r="F15" s="2304" t="e">
        <f t="shared" ref="F15:F23" si="1">ROUND(D15*10000/C15,0)</f>
        <v>#DIV/0!</v>
      </c>
      <c r="G15" s="1243"/>
      <c r="H15" s="1243"/>
      <c r="I15" s="2305"/>
      <c r="J15" s="2460"/>
      <c r="K15" s="2460"/>
    </row>
    <row r="16" spans="1:11" ht="16.5">
      <c r="A16" s="2303" t="s">
        <v>648</v>
      </c>
      <c r="B16" s="2305"/>
      <c r="C16" s="2305"/>
      <c r="D16" s="2305"/>
      <c r="E16" s="2304" t="e">
        <f t="shared" si="0"/>
        <v>#DIV/0!</v>
      </c>
      <c r="F16" s="2304" t="e">
        <f t="shared" si="1"/>
        <v>#DIV/0!</v>
      </c>
      <c r="G16" s="1243"/>
      <c r="H16" s="1243"/>
      <c r="I16" s="2305"/>
      <c r="J16" s="2460"/>
      <c r="K16" s="2460"/>
    </row>
    <row r="17" spans="1:11" ht="16.5">
      <c r="A17" s="2303" t="s">
        <v>647</v>
      </c>
      <c r="B17" s="2305"/>
      <c r="C17" s="2305"/>
      <c r="D17" s="2305"/>
      <c r="E17" s="2304" t="e">
        <f t="shared" si="0"/>
        <v>#DIV/0!</v>
      </c>
      <c r="F17" s="2304" t="e">
        <f t="shared" si="1"/>
        <v>#DIV/0!</v>
      </c>
      <c r="G17" s="1243"/>
      <c r="H17" s="1243"/>
      <c r="I17" s="2305"/>
      <c r="J17" s="2460"/>
      <c r="K17" s="2460"/>
    </row>
    <row r="18" spans="1:11" ht="16.5">
      <c r="A18" s="2303" t="s">
        <v>646</v>
      </c>
      <c r="B18" s="2305"/>
      <c r="C18" s="2305"/>
      <c r="D18" s="2305"/>
      <c r="E18" s="2304" t="e">
        <f t="shared" si="0"/>
        <v>#DIV/0!</v>
      </c>
      <c r="F18" s="2304" t="e">
        <f t="shared" si="1"/>
        <v>#DIV/0!</v>
      </c>
      <c r="G18" s="2305"/>
      <c r="H18" s="2305"/>
      <c r="I18" s="2305"/>
      <c r="J18" s="2460"/>
      <c r="K18" s="2460"/>
    </row>
    <row r="19" spans="1:11" ht="16.5">
      <c r="A19" s="2303" t="s">
        <v>645</v>
      </c>
      <c r="B19" s="2305"/>
      <c r="C19" s="2305"/>
      <c r="D19" s="2305"/>
      <c r="E19" s="2304" t="e">
        <f t="shared" si="0"/>
        <v>#DIV/0!</v>
      </c>
      <c r="F19" s="2304" t="e">
        <f t="shared" si="1"/>
        <v>#DIV/0!</v>
      </c>
      <c r="G19" s="2305"/>
      <c r="H19" s="2305"/>
      <c r="I19" s="2305"/>
      <c r="J19" s="2460"/>
      <c r="K19" s="2460"/>
    </row>
    <row r="20" spans="1:11" ht="16.5">
      <c r="A20" s="2303" t="s">
        <v>644</v>
      </c>
      <c r="B20" s="2305"/>
      <c r="C20" s="2305"/>
      <c r="D20" s="2305"/>
      <c r="E20" s="2304" t="e">
        <f t="shared" si="0"/>
        <v>#DIV/0!</v>
      </c>
      <c r="F20" s="2304" t="e">
        <f t="shared" si="1"/>
        <v>#DIV/0!</v>
      </c>
      <c r="G20" s="2305"/>
      <c r="H20" s="2305"/>
      <c r="I20" s="2305"/>
      <c r="J20" s="2460"/>
      <c r="K20" s="2460"/>
    </row>
    <row r="21" spans="1:11" ht="16.5">
      <c r="A21" s="2303" t="s">
        <v>643</v>
      </c>
      <c r="B21" s="2305"/>
      <c r="C21" s="2305"/>
      <c r="D21" s="2305"/>
      <c r="E21" s="2304" t="e">
        <f t="shared" si="0"/>
        <v>#DIV/0!</v>
      </c>
      <c r="F21" s="2304" t="e">
        <f t="shared" si="1"/>
        <v>#DIV/0!</v>
      </c>
      <c r="G21" s="2305"/>
      <c r="H21" s="2305"/>
      <c r="I21" s="2305"/>
      <c r="J21" s="2460"/>
      <c r="K21" s="2460"/>
    </row>
    <row r="22" spans="1:11" ht="16.5">
      <c r="A22" s="2303" t="s">
        <v>642</v>
      </c>
      <c r="B22" s="2305"/>
      <c r="C22" s="2305"/>
      <c r="D22" s="2305"/>
      <c r="E22" s="2304" t="e">
        <f t="shared" si="0"/>
        <v>#DIV/0!</v>
      </c>
      <c r="F22" s="2304" t="e">
        <f t="shared" si="1"/>
        <v>#DIV/0!</v>
      </c>
      <c r="G22" s="2305"/>
      <c r="H22" s="2305"/>
      <c r="I22" s="2305"/>
      <c r="J22" s="2460"/>
      <c r="K22" s="2460"/>
    </row>
    <row r="23" spans="1:11" ht="16.5">
      <c r="A23" s="2303" t="s">
        <v>641</v>
      </c>
      <c r="B23" s="2305"/>
      <c r="C23" s="2305"/>
      <c r="D23" s="2305"/>
      <c r="E23" s="1243" t="e">
        <f t="shared" si="0"/>
        <v>#DIV/0!</v>
      </c>
      <c r="F23" s="1243"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6" sqref="H26"/>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t="s">
        <v>673</v>
      </c>
      <c r="D1" s="645"/>
      <c r="E1" s="645"/>
      <c r="F1" s="1620" t="s">
        <v>1263</v>
      </c>
      <c r="G1" s="1452"/>
      <c r="H1" s="1620" t="str">
        <f>IF(G1="现房","——","估价对象范围")</f>
        <v>估价对象范围</v>
      </c>
      <c r="I1" s="1621"/>
    </row>
    <row r="2" spans="1:12" ht="21.75" customHeight="1" thickBot="1">
      <c r="A2" s="3279" t="str">
        <f>项目基本情况!S2</f>
        <v>北京市怀柔区开放路46号楼1至2层23房地产</v>
      </c>
      <c r="B2" s="3280"/>
      <c r="C2" s="3280"/>
      <c r="D2" s="3280"/>
      <c r="E2" s="3280"/>
      <c r="F2" s="3280"/>
      <c r="G2" s="3280"/>
      <c r="H2" s="3280"/>
      <c r="I2" s="3281"/>
    </row>
    <row r="3" spans="1:12" ht="12.75">
      <c r="A3" s="3283" t="s">
        <v>1264</v>
      </c>
      <c r="B3" s="3284"/>
      <c r="C3" s="3284"/>
      <c r="D3" s="3284"/>
      <c r="E3" s="3284"/>
      <c r="F3" s="3284"/>
      <c r="G3" s="3284"/>
      <c r="H3" s="3284"/>
      <c r="I3" s="3284"/>
    </row>
    <row r="4" spans="1:12" ht="14.25">
      <c r="A4" s="1623" t="s">
        <v>1265</v>
      </c>
      <c r="B4" s="1624" t="s">
        <v>1266</v>
      </c>
      <c r="C4" s="1625" t="s">
        <v>3471</v>
      </c>
      <c r="D4" s="1625" t="s">
        <v>3409</v>
      </c>
      <c r="E4" s="3285" t="s">
        <v>1267</v>
      </c>
      <c r="F4" s="3286"/>
      <c r="G4" s="3286"/>
      <c r="H4" s="3286"/>
      <c r="I4" s="3287"/>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259" t="s">
        <v>1268</v>
      </c>
      <c r="B5" s="3246">
        <v>25</v>
      </c>
      <c r="C5" s="3262"/>
      <c r="D5" s="3282"/>
      <c r="E5" s="122" t="s">
        <v>1269</v>
      </c>
      <c r="F5" s="1626"/>
      <c r="G5" s="1626"/>
      <c r="H5" s="1626"/>
      <c r="I5" s="1280"/>
    </row>
    <row r="6" spans="1:12" ht="12.75">
      <c r="A6" s="3259"/>
      <c r="B6" s="3246"/>
      <c r="C6" s="3263"/>
      <c r="D6" s="3282"/>
      <c r="E6" s="122" t="s">
        <v>1270</v>
      </c>
      <c r="F6" s="1626"/>
      <c r="G6" s="1626"/>
      <c r="H6" s="1626"/>
      <c r="I6" s="1280"/>
    </row>
    <row r="7" spans="1:12" ht="12.75">
      <c r="A7" s="3259"/>
      <c r="B7" s="3246"/>
      <c r="C7" s="3264"/>
      <c r="D7" s="3282"/>
      <c r="E7" s="122" t="s">
        <v>1271</v>
      </c>
      <c r="F7" s="1626"/>
      <c r="G7" s="1626"/>
      <c r="H7" s="1626"/>
      <c r="I7" s="1280"/>
    </row>
    <row r="8" spans="1:12" ht="12.75">
      <c r="A8" s="3259" t="s">
        <v>1272</v>
      </c>
      <c r="B8" s="3246">
        <v>15</v>
      </c>
      <c r="C8" s="3262"/>
      <c r="D8" s="3282"/>
      <c r="E8" s="122" t="s">
        <v>1273</v>
      </c>
      <c r="F8" s="1626"/>
      <c r="G8" s="1626"/>
      <c r="H8" s="1626"/>
      <c r="I8" s="1280"/>
    </row>
    <row r="9" spans="1:12" ht="12.75">
      <c r="A9" s="3259"/>
      <c r="B9" s="3246"/>
      <c r="C9" s="3264"/>
      <c r="D9" s="3282"/>
      <c r="E9" s="122" t="s">
        <v>1274</v>
      </c>
      <c r="F9" s="1626"/>
      <c r="G9" s="1626"/>
      <c r="H9" s="1626"/>
      <c r="I9" s="1280"/>
    </row>
    <row r="10" spans="1:12" ht="12.75">
      <c r="A10" s="3259" t="s">
        <v>1275</v>
      </c>
      <c r="B10" s="3246">
        <v>15</v>
      </c>
      <c r="C10" s="3262"/>
      <c r="D10" s="3282"/>
      <c r="E10" s="122" t="s">
        <v>1276</v>
      </c>
      <c r="F10" s="1626"/>
      <c r="G10" s="1626"/>
      <c r="H10" s="1626"/>
      <c r="I10" s="1280"/>
    </row>
    <row r="11" spans="1:12" ht="12.75">
      <c r="A11" s="3259"/>
      <c r="B11" s="3246"/>
      <c r="C11" s="3264"/>
      <c r="D11" s="3282"/>
      <c r="E11" s="122" t="s">
        <v>1277</v>
      </c>
      <c r="F11" s="1626"/>
      <c r="G11" s="1626"/>
      <c r="H11" s="1626"/>
      <c r="I11" s="1280"/>
    </row>
    <row r="12" spans="1:12" ht="12.75">
      <c r="A12" s="3259" t="s">
        <v>1278</v>
      </c>
      <c r="B12" s="3246">
        <v>15</v>
      </c>
      <c r="C12" s="3262"/>
      <c r="D12" s="3282"/>
      <c r="E12" s="122" t="s">
        <v>1279</v>
      </c>
      <c r="F12" s="1626"/>
      <c r="G12" s="1626"/>
      <c r="H12" s="1626"/>
      <c r="I12" s="1280"/>
    </row>
    <row r="13" spans="1:12" ht="12.75">
      <c r="A13" s="3259"/>
      <c r="B13" s="3246"/>
      <c r="C13" s="3264"/>
      <c r="D13" s="3282"/>
      <c r="E13" s="122" t="s">
        <v>1280</v>
      </c>
      <c r="F13" s="1626"/>
      <c r="G13" s="1626"/>
      <c r="H13" s="1626"/>
      <c r="I13" s="1280"/>
    </row>
    <row r="14" spans="1:12" ht="12.75">
      <c r="A14" s="3259" t="s">
        <v>1281</v>
      </c>
      <c r="B14" s="3246">
        <v>30</v>
      </c>
      <c r="C14" s="3262">
        <v>55</v>
      </c>
      <c r="D14" s="3282">
        <v>45</v>
      </c>
      <c r="E14" s="122" t="s">
        <v>1282</v>
      </c>
      <c r="F14" s="1626"/>
      <c r="G14" s="1626"/>
      <c r="H14" s="1626"/>
      <c r="I14" s="1280"/>
    </row>
    <row r="15" spans="1:12" ht="12.75">
      <c r="A15" s="3259"/>
      <c r="B15" s="3246"/>
      <c r="C15" s="3263"/>
      <c r="D15" s="3282"/>
      <c r="E15" s="122" t="s">
        <v>1283</v>
      </c>
      <c r="F15" s="1626"/>
      <c r="G15" s="1626"/>
      <c r="H15" s="1626"/>
      <c r="I15" s="1280"/>
    </row>
    <row r="16" spans="1:12" ht="12.75">
      <c r="A16" s="3259"/>
      <c r="B16" s="3246"/>
      <c r="C16" s="3264"/>
      <c r="D16" s="3282"/>
      <c r="E16" s="122" t="s">
        <v>1284</v>
      </c>
      <c r="F16" s="1626"/>
      <c r="G16" s="1626"/>
      <c r="H16" s="1626"/>
      <c r="I16" s="1280"/>
    </row>
    <row r="17" spans="1:36" ht="15">
      <c r="A17" s="1627" t="s">
        <v>1285</v>
      </c>
      <c r="B17" s="54"/>
      <c r="C17" s="123">
        <f>SUM(C5:C16)</f>
        <v>55</v>
      </c>
      <c r="D17" s="123">
        <f>SUM(D5:D16)</f>
        <v>45</v>
      </c>
      <c r="E17" s="120"/>
      <c r="F17" s="120"/>
      <c r="G17" s="120"/>
      <c r="H17" s="120"/>
      <c r="I17" s="120"/>
      <c r="K17" s="293"/>
      <c r="L17" s="293" t="s">
        <v>1286</v>
      </c>
      <c r="M17" s="293" t="s">
        <v>1287</v>
      </c>
    </row>
    <row r="18" spans="1:36" ht="31.9" customHeight="1" thickBot="1">
      <c r="A18" s="1628" t="s">
        <v>1288</v>
      </c>
      <c r="B18" s="1541"/>
      <c r="C18" s="124">
        <f>ROUND(C17/SUM(C17:D17),2)</f>
        <v>0.55000000000000004</v>
      </c>
      <c r="D18" s="124">
        <f>1-C18</f>
        <v>0.44999999999999996</v>
      </c>
      <c r="E18" s="3269" t="s">
        <v>2131</v>
      </c>
      <c r="F18" s="3270"/>
      <c r="G18" s="3270"/>
      <c r="H18" s="3270"/>
      <c r="I18" s="3270"/>
      <c r="K18" s="293" t="s">
        <v>1289</v>
      </c>
      <c r="L18" s="293">
        <f>IF(C1="",'数据-汇总表'!E3,SUMIF(项目类型,C1,'数据-汇总表'!E17:E26)+SUMIF(项目类型,C1,'数据-汇总表'!I17:I26))</f>
        <v>227.25</v>
      </c>
      <c r="M18" s="293">
        <f>IF(C1="",'数据-汇总表'!E3,SUMIF(项目类型,C1,'数据-汇总表'!E17:E26))</f>
        <v>227.25</v>
      </c>
    </row>
    <row r="19" spans="1:36" ht="15">
      <c r="A19" s="1629" t="s">
        <v>1290</v>
      </c>
      <c r="B19" s="1630" t="s">
        <v>1291</v>
      </c>
      <c r="C19" s="125">
        <f ca="1">SUMIF(INDIRECT("'"&amp;C4&amp;"'"&amp;"!A:A"),结果表!B19,INDIRECT("'"&amp;C4&amp;"'"&amp;"!B:B"))</f>
        <v>650.07140000000004</v>
      </c>
      <c r="D19" s="3154">
        <f ca="1">SUMIF(INDIRECT("'"&amp;D4&amp;"'"&amp;"!A:A"),结果表!B19,INDIRECT("'"&amp;D4&amp;"'"&amp;"!B:B"))</f>
        <v>237.73509999999999</v>
      </c>
      <c r="E19" s="1629" t="s">
        <v>1292</v>
      </c>
      <c r="F19" s="1630" t="s">
        <v>1291</v>
      </c>
      <c r="G19" s="127">
        <f ca="1">ROUND(C19*$C$18+D19*$D$18,0)</f>
        <v>465</v>
      </c>
      <c r="H19" s="1631" t="s">
        <v>1293</v>
      </c>
      <c r="I19" s="120"/>
      <c r="K19" s="293" t="s">
        <v>1294</v>
      </c>
      <c r="L19" s="293">
        <f>IF(C1="",'数据-汇总表'!D3,SUMIF(项目类型,C1,'数据-汇总表'!D17:D26)+SUMIF(项目类型,C1,'数据-汇总表'!H17:H27))</f>
        <v>0</v>
      </c>
      <c r="M19" s="293">
        <f>IF(C1="",'数据-汇总表'!D3,SUMIF(项目类型,C1,'数据-汇总表'!D17:D26))</f>
        <v>0</v>
      </c>
    </row>
    <row r="20" spans="1:36" ht="15">
      <c r="A20" s="1632"/>
      <c r="B20" s="43" t="s">
        <v>1295</v>
      </c>
      <c r="C20" s="128">
        <f ca="1">SUMIF(INDIRECT("'"&amp;C4&amp;"'"&amp;"!A:A"),结果表!B20,INDIRECT("'"&amp;C4&amp;"'"&amp;"!B:B"))</f>
        <v>28606</v>
      </c>
      <c r="D20" s="129">
        <f ca="1">SUMIF(INDIRECT("'"&amp;D4&amp;"'"&amp;"!A:A"),结果表!B20,INDIRECT("'"&amp;D4&amp;"'"&amp;"!B:B"))</f>
        <v>10461</v>
      </c>
      <c r="E20" s="1632"/>
      <c r="F20" s="43" t="s">
        <v>1295</v>
      </c>
      <c r="G20" s="130">
        <f ca="1">ROUND(C20*$C$18+D20*$D$18,0)</f>
        <v>20441</v>
      </c>
      <c r="H20" s="759" t="s">
        <v>1296</v>
      </c>
      <c r="I20" s="120"/>
    </row>
    <row r="21" spans="1:36" ht="15" customHeight="1" thickBot="1">
      <c r="A21" s="448"/>
      <c r="B21" s="93" t="s">
        <v>1297</v>
      </c>
      <c r="C21" s="677" t="e">
        <f ca="1">ROUND(C19*10000/L19,0)</f>
        <v>#DIV/0!</v>
      </c>
      <c r="D21" s="678" t="e">
        <f ca="1">ROUND(D19*10000/L19,0)</f>
        <v>#DIV/0!</v>
      </c>
      <c r="E21" s="448"/>
      <c r="F21" s="93" t="s">
        <v>1297</v>
      </c>
      <c r="G21" s="131" t="e">
        <f ca="1">ROUND(G19*10000/L19,0)</f>
        <v>#DIV/0!</v>
      </c>
      <c r="H21" s="1633" t="s">
        <v>1296</v>
      </c>
      <c r="I21" s="120"/>
    </row>
    <row r="22" spans="1:36" ht="15" thickBot="1">
      <c r="A22" s="1563" t="s">
        <v>1298</v>
      </c>
      <c r="B22" s="1634"/>
      <c r="C22" s="1635"/>
      <c r="D22" s="679">
        <f ca="1">IF(C19&lt;D19,D19/C19-1,C19/D19-1)</f>
        <v>1.7344359331036943</v>
      </c>
      <c r="E22" s="120"/>
      <c r="F22" s="120"/>
      <c r="G22" s="120"/>
      <c r="H22" s="120"/>
      <c r="I22" s="120"/>
    </row>
    <row r="23" spans="1:36" ht="13.5" thickBot="1">
      <c r="A23" s="645"/>
      <c r="B23" s="645"/>
      <c r="C23" s="645"/>
      <c r="D23" s="645"/>
      <c r="E23" s="120"/>
      <c r="F23" s="120"/>
      <c r="G23" s="120"/>
      <c r="H23" s="120"/>
      <c r="I23" s="120"/>
    </row>
    <row r="24" spans="1:36" ht="14.25">
      <c r="A24" s="3253" t="s">
        <v>1299</v>
      </c>
      <c r="B24" s="1630" t="s">
        <v>1291</v>
      </c>
      <c r="C24" s="127">
        <f>IF(B30=0,0,D30)</f>
        <v>0</v>
      </c>
      <c r="D24" s="1636"/>
      <c r="E24" s="120"/>
      <c r="F24" s="120"/>
      <c r="G24" s="120"/>
      <c r="H24" s="120"/>
      <c r="I24" s="120"/>
    </row>
    <row r="25" spans="1:36" ht="14.25">
      <c r="A25" s="3254"/>
      <c r="B25" s="43"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4.25">
      <c r="A27" s="1638"/>
      <c r="B27" s="133">
        <v>0</v>
      </c>
      <c r="C27" s="133">
        <v>0</v>
      </c>
      <c r="D27" s="134">
        <f>ROUND(C27*B27/10000,0)</f>
        <v>0</v>
      </c>
      <c r="E27" s="120"/>
      <c r="F27" s="120"/>
      <c r="G27" s="120"/>
      <c r="H27" s="120"/>
      <c r="I27" s="120"/>
    </row>
    <row r="28" spans="1:36" ht="14.25">
      <c r="A28" s="1638"/>
      <c r="B28" s="133"/>
      <c r="C28" s="133"/>
      <c r="D28" s="134"/>
      <c r="E28" s="120"/>
      <c r="F28" s="120"/>
      <c r="G28" s="120"/>
      <c r="H28" s="120"/>
      <c r="I28" s="120"/>
    </row>
    <row r="29" spans="1:36" ht="14.25">
      <c r="A29" s="1638"/>
      <c r="B29" s="133"/>
      <c r="C29" s="133"/>
      <c r="D29" s="134"/>
      <c r="E29" s="120"/>
      <c r="F29" s="120"/>
      <c r="G29" s="120"/>
      <c r="H29" s="120"/>
      <c r="I29" s="120"/>
    </row>
    <row r="30" spans="1:36" ht="15" thickBot="1">
      <c r="A30" s="133" t="s">
        <v>1304</v>
      </c>
      <c r="B30" s="133"/>
      <c r="C30" s="133"/>
      <c r="D30" s="133"/>
      <c r="E30" s="2126" t="s">
        <v>2132</v>
      </c>
      <c r="F30" s="120"/>
      <c r="G30" s="120"/>
      <c r="H30" s="120"/>
      <c r="I30" s="120"/>
    </row>
    <row r="31" spans="1:36" s="2132" customFormat="1" ht="26.45" customHeight="1" thickTop="1" thickBot="1">
      <c r="A31" s="2127"/>
      <c r="B31" s="2128"/>
      <c r="C31" s="2128"/>
      <c r="D31" s="2128"/>
      <c r="E31" s="2128"/>
      <c r="F31" s="2128"/>
      <c r="G31" s="2128"/>
      <c r="H31" s="2128"/>
      <c r="I31" s="2129" t="s">
        <v>2133</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5">
        <f ca="1">IF(D32="总价",G19-C24,G20-C25)</f>
        <v>20441</v>
      </c>
      <c r="D32" s="1640" t="s">
        <v>3410</v>
      </c>
      <c r="E32" s="120"/>
      <c r="F32" s="120"/>
      <c r="G32" s="120"/>
      <c r="H32" s="120"/>
      <c r="I32" s="120"/>
    </row>
    <row r="33" spans="1:15" ht="15">
      <c r="A33" s="739" t="s">
        <v>1306</v>
      </c>
      <c r="B33" s="122"/>
      <c r="C33" s="1641" t="s">
        <v>3411</v>
      </c>
      <c r="D33" s="1642"/>
      <c r="E33" s="1643" t="s">
        <v>1307</v>
      </c>
      <c r="F33" s="1644" t="str">
        <f>IF(D32="楼面单价","取值（单价）","取值（总价）")</f>
        <v>取值（单价）</v>
      </c>
      <c r="G33" s="120"/>
      <c r="H33" s="120"/>
      <c r="I33" s="120"/>
    </row>
    <row r="34" spans="1:15" ht="15">
      <c r="A34" s="1645"/>
      <c r="B34" s="1646" t="s">
        <v>1308</v>
      </c>
      <c r="C34" s="139">
        <f>IF(C33="自定义",F34,C32-C35)</f>
        <v>0</v>
      </c>
      <c r="D34" s="807">
        <f ca="1">IF(C33="自定义",ROUND(C34/C32,3),IF(C33="收益比率",SUMIF(INDIRECT("'"&amp;D33&amp;"'"&amp;"!b:b"),"土地收益比率",INDIRECT("'"&amp;D33&amp;"'"&amp;"!c:c")),SUMIF(INDIRECT("'"&amp;D33&amp;"'"&amp;"!b:b"),"土地成本比率",INDIRECT("'"&amp;D33&amp;"'"&amp;"!c:c"))))</f>
        <v>0</v>
      </c>
      <c r="E34" s="1647" t="s">
        <v>1309</v>
      </c>
      <c r="F34" s="1242"/>
      <c r="G34" s="120"/>
      <c r="H34" s="120"/>
      <c r="I34" s="120"/>
    </row>
    <row r="35" spans="1:15" ht="15.75" thickBot="1">
      <c r="A35" s="1648"/>
      <c r="B35" s="1649" t="s">
        <v>1310</v>
      </c>
      <c r="C35" s="1089">
        <f>IF(C33="自定义",F35,ROUND(C32*D35,0))</f>
        <v>0</v>
      </c>
      <c r="D35" s="1090">
        <f ca="1">IF(C33="自定义",ROUND(C35/C32,3),IF(C33="收益比率",SUMIF(INDIRECT("'"&amp;D33&amp;"'"&amp;"!b:b"),"建筑物收益比率",INDIRECT("'"&amp;D33&amp;"'"&amp;"!c:c")),SUMIF(INDIRECT("'"&amp;D33&amp;"'"&amp;"!b:b"),"建筑物成本比率",INDIRECT("'"&amp;D33&amp;"'"&amp;"!c:c"))))</f>
        <v>0</v>
      </c>
      <c r="E35" s="1650" t="s">
        <v>1311</v>
      </c>
      <c r="F35" s="145"/>
      <c r="G35" s="120"/>
      <c r="H35" s="120"/>
      <c r="I35" s="120"/>
    </row>
    <row r="36" spans="1:15" ht="15.75" thickBot="1">
      <c r="A36" s="3273" t="s">
        <v>1312</v>
      </c>
      <c r="B36" s="1651" t="s">
        <v>1313</v>
      </c>
      <c r="C36" s="136"/>
      <c r="D36" s="1652"/>
      <c r="E36" s="1566"/>
      <c r="F36" s="1653"/>
      <c r="G36" s="120"/>
      <c r="H36" s="120"/>
      <c r="I36" s="120"/>
    </row>
    <row r="37" spans="1:15" ht="15.75" thickBot="1">
      <c r="A37" s="3274"/>
      <c r="B37" s="1554" t="s">
        <v>1314</v>
      </c>
      <c r="C37" s="138"/>
      <c r="D37" s="1070"/>
      <c r="E37" s="1070"/>
      <c r="F37" s="1653"/>
      <c r="G37" s="120"/>
      <c r="H37" s="120"/>
      <c r="I37" s="120"/>
    </row>
    <row r="38" spans="1:15" ht="15.75" thickBot="1">
      <c r="A38" s="3275"/>
      <c r="B38" s="1654" t="s">
        <v>1315</v>
      </c>
      <c r="C38" s="640"/>
      <c r="D38" s="1655" t="s">
        <v>1316</v>
      </c>
      <c r="E38" s="1070"/>
      <c r="F38" s="1653"/>
      <c r="G38" s="120"/>
      <c r="H38" s="120"/>
      <c r="I38" s="120"/>
    </row>
    <row r="39" spans="1:15" ht="15">
      <c r="A39" s="1632" t="s">
        <v>1317</v>
      </c>
      <c r="B39" s="1656" t="s">
        <v>1318</v>
      </c>
      <c r="C39" s="1657" t="s">
        <v>1319</v>
      </c>
      <c r="D39" s="1657" t="s">
        <v>1320</v>
      </c>
      <c r="E39" s="1658" t="s">
        <v>1321</v>
      </c>
      <c r="F39" s="1653"/>
      <c r="G39" s="120"/>
      <c r="H39" s="120"/>
      <c r="I39" s="120"/>
    </row>
    <row r="40" spans="1:15" ht="14.25">
      <c r="A40" s="1659" t="s">
        <v>1322</v>
      </c>
      <c r="B40" s="140"/>
      <c r="C40" s="141"/>
      <c r="D40" s="141"/>
      <c r="E40" s="142"/>
      <c r="F40" s="1653"/>
      <c r="G40" s="120"/>
      <c r="H40" s="120"/>
      <c r="I40" s="120"/>
    </row>
    <row r="41" spans="1:15" ht="14.25">
      <c r="A41" s="1659" t="s">
        <v>1323</v>
      </c>
      <c r="B41" s="140"/>
      <c r="C41" s="141"/>
      <c r="D41" s="141"/>
      <c r="E41" s="142"/>
      <c r="F41" s="1653"/>
      <c r="G41" s="120"/>
      <c r="H41" s="120"/>
      <c r="I41" s="120"/>
    </row>
    <row r="42" spans="1:15" ht="15" thickBot="1">
      <c r="A42" s="1660"/>
      <c r="B42" s="143"/>
      <c r="C42" s="144"/>
      <c r="D42" s="144"/>
      <c r="E42" s="145"/>
      <c r="F42" s="1653"/>
      <c r="G42" s="120"/>
      <c r="H42" s="120"/>
      <c r="I42" s="120"/>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50" t="s">
        <v>1326</v>
      </c>
      <c r="B45" s="3251"/>
      <c r="C45" s="3252"/>
      <c r="D45" s="146">
        <f ca="1">ROUND(H101*F45,0)</f>
        <v>465</v>
      </c>
      <c r="E45" s="147" t="s">
        <v>1327</v>
      </c>
      <c r="F45" s="148">
        <v>1</v>
      </c>
      <c r="G45" s="149" t="s">
        <v>1328</v>
      </c>
      <c r="H45" s="120"/>
      <c r="I45" s="120"/>
      <c r="J45" s="3328" t="s">
        <v>1329</v>
      </c>
      <c r="K45" s="3328"/>
      <c r="L45" s="3328"/>
      <c r="M45" s="3328"/>
      <c r="N45" s="3328"/>
      <c r="O45" s="3328"/>
    </row>
    <row r="46" spans="1:15" ht="14.25" customHeight="1">
      <c r="A46" s="3247" t="s">
        <v>1330</v>
      </c>
      <c r="B46" s="3248"/>
      <c r="C46" s="3248"/>
      <c r="D46" s="3248"/>
      <c r="E46" s="3248"/>
      <c r="F46" s="3248"/>
      <c r="G46" s="3249"/>
      <c r="H46" s="1667"/>
      <c r="I46" s="150"/>
      <c r="J46" s="2308">
        <v>1</v>
      </c>
      <c r="K46" s="3309" t="s">
        <v>1331</v>
      </c>
      <c r="L46" s="3309"/>
      <c r="M46" s="3329"/>
      <c r="N46" s="3329"/>
      <c r="O46" s="3329"/>
    </row>
    <row r="47" spans="1:15" ht="12" customHeight="1">
      <c r="A47" s="151" t="s">
        <v>1332</v>
      </c>
      <c r="B47" s="152"/>
      <c r="C47" s="153"/>
      <c r="D47" s="1023" t="s">
        <v>1333</v>
      </c>
      <c r="E47" s="293" t="s">
        <v>1334</v>
      </c>
      <c r="F47" s="154" t="s">
        <v>1335</v>
      </c>
      <c r="G47" s="2331" t="s">
        <v>1336</v>
      </c>
      <c r="H47" s="2332"/>
      <c r="I47" s="150"/>
      <c r="J47" s="2308">
        <v>2</v>
      </c>
      <c r="K47" s="3309" t="s">
        <v>1337</v>
      </c>
      <c r="L47" s="3309"/>
      <c r="M47" s="3330">
        <f>'数据-取费表'!B2</f>
        <v>45580</v>
      </c>
      <c r="N47" s="3330"/>
      <c r="O47" s="3330"/>
    </row>
    <row r="48" spans="1:15" ht="25.5">
      <c r="A48" s="3278" t="s">
        <v>1338</v>
      </c>
      <c r="B48" s="3261"/>
      <c r="C48" s="3261"/>
      <c r="D48" s="12" t="b">
        <f>IF(H48="情况1",0,IF(H48="情况2",D52,IF(H48="情况3",D53,IF(H48="情况4",D54))))</f>
        <v>0</v>
      </c>
      <c r="E48" s="1255" t="str">
        <f>IF(H48="情况4","(销售额-原购置价)×税（费）率","销售额×税（费）率")</f>
        <v>销售额×税（费）率</v>
      </c>
      <c r="F48" s="2333">
        <f>IF(H48="情况1","免征",'数据-取费表'!B41)</f>
        <v>5.5000000000000007E-2</v>
      </c>
      <c r="G48" s="2334" t="s">
        <v>1339</v>
      </c>
      <c r="H48" s="2335"/>
      <c r="I48" s="1667"/>
      <c r="J48" s="2308">
        <v>3</v>
      </c>
      <c r="K48" s="3309" t="s">
        <v>1340</v>
      </c>
      <c r="L48" s="3309"/>
      <c r="M48" s="3331">
        <f ca="1">H101</f>
        <v>464.52170000000001</v>
      </c>
      <c r="N48" s="3331"/>
      <c r="O48" s="3331"/>
    </row>
    <row r="49" spans="1:35" ht="25.5" customHeight="1">
      <c r="A49" s="2151" t="s">
        <v>1341</v>
      </c>
      <c r="B49" s="3245" t="s">
        <v>1342</v>
      </c>
      <c r="C49" s="3245"/>
      <c r="D49" s="1477">
        <v>0</v>
      </c>
      <c r="E49" s="315" t="s">
        <v>1343</v>
      </c>
      <c r="F49" s="2231" t="s">
        <v>28</v>
      </c>
      <c r="G49" s="3315"/>
      <c r="H49" s="2133" t="s">
        <v>2134</v>
      </c>
      <c r="I49" s="2134"/>
      <c r="J49" s="2308">
        <v>4</v>
      </c>
      <c r="K49" s="3309" t="str">
        <f>IF(项目基本情况!E8="房地产抵押价值","房地产抵押价值","抵押担保权已注销时的房地产抵押价值")</f>
        <v>房地产抵押价值</v>
      </c>
      <c r="L49" s="3309"/>
      <c r="M49" s="3331">
        <f ca="1">IF(项目基本情况!E8="房地产抵押价值",H107,H109)</f>
        <v>464.52170000000001</v>
      </c>
      <c r="N49" s="3331"/>
      <c r="O49" s="3331"/>
    </row>
    <row r="50" spans="1:35" ht="25.5" customHeight="1">
      <c r="A50" s="2336"/>
      <c r="B50" s="3245" t="s">
        <v>1344</v>
      </c>
      <c r="C50" s="3245"/>
      <c r="D50" s="2188"/>
      <c r="E50" s="322"/>
      <c r="F50" s="2231"/>
      <c r="G50" s="3316"/>
      <c r="H50" s="2135" t="s">
        <v>2135</v>
      </c>
      <c r="I50" s="2134"/>
      <c r="J50" s="3328" t="s">
        <v>1345</v>
      </c>
      <c r="K50" s="3328"/>
      <c r="L50" s="3328"/>
      <c r="M50" s="3328"/>
      <c r="N50" s="3328"/>
      <c r="O50" s="3328"/>
    </row>
    <row r="51" spans="1:35" ht="20.45" customHeight="1">
      <c r="A51" s="2337"/>
      <c r="B51" s="3245" t="s">
        <v>1346</v>
      </c>
      <c r="C51" s="3245"/>
      <c r="D51" s="1023"/>
      <c r="E51" s="318"/>
      <c r="F51" s="2231"/>
      <c r="G51" s="3317"/>
      <c r="H51" s="2135" t="s">
        <v>2136</v>
      </c>
      <c r="I51" s="2134"/>
      <c r="J51" s="2309" t="s">
        <v>1347</v>
      </c>
      <c r="K51" s="3309" t="s">
        <v>1348</v>
      </c>
      <c r="L51" s="3309"/>
      <c r="M51" s="2309" t="s">
        <v>1349</v>
      </c>
      <c r="N51" s="2309" t="s">
        <v>1350</v>
      </c>
      <c r="O51" s="2309" t="s">
        <v>1351</v>
      </c>
    </row>
    <row r="52" spans="1:35" ht="24" customHeight="1">
      <c r="A52" s="2152" t="s">
        <v>1352</v>
      </c>
      <c r="B52" s="3245" t="s">
        <v>1353</v>
      </c>
      <c r="C52" s="3245"/>
      <c r="D52" s="1023">
        <f ca="1">ROUND(D45*'数据-取费表'!B41/(1+'数据-取费表'!C42),0)</f>
        <v>24</v>
      </c>
      <c r="E52" s="1255" t="s">
        <v>1354</v>
      </c>
      <c r="F52" s="2338">
        <f>'数据-取费表'!B41</f>
        <v>5.5000000000000007E-2</v>
      </c>
      <c r="G52" s="2339"/>
      <c r="H52" s="2329"/>
      <c r="I52" s="1668"/>
      <c r="J52" s="2308">
        <v>1</v>
      </c>
      <c r="K52" s="3310" t="s">
        <v>1355</v>
      </c>
      <c r="L52" s="3310"/>
      <c r="M52" s="2310" t="b">
        <f>D48</f>
        <v>0</v>
      </c>
      <c r="N52" s="2308" t="str">
        <f>E48</f>
        <v>销售额×税（费）率</v>
      </c>
      <c r="O52" s="2311">
        <f>F48</f>
        <v>5.5000000000000007E-2</v>
      </c>
    </row>
    <row r="53" spans="1:35" ht="12" customHeight="1">
      <c r="A53" s="2152" t="s">
        <v>1356</v>
      </c>
      <c r="B53" s="3271" t="s">
        <v>2291</v>
      </c>
      <c r="C53" s="3272"/>
      <c r="D53" s="1023">
        <f ca="1">ROUND(D45*'数据-取费表'!B41/(1+'数据-取费表'!C42),0)</f>
        <v>24</v>
      </c>
      <c r="E53" s="1255" t="s">
        <v>1354</v>
      </c>
      <c r="F53" s="2338">
        <f>'数据-取费表'!B41</f>
        <v>5.5000000000000007E-2</v>
      </c>
      <c r="G53" s="2339"/>
      <c r="H53" s="2329"/>
      <c r="I53" s="1668"/>
      <c r="J53" s="2308">
        <v>2</v>
      </c>
      <c r="K53" s="3310" t="s">
        <v>1357</v>
      </c>
      <c r="L53" s="3310"/>
      <c r="M53" s="2310">
        <f t="shared" ref="M53:O54" ca="1" si="0">D55</f>
        <v>0</v>
      </c>
      <c r="N53" s="2308" t="str">
        <f t="shared" si="0"/>
        <v>销售额×税（费）率</v>
      </c>
      <c r="O53" s="2311" t="str">
        <f t="shared" si="0"/>
        <v>免征</v>
      </c>
    </row>
    <row r="54" spans="1:35" ht="12" customHeight="1">
      <c r="A54" s="2152" t="s">
        <v>1358</v>
      </c>
      <c r="B54" s="3271" t="s">
        <v>2292</v>
      </c>
      <c r="C54" s="3272"/>
      <c r="D54" s="1023">
        <f ca="1">C68</f>
        <v>24</v>
      </c>
      <c r="E54" s="318" t="s">
        <v>1359</v>
      </c>
      <c r="F54" s="2338">
        <f>'数据-取费表'!B41</f>
        <v>5.5000000000000007E-2</v>
      </c>
      <c r="G54" s="2339"/>
      <c r="H54" s="2340"/>
      <c r="I54" s="1668"/>
      <c r="J54" s="2308">
        <v>3</v>
      </c>
      <c r="K54" s="3310" t="s">
        <v>1360</v>
      </c>
      <c r="L54" s="3310"/>
      <c r="M54" s="2310">
        <f t="shared" ca="1" si="0"/>
        <v>264</v>
      </c>
      <c r="N54" s="2308" t="str">
        <f t="shared" si="0"/>
        <v>增值额×税（费）率</v>
      </c>
      <c r="O54" s="2312" t="str">
        <f t="shared" si="0"/>
        <v>免征</v>
      </c>
    </row>
    <row r="55" spans="1:35" ht="24" customHeight="1">
      <c r="A55" s="3260" t="s">
        <v>1361</v>
      </c>
      <c r="B55" s="3261"/>
      <c r="C55" s="3261"/>
      <c r="D55" s="12">
        <f ca="1">IF(H55="个人住宅",0,ROUND(D45*I55,0))</f>
        <v>0</v>
      </c>
      <c r="E55" s="1255" t="s">
        <v>1362</v>
      </c>
      <c r="F55" s="2338" t="str">
        <f>IF(H55="正常",I55,"免征")</f>
        <v>免征</v>
      </c>
      <c r="G55" s="2339"/>
      <c r="H55" s="2335"/>
      <c r="I55" s="156">
        <f>'数据-取费表'!B49</f>
        <v>5.0000000000000002E-5</v>
      </c>
      <c r="J55" s="2308">
        <f>IF(H59="非个人房产","",4)</f>
        <v>4</v>
      </c>
      <c r="K55" s="3310" t="str">
        <f>IF(H59="非个人房产","——","个人所得税")</f>
        <v>个人所得税</v>
      </c>
      <c r="L55" s="3310"/>
      <c r="M55" s="2313">
        <f ca="1">D59</f>
        <v>4</v>
      </c>
      <c r="N55" s="1882" t="str">
        <f>E59</f>
        <v>差额计税</v>
      </c>
      <c r="O55" s="2314">
        <f>F59</f>
        <v>0.01</v>
      </c>
    </row>
    <row r="56" spans="1:35" ht="24.75">
      <c r="A56" s="3260" t="s">
        <v>1363</v>
      </c>
      <c r="B56" s="3261"/>
      <c r="C56" s="3261"/>
      <c r="D56" s="12">
        <f ca="1">IF(H56="个人住宅",D57,D58)</f>
        <v>264</v>
      </c>
      <c r="E56" s="1255" t="s">
        <v>1364</v>
      </c>
      <c r="F56" s="2338" t="str">
        <f>IF(H56="正常",F58,"免征")</f>
        <v>免征</v>
      </c>
      <c r="G56" s="2341" t="s">
        <v>1365</v>
      </c>
      <c r="H56" s="2342"/>
      <c r="I56" s="1669"/>
      <c r="J56" s="2308" t="str">
        <f>IF(项目基本情况!K6="上海银行",IF(J55="",4,J55+1),"")</f>
        <v/>
      </c>
      <c r="K56" s="3333" t="str">
        <f>IF(项目基本情况!K6="上海银行","其他处置费用","")</f>
        <v/>
      </c>
      <c r="L56" s="3334"/>
      <c r="M56" s="2310" t="str">
        <f>IF(项目基本情况!K6="上海银行",M69,"")</f>
        <v/>
      </c>
      <c r="N56" s="3333" t="str">
        <f>IF(项目基本情况!K6="上海银行","包含处置中涉及的律师、诉讼、拍卖、评估等费用","")</f>
        <v/>
      </c>
      <c r="O56" s="3336"/>
    </row>
    <row r="57" spans="1:35" ht="12.75">
      <c r="A57" s="2152" t="s">
        <v>1341</v>
      </c>
      <c r="B57" s="3271" t="s">
        <v>1366</v>
      </c>
      <c r="C57" s="3272"/>
      <c r="D57" s="1477">
        <v>0</v>
      </c>
      <c r="E57" s="315" t="s">
        <v>1343</v>
      </c>
      <c r="F57" s="293"/>
      <c r="G57" s="2339"/>
      <c r="H57" s="2343"/>
      <c r="I57" s="1669"/>
      <c r="J57" s="3310">
        <f>IF(AND(J55="",J56=""),4,IF(项目基本情况!K6="上海银行",结果表!J56+1,结果表!J55+1))</f>
        <v>5</v>
      </c>
      <c r="K57" s="3310" t="s">
        <v>1367</v>
      </c>
      <c r="L57" s="2315" t="s">
        <v>1368</v>
      </c>
      <c r="M57" s="2316"/>
      <c r="N57" s="2317">
        <f ca="1">SUMIF(M52:M56,"&lt;9e307")</f>
        <v>268</v>
      </c>
      <c r="O57" s="2318"/>
      <c r="P57" s="2462">
        <f ca="1">N57/M49</f>
        <v>0.57693752520065267</v>
      </c>
    </row>
    <row r="58" spans="1:35" ht="24.75">
      <c r="A58" s="2152" t="s">
        <v>1352</v>
      </c>
      <c r="B58" s="3271" t="s">
        <v>1369</v>
      </c>
      <c r="C58" s="3245"/>
      <c r="D58" s="12">
        <f ca="1">IF(H58="转让取得",C81,C97)</f>
        <v>264</v>
      </c>
      <c r="E58" s="1255" t="s">
        <v>1364</v>
      </c>
      <c r="F58" s="293" t="s">
        <v>28</v>
      </c>
      <c r="G58" s="2339"/>
      <c r="H58" s="2342"/>
      <c r="I58" s="1669"/>
      <c r="J58" s="3310"/>
      <c r="K58" s="3310"/>
      <c r="L58" s="2315" t="s">
        <v>1370</v>
      </c>
      <c r="M58" s="2319"/>
      <c r="N58" s="2320" t="str">
        <f ca="1">NUMBERSTRING(INT(N57*10000),2)&amp;"元整"</f>
        <v>贰佰陆拾捌万元整</v>
      </c>
      <c r="O58" s="2321"/>
    </row>
    <row r="59" spans="1:35" ht="24.75" thickBot="1">
      <c r="A59" s="3313" t="s">
        <v>1371</v>
      </c>
      <c r="B59" s="3314"/>
      <c r="C59" s="3314"/>
      <c r="D59" s="2344">
        <f ca="1">IF(H59="非个人房产","——",IF(H59="个人住宅（满五唯一有凭证）",0,IF(H59="个人其他（无凭证）",ROUND(D45*F59,0),ROUND(C67*F59,0))))</f>
        <v>4</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311">
        <f>J57+1</f>
        <v>6</v>
      </c>
      <c r="K59" s="3310" t="s">
        <v>1372</v>
      </c>
      <c r="L59" s="2308" t="s">
        <v>1368</v>
      </c>
      <c r="M59" s="2322"/>
      <c r="N59" s="2323">
        <f ca="1">M49-N57</f>
        <v>196.52170000000001</v>
      </c>
      <c r="O59" s="2324"/>
    </row>
    <row r="60" spans="1:35" ht="12" customHeight="1">
      <c r="A60" s="1670"/>
      <c r="B60" s="645"/>
      <c r="C60" s="645"/>
      <c r="D60" s="645"/>
      <c r="E60" s="1465"/>
      <c r="F60" s="1669"/>
      <c r="G60" s="1669"/>
      <c r="H60" s="150"/>
      <c r="I60" s="120"/>
      <c r="J60" s="3312"/>
      <c r="K60" s="3310"/>
      <c r="L60" s="2315" t="s">
        <v>1370</v>
      </c>
      <c r="M60" s="2319"/>
      <c r="N60" s="2320" t="str">
        <f ca="1">NUMBERSTRING(INT(N59*10000),2)&amp;"元整"</f>
        <v>壹佰玖拾陆万伍仟贰佰壹拾柒元整</v>
      </c>
      <c r="O60" s="2321"/>
    </row>
    <row r="61" spans="1:35" ht="13.5" thickBot="1">
      <c r="A61" s="3258" t="s">
        <v>1373</v>
      </c>
      <c r="B61" s="3258"/>
      <c r="C61" s="3258"/>
      <c r="D61" s="3258"/>
      <c r="E61" s="3258"/>
      <c r="F61" s="1669"/>
      <c r="G61" s="1669"/>
      <c r="H61" s="150"/>
      <c r="I61" s="120"/>
      <c r="J61" s="2308">
        <f>J59+1</f>
        <v>7</v>
      </c>
      <c r="K61" s="3310" t="s">
        <v>1374</v>
      </c>
      <c r="L61" s="3310"/>
      <c r="M61" s="2325"/>
      <c r="N61" s="2326">
        <f ca="1">ROUND(N59*10000/'数据-汇总表'!E3,0)</f>
        <v>8648</v>
      </c>
      <c r="O61" s="2327"/>
    </row>
    <row r="62" spans="1:35" ht="12.75">
      <c r="A62" s="3276" t="s">
        <v>1375</v>
      </c>
      <c r="B62" s="3277"/>
      <c r="C62" s="1864"/>
      <c r="D62" s="1864" t="s">
        <v>1376</v>
      </c>
      <c r="E62" s="157" t="s">
        <v>1377</v>
      </c>
      <c r="F62" s="1669"/>
      <c r="G62" s="1669"/>
      <c r="H62" s="150"/>
      <c r="I62" s="120"/>
    </row>
    <row r="63" spans="1:35" ht="12.75">
      <c r="A63" s="164" t="s">
        <v>330</v>
      </c>
      <c r="B63" s="158" t="s">
        <v>1378</v>
      </c>
      <c r="C63" s="2348">
        <f ca="1">ROUND((C64+C65)/(1+'数据-取费表'!C42),0)</f>
        <v>443</v>
      </c>
      <c r="D63" s="158"/>
      <c r="E63" s="159"/>
      <c r="F63" s="1669"/>
      <c r="G63" s="1669"/>
      <c r="H63" s="150"/>
      <c r="I63" s="120"/>
      <c r="J63" s="3335" t="s">
        <v>1379</v>
      </c>
      <c r="K63" s="1244" t="s">
        <v>1380</v>
      </c>
      <c r="L63" s="1244">
        <f ca="1">IF(M49&gt;10000,M49*0.5%,IF(AND(M49&gt;1000,M49&lt;=10000),M49*1%,IF(AND(M49&gt;100,M49&lt;=1000),M49*3%,IF(AND(M49&gt;10,M49&lt;=100),M49*5%,M49*8%))))</f>
        <v>13.935651</v>
      </c>
      <c r="M63" s="293">
        <f ca="1">ROUND(L63,1)</f>
        <v>13.9</v>
      </c>
      <c r="N63" s="2328"/>
      <c r="Z63" s="1622"/>
      <c r="AI63" s="1560"/>
    </row>
    <row r="64" spans="1:35" ht="14.25" customHeight="1">
      <c r="A64" s="160" t="s">
        <v>325</v>
      </c>
      <c r="B64" s="161" t="s">
        <v>1381</v>
      </c>
      <c r="C64" s="2349">
        <f ca="1">D45</f>
        <v>465</v>
      </c>
      <c r="D64" s="161" t="s">
        <v>26</v>
      </c>
      <c r="E64" s="163"/>
      <c r="F64" s="1669"/>
      <c r="G64" s="1669"/>
      <c r="H64" s="150"/>
      <c r="I64" s="120"/>
      <c r="J64" s="3335"/>
      <c r="K64" s="1244" t="s">
        <v>1382</v>
      </c>
      <c r="L64" s="1244">
        <f ca="1">IF(M49&gt;2000,M49*0.5%,IF(AND(M49&gt;1000,M49&lt;=2000),M49*0.6%,IF(AND(M49&gt;500,M49&lt;=1000),M49*0.7%,IF(AND(M49&gt;200,M49&lt;=500),M49*0.8%,IF(AND(M49&gt;100,M49&lt;=200),M49*0.9%,IF(AND(M49&gt;50,M49&lt;=100),M49*1%,IF(AND(M49&gt;20,M49&lt;=50),M49*1.5%,IF(AND(M49&gt;10,M49&lt;=20),M49*2%,IF(AND(M49&gt;1,M49&lt;=10),M49*2.5%)))))))))</f>
        <v>3.7161736000000003</v>
      </c>
      <c r="M64" s="293">
        <f t="shared" ref="M64:M65" ca="1" si="1">ROUND(L64,1)</f>
        <v>3.7</v>
      </c>
      <c r="N64" s="2329" t="s">
        <v>1383</v>
      </c>
      <c r="Z64" s="1622"/>
      <c r="AI64" s="1560"/>
    </row>
    <row r="65" spans="1:35" ht="14.25" customHeight="1">
      <c r="A65" s="160" t="s">
        <v>326</v>
      </c>
      <c r="B65" s="161" t="s">
        <v>1384</v>
      </c>
      <c r="C65" s="2350"/>
      <c r="D65" s="161"/>
      <c r="E65" s="163"/>
      <c r="F65" s="1669"/>
      <c r="G65" s="1669"/>
      <c r="H65" s="150"/>
      <c r="I65" s="120"/>
      <c r="J65" s="3335"/>
      <c r="K65" s="1244" t="s">
        <v>1385</v>
      </c>
      <c r="L65" s="1244">
        <f ca="1">IF(M49&gt;1000,M49*0.1%,IF(AND(M49&gt;500,M49&lt;=1000),M49*0.5%,IF(AND(M49&gt;50,M49&lt;=500),M49*1%,IF(AND(M49&gt;1,M49&lt;=50),M49*1.5%))))</f>
        <v>4.6452170000000006</v>
      </c>
      <c r="M65" s="293">
        <f t="shared" ca="1" si="1"/>
        <v>4.5999999999999996</v>
      </c>
      <c r="N65" s="2329" t="s">
        <v>1383</v>
      </c>
      <c r="Z65" s="1622"/>
      <c r="AI65" s="1560"/>
    </row>
    <row r="66" spans="1:35" ht="14.25" customHeight="1">
      <c r="A66" s="164" t="s">
        <v>327</v>
      </c>
      <c r="B66" s="165" t="s">
        <v>1386</v>
      </c>
      <c r="C66" s="2351"/>
      <c r="D66" s="165" t="s">
        <v>26</v>
      </c>
      <c r="E66" s="1250" t="s">
        <v>671</v>
      </c>
      <c r="F66" s="1669"/>
      <c r="G66" s="1669"/>
      <c r="H66" s="150"/>
      <c r="I66" s="120"/>
      <c r="J66" s="3335"/>
      <c r="K66" s="1244" t="s">
        <v>1387</v>
      </c>
      <c r="L66" s="1244">
        <f ca="1">M49*0.5%</f>
        <v>2.3226085000000003</v>
      </c>
      <c r="M66" s="293">
        <f ca="1">IF(L66&gt;0.5,0.5,ROUND(L66,0))</f>
        <v>0.5</v>
      </c>
      <c r="N66" s="2329" t="s">
        <v>1388</v>
      </c>
      <c r="Z66" s="1622"/>
      <c r="AI66" s="1560"/>
    </row>
    <row r="67" spans="1:35" ht="14.25" customHeight="1">
      <c r="A67" s="164" t="s">
        <v>328</v>
      </c>
      <c r="B67" s="165" t="s">
        <v>1389</v>
      </c>
      <c r="C67" s="2352">
        <f ca="1">C63-C66</f>
        <v>443</v>
      </c>
      <c r="D67" s="161" t="s">
        <v>26</v>
      </c>
      <c r="E67" s="163"/>
      <c r="F67" s="1669"/>
      <c r="G67" s="1669"/>
      <c r="H67" s="150"/>
      <c r="I67" s="120"/>
      <c r="J67" s="3335"/>
      <c r="K67" s="1244" t="s">
        <v>1390</v>
      </c>
      <c r="L67" s="1244">
        <f ca="1">IF(M49&gt;=10000,(8.25+(M49-10000)*0.01%),IF(AND(M49&gt;=8000,M49&lt;10000),(7.85+(M49-8000)*0.02%),IF(AND(M49&gt;=5000,M49&lt;8000),(6.65+(M49-5000)*0.04%),IF(AND(M49&gt;=2000,M49&lt;5000),(4.25+(PM49-2000)*0.08%),IF(AND(M49&gt;=1000,M49&lt;2000),(2.75+(M49-1000)*0.15%),IF(AND(M49&gt;=100,M49&lt;1000),(0.5+(M49-100)*0.25%),IF(AND(M49&gt;0,M49&lt;100),M49*0.5%)))))))</f>
        <v>1.4113042500000001</v>
      </c>
      <c r="M67" s="293">
        <f ca="1">ROUND(L67*0.9,1)</f>
        <v>1.3</v>
      </c>
      <c r="N67" s="2328"/>
      <c r="Z67" s="1622"/>
      <c r="AI67" s="1560"/>
    </row>
    <row r="68" spans="1:35" ht="14.25" customHeight="1" thickBot="1">
      <c r="A68" s="167" t="s">
        <v>329</v>
      </c>
      <c r="B68" s="168" t="s">
        <v>1391</v>
      </c>
      <c r="C68" s="2353">
        <f ca="1">IF(C67&lt;=0,0,ROUND(C67*D68,0))</f>
        <v>24</v>
      </c>
      <c r="D68" s="2354">
        <f>'数据-取费表'!B41</f>
        <v>5.5000000000000007E-2</v>
      </c>
      <c r="E68" s="169"/>
      <c r="F68" s="1669"/>
      <c r="G68" s="1669"/>
      <c r="H68" s="150"/>
      <c r="I68" s="120"/>
      <c r="J68" s="3335"/>
      <c r="K68" s="1244" t="s">
        <v>1392</v>
      </c>
      <c r="L68" s="1244">
        <f ca="1">IF(M49&gt;10000,M49*0.5%,IF(AND(M49&gt;5000,M49&lt;=10000),M49*1%,IF(AND(M49&gt;1000,M49&lt;=5000),M49*2%,IF(AND(M49&gt;200,M49&lt;=1000),M49*3%,M49*5%))))</f>
        <v>13.935651</v>
      </c>
      <c r="M68" s="293">
        <f ca="1">ROUND(L68,1)</f>
        <v>13.9</v>
      </c>
      <c r="N68" s="2328"/>
      <c r="Z68" s="1622"/>
      <c r="AI68" s="1560"/>
    </row>
    <row r="69" spans="1:35" ht="16.5" customHeight="1">
      <c r="A69" s="1671"/>
      <c r="B69" s="1672"/>
      <c r="C69" s="1673"/>
      <c r="D69" s="1674"/>
      <c r="E69" s="1675"/>
      <c r="F69" s="1465"/>
      <c r="G69" s="1465"/>
      <c r="H69" s="1466"/>
      <c r="I69" s="645"/>
      <c r="J69" s="3335"/>
      <c r="K69" s="1244" t="s">
        <v>1393</v>
      </c>
      <c r="L69" s="1244"/>
      <c r="M69" s="293">
        <f ca="1">ROUND(SUM(M63:M68),0)</f>
        <v>38</v>
      </c>
      <c r="N69" s="2330">
        <f ca="1">M69/M49</f>
        <v>8.1804574468749253E-2</v>
      </c>
      <c r="Z69" s="1622"/>
      <c r="AI69" s="1560"/>
    </row>
    <row r="70" spans="1:35" s="641" customFormat="1" ht="15" thickBot="1">
      <c r="A70" s="3297" t="s">
        <v>1394</v>
      </c>
      <c r="B70" s="3298"/>
      <c r="C70" s="3298"/>
      <c r="D70" s="3298"/>
      <c r="E70" s="3298"/>
      <c r="F70" s="3298"/>
      <c r="G70" s="3298"/>
      <c r="H70" s="3298"/>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276" t="s">
        <v>1375</v>
      </c>
      <c r="B71" s="3277"/>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4" t="s">
        <v>330</v>
      </c>
      <c r="B72" s="165" t="s">
        <v>1395</v>
      </c>
      <c r="C72" s="2352">
        <f ca="1">ROUND(D45/(1+'数据-取费表'!C42),0)</f>
        <v>443</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4" t="s">
        <v>327</v>
      </c>
      <c r="B73" s="154" t="s">
        <v>1396</v>
      </c>
      <c r="C73" s="2352">
        <f ca="1">C74+C78</f>
        <v>2</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0" t="s">
        <v>331</v>
      </c>
      <c r="B75" s="161" t="s">
        <v>1398</v>
      </c>
      <c r="C75" s="2355"/>
      <c r="D75" s="161" t="s">
        <v>26</v>
      </c>
      <c r="E75" s="175" t="s">
        <v>1399</v>
      </c>
      <c r="F75" s="2356"/>
      <c r="G75" s="175" t="s">
        <v>1400</v>
      </c>
      <c r="H75" s="2357"/>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8">
        <v>0.05</v>
      </c>
      <c r="E76" s="3271" t="s">
        <v>1402</v>
      </c>
      <c r="F76" s="3245"/>
      <c r="G76" s="3245"/>
      <c r="H76" s="3296"/>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59">
        <f>'数据-取费表'!B48+'数据-取费表'!B49</f>
        <v>3.005E-2</v>
      </c>
      <c r="E77" s="12"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60">
        <f ca="1">ROUND(D45*D78/(1+'数据-取费表'!C42),0)</f>
        <v>2</v>
      </c>
      <c r="D78" s="2361">
        <f>'数据-取费表'!B43</f>
        <v>5.000000000000001E-3</v>
      </c>
      <c r="E78" s="3255" t="s">
        <v>1406</v>
      </c>
      <c r="F78" s="3256"/>
      <c r="G78" s="3256"/>
      <c r="H78" s="3265"/>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4" t="s">
        <v>334</v>
      </c>
      <c r="B79" s="165" t="s">
        <v>1407</v>
      </c>
      <c r="C79" s="2352">
        <f ca="1">C72-C73</f>
        <v>441</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2">
        <f ca="1">IF(C79&lt;=0,0,C79/C73)</f>
        <v>220.5</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7" t="s">
        <v>336</v>
      </c>
      <c r="B81" s="168" t="s">
        <v>1409</v>
      </c>
      <c r="C81" s="2363">
        <f ca="1">ROUND(IF(C79&lt;=0,0,IF(C80&gt;=200%,C79*60%-C73*35%,IF(C80&gt;=100%,C79*50%-C73*15%,IF(C80&gt;=50%,C79*40%-C73*5%,IF(C80&lt;50%,C79*30%,0))))),0)</f>
        <v>264</v>
      </c>
      <c r="D81" s="2364"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297" t="s">
        <v>1410</v>
      </c>
      <c r="B83" s="3298"/>
      <c r="C83" s="3298"/>
      <c r="D83" s="3298"/>
      <c r="E83" s="3298"/>
      <c r="F83" s="3298"/>
      <c r="G83" s="3298"/>
      <c r="H83" s="3298"/>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276" t="s">
        <v>1375</v>
      </c>
      <c r="B84" s="3277"/>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4" t="s">
        <v>330</v>
      </c>
      <c r="B85" s="165" t="s">
        <v>1395</v>
      </c>
      <c r="C85" s="2352">
        <f ca="1">ROUND(D45/(1+'数据-取费表'!C42),0)</f>
        <v>443</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4" t="s">
        <v>327</v>
      </c>
      <c r="B86" s="154" t="s">
        <v>1396</v>
      </c>
      <c r="C86" s="2352">
        <f ca="1">IF(H88="仅含出让金",C87+C90+C91+C92+C93+C94,C87+C91+C92+C93+C94)</f>
        <v>2</v>
      </c>
      <c r="D86" s="2365"/>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0" t="s">
        <v>325</v>
      </c>
      <c r="B87" s="161" t="s">
        <v>1411</v>
      </c>
      <c r="C87" s="2360">
        <f>C88+C89</f>
        <v>0</v>
      </c>
      <c r="D87" s="2361"/>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0" t="s">
        <v>331</v>
      </c>
      <c r="B88" s="161" t="s">
        <v>1412</v>
      </c>
      <c r="C88" s="2366"/>
      <c r="D88" s="2361"/>
      <c r="E88" s="184" t="s">
        <v>1413</v>
      </c>
      <c r="F88" s="2147"/>
      <c r="G88" s="185" t="s">
        <v>1414</v>
      </c>
      <c r="H88" s="1683"/>
      <c r="I88" s="1680"/>
      <c r="J88" s="2306"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0" t="s">
        <v>332</v>
      </c>
      <c r="B89" s="161" t="s">
        <v>1403</v>
      </c>
      <c r="C89" s="2360">
        <f>ROUND(C88*D89,0)</f>
        <v>0</v>
      </c>
      <c r="D89" s="2361">
        <f>'数据-取费表'!B48+'数据-取费表'!B49</f>
        <v>3.005E-2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0" t="s">
        <v>326</v>
      </c>
      <c r="B90" s="161" t="s">
        <v>1416</v>
      </c>
      <c r="C90" s="2366"/>
      <c r="D90" s="2361"/>
      <c r="E90" s="184" t="str">
        <f>IF(H88="-","土地取得成本中已包含该笔费用"," ")</f>
        <v xml:space="preserve"> </v>
      </c>
      <c r="F90" s="2147"/>
      <c r="G90" s="3337" t="s">
        <v>2129</v>
      </c>
      <c r="H90" s="3338"/>
      <c r="I90" s="1680"/>
      <c r="J90" s="2306"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60">
        <f>IF(H91="——",成本法!C33,I91)</f>
        <v>0</v>
      </c>
      <c r="D91" s="2361"/>
      <c r="E91" s="3255" t="s">
        <v>1419</v>
      </c>
      <c r="F91" s="3256"/>
      <c r="G91" s="3256"/>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60">
        <f>ROUND((C87+C90+C91)*D92,0)</f>
        <v>0</v>
      </c>
      <c r="D92" s="2367"/>
      <c r="E92" s="3255" t="s">
        <v>1422</v>
      </c>
      <c r="F92" s="3256"/>
      <c r="G92" s="3256"/>
      <c r="H92" s="3265"/>
      <c r="I92" s="1680"/>
      <c r="J92" s="2307"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60">
        <f ca="1">ROUND(D45*D93/(1+'数据-取费表'!C42),0)</f>
        <v>2</v>
      </c>
      <c r="D93" s="2361">
        <f>'数据-取费表'!B43</f>
        <v>5.000000000000001E-3</v>
      </c>
      <c r="E93" s="3255" t="s">
        <v>1406</v>
      </c>
      <c r="F93" s="3256"/>
      <c r="G93" s="3256"/>
      <c r="H93" s="3265"/>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6">
        <f>ROUND((C87+C90+C91)*D94,0)</f>
        <v>0</v>
      </c>
      <c r="D94" s="2361">
        <v>0.2</v>
      </c>
      <c r="E94" s="3266" t="s">
        <v>1426</v>
      </c>
      <c r="F94" s="3267"/>
      <c r="G94" s="3267"/>
      <c r="H94" s="3268"/>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4" t="s">
        <v>334</v>
      </c>
      <c r="B95" s="165" t="s">
        <v>1407</v>
      </c>
      <c r="C95" s="2352">
        <f ca="1">ROUND(C85-C86,0)</f>
        <v>441</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2">
        <f ca="1">IF(C95&lt;=0,0,C95/C86)</f>
        <v>220.5</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7" t="s">
        <v>336</v>
      </c>
      <c r="B97" s="168" t="s">
        <v>1409</v>
      </c>
      <c r="C97" s="2363">
        <f ca="1">ROUND(IF(C95&lt;=0,0,IF(C96&gt;=200%,C95*60%-C86*35%,IF(C96&gt;=100%,C95*50%-C86*15%,IF(C96&gt;=50%,C95*40%-C86*5%,IF(C96&lt;50%,C95*30%,0))))),0)</f>
        <v>264</v>
      </c>
      <c r="D97" s="2364"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39" t="s">
        <v>1428</v>
      </c>
      <c r="B100" s="3240"/>
      <c r="C100" s="3240"/>
      <c r="D100" s="3257"/>
      <c r="E100" s="3240" t="s">
        <v>1429</v>
      </c>
      <c r="F100" s="3240"/>
      <c r="G100" s="3240"/>
      <c r="H100" s="3257"/>
      <c r="I100" s="120"/>
    </row>
    <row r="101" spans="1:35" ht="18.75" customHeight="1">
      <c r="A101" s="3318" t="s">
        <v>1430</v>
      </c>
      <c r="B101" s="3319"/>
      <c r="C101" s="2369" t="str">
        <f>C4</f>
        <v>比较法-商业</v>
      </c>
      <c r="D101" s="2370" t="str">
        <f>D4</f>
        <v>收益法 (元)</v>
      </c>
      <c r="E101" s="3332" t="s">
        <v>1431</v>
      </c>
      <c r="F101" s="3289"/>
      <c r="G101" s="1686" t="s">
        <v>1432</v>
      </c>
      <c r="H101" s="2379">
        <f ca="1">H118</f>
        <v>464.52170000000001</v>
      </c>
      <c r="I101" s="120"/>
    </row>
    <row r="102" spans="1:35" ht="18.75" customHeight="1">
      <c r="A102" s="3291" t="s">
        <v>1433</v>
      </c>
      <c r="B102" s="2368" t="s">
        <v>1432</v>
      </c>
      <c r="C102" s="2369">
        <f ca="1">IF(D32="楼面单价",ROUND(C19,0),C19)</f>
        <v>650</v>
      </c>
      <c r="D102" s="2370">
        <f ca="1">IF(D32="楼面单价",ROUND(D19,0),D19)</f>
        <v>238</v>
      </c>
      <c r="E102" s="3332"/>
      <c r="F102" s="3289"/>
      <c r="G102" s="1686" t="s">
        <v>1434</v>
      </c>
      <c r="H102" s="2339">
        <f ca="1">I118</f>
        <v>20441</v>
      </c>
      <c r="I102" s="120"/>
    </row>
    <row r="103" spans="1:35" ht="42.75" customHeight="1">
      <c r="A103" s="3291"/>
      <c r="B103" s="2368" t="s">
        <v>1434</v>
      </c>
      <c r="C103" s="2371">
        <f ca="1">C20</f>
        <v>28606</v>
      </c>
      <c r="D103" s="2372">
        <f ca="1">D20</f>
        <v>10461</v>
      </c>
      <c r="E103" s="3326" t="s">
        <v>1435</v>
      </c>
      <c r="F103" s="3327"/>
      <c r="G103" s="1687" t="s">
        <v>1436</v>
      </c>
      <c r="H103" s="2379">
        <f>IF(D36="正常操作",H104+H105+H106,H105+H106)</f>
        <v>0</v>
      </c>
      <c r="I103" s="120"/>
    </row>
    <row r="104" spans="1:35" ht="18.75" customHeight="1">
      <c r="A104" s="3291" t="s">
        <v>1437</v>
      </c>
      <c r="B104" s="2373" t="s">
        <v>1432</v>
      </c>
      <c r="C104" s="2374">
        <f ca="1">H118</f>
        <v>464.52170000000001</v>
      </c>
      <c r="D104" s="2375"/>
      <c r="E104" s="1554" t="s">
        <v>1438</v>
      </c>
      <c r="F104" s="1547"/>
      <c r="G104" s="1687" t="s">
        <v>1436</v>
      </c>
      <c r="H104" s="2380">
        <f>IF(D36="同一抵押权人同一抵押物续贷",C36&amp;"（续贷，未扣减，详见特别提示）",C36)</f>
        <v>0</v>
      </c>
      <c r="I104" s="120"/>
    </row>
    <row r="105" spans="1:35" ht="18.75" customHeight="1" thickBot="1">
      <c r="A105" s="3292"/>
      <c r="B105" s="2376" t="s">
        <v>1434</v>
      </c>
      <c r="C105" s="2377">
        <f ca="1">I118</f>
        <v>20441</v>
      </c>
      <c r="D105" s="2378"/>
      <c r="E105" s="1554" t="s">
        <v>1439</v>
      </c>
      <c r="F105" s="1547"/>
      <c r="G105" s="1687" t="s">
        <v>1436</v>
      </c>
      <c r="H105" s="2381">
        <f>C37</f>
        <v>0</v>
      </c>
      <c r="I105" s="120"/>
    </row>
    <row r="106" spans="1:35" ht="18.75" customHeight="1">
      <c r="A106" s="645" t="s">
        <v>1440</v>
      </c>
      <c r="B106" s="645"/>
      <c r="C106" s="645"/>
      <c r="D106" s="645"/>
      <c r="E106" s="1688" t="s">
        <v>1441</v>
      </c>
      <c r="F106" s="1547"/>
      <c r="G106" s="1687" t="s">
        <v>1436</v>
      </c>
      <c r="H106" s="2381">
        <f>C38</f>
        <v>0</v>
      </c>
      <c r="I106" s="120"/>
    </row>
    <row r="107" spans="1:35" ht="18.75" customHeight="1">
      <c r="A107" s="120"/>
      <c r="B107" s="120"/>
      <c r="C107" s="120"/>
      <c r="D107" s="120"/>
      <c r="E107" s="3288" t="str">
        <f>IF(项目基本情况!E8="已注销","——","3.房地产抵押价值")</f>
        <v>3.房地产抵押价值</v>
      </c>
      <c r="F107" s="3289"/>
      <c r="G107" s="1686" t="s">
        <v>1432</v>
      </c>
      <c r="H107" s="2379">
        <f ca="1">IF(E107="——","——",H101-H103)</f>
        <v>464.52170000000001</v>
      </c>
      <c r="I107" s="120"/>
    </row>
    <row r="108" spans="1:35" ht="18.75" customHeight="1">
      <c r="A108" s="120"/>
      <c r="B108" s="120"/>
      <c r="C108" s="120"/>
      <c r="D108" s="120"/>
      <c r="E108" s="3288"/>
      <c r="F108" s="3289"/>
      <c r="G108" s="1686" t="s">
        <v>1434</v>
      </c>
      <c r="H108" s="2339">
        <f ca="1">IF(H107=H101,H102,ROUND(H107*10000/'数据-汇总表'!E3,0))</f>
        <v>20441</v>
      </c>
      <c r="I108" s="120"/>
    </row>
    <row r="109" spans="1:35" ht="18.75" customHeight="1">
      <c r="A109" s="120"/>
      <c r="B109" s="120"/>
      <c r="C109" s="120"/>
      <c r="D109" s="120"/>
      <c r="E109" s="3288" t="str">
        <f>IF(项目基本情况!E8="已注销及未注销","4.抵押担保权已注销时的房地产抵押价值",IF(项目基本情况!E8="已注销","3.抵押担保权已注销时的房地产抵押价值","——"))</f>
        <v>——</v>
      </c>
      <c r="F109" s="3289"/>
      <c r="G109" s="1686" t="s">
        <v>1432</v>
      </c>
      <c r="H109" s="2382" t="str">
        <f>IF(E109="——","——",H101-H105-H106)</f>
        <v>——</v>
      </c>
      <c r="I109" s="120"/>
    </row>
    <row r="110" spans="1:35" ht="18.75" customHeight="1">
      <c r="A110" s="120"/>
      <c r="B110" s="120"/>
      <c r="C110" s="120"/>
      <c r="D110" s="120"/>
      <c r="E110" s="3288"/>
      <c r="F110" s="3289"/>
      <c r="G110" s="1686" t="s">
        <v>1434</v>
      </c>
      <c r="H110" s="2339" t="str">
        <f>IF(H109="——","——",ROUND(H109*10000/'数据-汇总表'!E3,0))</f>
        <v>——</v>
      </c>
      <c r="I110" s="120"/>
    </row>
    <row r="111" spans="1:35" ht="18.75" customHeight="1">
      <c r="A111" s="120"/>
      <c r="B111" s="120"/>
      <c r="C111" s="120"/>
      <c r="D111" s="120"/>
      <c r="E111" s="3320" t="str">
        <f>IF(项目基本情况!E9="抵押净值",IF(OR(项目基本情况!E8="已注销",项目基本情况!E8="房地产抵押价值"),"4.抵押净值","5.抵押净值"),"——")</f>
        <v>——</v>
      </c>
      <c r="F111" s="3290"/>
      <c r="G111" s="1686" t="s">
        <v>1432</v>
      </c>
      <c r="H111" s="2379" t="str">
        <f>IF(E111="——","——",N59)</f>
        <v>——</v>
      </c>
      <c r="I111" s="120"/>
    </row>
    <row r="112" spans="1:35" ht="18.75" customHeight="1" thickBot="1">
      <c r="A112" s="120"/>
      <c r="B112" s="120"/>
      <c r="C112" s="120"/>
      <c r="D112" s="120"/>
      <c r="E112" s="3321"/>
      <c r="F112" s="3322"/>
      <c r="G112" s="1689" t="s">
        <v>1434</v>
      </c>
      <c r="H112" s="2383" t="str">
        <f>IF(E111="——","——",N61)</f>
        <v>——</v>
      </c>
      <c r="I112" s="120"/>
    </row>
    <row r="113" spans="1:27" ht="18.75" customHeight="1">
      <c r="A113" s="120"/>
      <c r="B113" s="120"/>
      <c r="C113" s="120"/>
      <c r="D113" s="120"/>
      <c r="E113" s="3293" t="s">
        <v>1440</v>
      </c>
      <c r="F113" s="3293"/>
      <c r="G113" s="3293"/>
      <c r="H113" s="3293"/>
      <c r="I113" s="120"/>
    </row>
    <row r="114" spans="1:27" ht="3.75" customHeight="1">
      <c r="A114" s="645"/>
      <c r="B114" s="645"/>
      <c r="C114" s="645"/>
      <c r="D114" s="645"/>
      <c r="E114" s="1670"/>
      <c r="F114" s="1670"/>
      <c r="G114" s="1670"/>
      <c r="H114" s="1670"/>
      <c r="I114" s="645"/>
    </row>
    <row r="115" spans="1:27" ht="18.75" customHeight="1">
      <c r="A115" s="3303" t="s">
        <v>1442</v>
      </c>
      <c r="B115" s="3304"/>
      <c r="C115" s="3304"/>
      <c r="D115" s="3304"/>
      <c r="E115" s="3304"/>
      <c r="F115" s="3304"/>
      <c r="G115" s="3304"/>
      <c r="H115" s="3304"/>
      <c r="I115" s="3305"/>
    </row>
    <row r="116" spans="1:27" ht="27" customHeight="1">
      <c r="A116" s="3259" t="s">
        <v>1443</v>
      </c>
      <c r="B116" s="3294" t="s">
        <v>1444</v>
      </c>
      <c r="C116" s="3294" t="s">
        <v>1445</v>
      </c>
      <c r="D116" s="3307" t="s">
        <v>1446</v>
      </c>
      <c r="E116" s="3308"/>
      <c r="F116" s="3302" t="s">
        <v>1447</v>
      </c>
      <c r="G116" s="3302"/>
      <c r="H116" s="3259" t="s">
        <v>1448</v>
      </c>
      <c r="I116" s="3259"/>
    </row>
    <row r="117" spans="1:27" ht="18.75" customHeight="1">
      <c r="A117" s="3259"/>
      <c r="B117" s="3295"/>
      <c r="C117" s="3295"/>
      <c r="D117" s="2149" t="s">
        <v>1449</v>
      </c>
      <c r="E117" s="2149" t="s">
        <v>1450</v>
      </c>
      <c r="F117" s="2149" t="s">
        <v>1449</v>
      </c>
      <c r="G117" s="2149" t="s">
        <v>1451</v>
      </c>
      <c r="H117" s="2149" t="s">
        <v>1449</v>
      </c>
      <c r="I117" s="2149" t="s">
        <v>1451</v>
      </c>
    </row>
    <row r="118" spans="1:27" ht="24.75" customHeight="1">
      <c r="A118" s="2384" t="str">
        <f>项目基本情况!S2</f>
        <v>北京市怀柔区开放路46号楼1至2层23房地产</v>
      </c>
      <c r="B118" s="2149">
        <f>M18</f>
        <v>227.25</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3155">
        <f ca="1">ROUND(IF(D32="总价",C32,I118*B118/10000),4)</f>
        <v>464.52170000000001</v>
      </c>
      <c r="I118" s="2149">
        <f ca="1">ROUND(IF(D32="楼面单价",C32,H118*10000/B118),0)</f>
        <v>20441</v>
      </c>
    </row>
    <row r="119" spans="1:27" ht="18.75" customHeight="1">
      <c r="A119" s="3259" t="s">
        <v>1452</v>
      </c>
      <c r="B119" s="3259"/>
      <c r="C119" s="3259"/>
      <c r="D119" s="3299" t="str">
        <f>NUMBERSTRING(INT(D118*10000),2)&amp;"元整"</f>
        <v>零元整</v>
      </c>
      <c r="E119" s="3301"/>
      <c r="F119" s="3299" t="str">
        <f>NUMBERSTRING(INT(F118*10000),2)&amp;"元整"</f>
        <v>零元整</v>
      </c>
      <c r="G119" s="3301"/>
      <c r="H119" s="3299" t="str">
        <f ca="1">NUMBERSTRING(INT(H118*10000),2)&amp;"元整"</f>
        <v>肆佰陆拾肆万伍仟贰佰壹拾柒元整</v>
      </c>
      <c r="I119" s="3301"/>
    </row>
    <row r="120" spans="1:27" ht="18.75" customHeight="1">
      <c r="A120" s="3323" t="str">
        <f>IF(项目基本情况!B9="房地产市场价值","",MID(E103,3,LEN(E103)-2))</f>
        <v>估价师知悉的法定优先受偿款</v>
      </c>
      <c r="B120" s="3324"/>
      <c r="C120" s="3325"/>
      <c r="D120" s="3323">
        <f>H103</f>
        <v>0</v>
      </c>
      <c r="E120" s="3324"/>
      <c r="F120" s="3324"/>
      <c r="G120" s="3324"/>
      <c r="H120" s="3324"/>
      <c r="I120" s="3325"/>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99" t="s">
        <v>1452</v>
      </c>
      <c r="B121" s="3300"/>
      <c r="C121" s="3301"/>
      <c r="D121" s="3299" t="str">
        <f>IF(D120=0,"零元整",NUMBERSTRING(INT(D120*10000),2)&amp;"元整")</f>
        <v>零元整</v>
      </c>
      <c r="E121" s="3300"/>
      <c r="F121" s="3300"/>
      <c r="G121" s="3300"/>
      <c r="H121" s="3300"/>
      <c r="I121" s="3301"/>
      <c r="AA121" s="683"/>
    </row>
    <row r="122" spans="1:27" ht="18.75" customHeight="1">
      <c r="A122" s="3290" t="str">
        <f>IF(项目基本情况!B9="房地产市场价值","",MID(E107,3,LEN(E107)-2))</f>
        <v>房地产抵押价值</v>
      </c>
      <c r="B122" s="3290"/>
      <c r="C122" s="3290"/>
      <c r="D122" s="3323">
        <f ca="1">H107</f>
        <v>464.52170000000001</v>
      </c>
      <c r="E122" s="3324"/>
      <c r="F122" s="3324"/>
      <c r="G122" s="3324"/>
      <c r="H122" s="3324"/>
      <c r="I122" s="3325"/>
      <c r="AA122" s="683"/>
    </row>
    <row r="123" spans="1:27" ht="18.75" customHeight="1">
      <c r="A123" s="3259" t="s">
        <v>1452</v>
      </c>
      <c r="B123" s="3259"/>
      <c r="C123" s="3259"/>
      <c r="D123" s="3299" t="str">
        <f ca="1">NUMBERSTRING(INT(D122*10000),2)&amp;"元整"</f>
        <v>肆佰陆拾肆万伍仟贰佰壹拾柒元整</v>
      </c>
      <c r="E123" s="3300"/>
      <c r="F123" s="3300"/>
      <c r="G123" s="3300"/>
      <c r="H123" s="3300"/>
      <c r="I123" s="3301"/>
      <c r="AA123" s="683"/>
    </row>
    <row r="124" spans="1:27" ht="18.75" customHeight="1">
      <c r="A124" s="3290" t="str">
        <f>IF(项目基本情况!B9="房地产市场价值","",MID(E109,3,LEN(E109)-2))</f>
        <v/>
      </c>
      <c r="B124" s="3290"/>
      <c r="C124" s="3290"/>
      <c r="D124" s="3323" t="str">
        <f>H109</f>
        <v>——</v>
      </c>
      <c r="E124" s="3324"/>
      <c r="F124" s="3324"/>
      <c r="G124" s="3324"/>
      <c r="H124" s="3324"/>
      <c r="I124" s="3325"/>
      <c r="AA124" s="683"/>
    </row>
    <row r="125" spans="1:27" ht="18.75" customHeight="1">
      <c r="A125" s="3259" t="s">
        <v>1452</v>
      </c>
      <c r="B125" s="3259"/>
      <c r="C125" s="3259"/>
      <c r="D125" s="3299" t="e">
        <f>NUMBERSTRING(INT(D124*10000),2)&amp;"元整"</f>
        <v>#VALUE!</v>
      </c>
      <c r="E125" s="3300"/>
      <c r="F125" s="3300"/>
      <c r="G125" s="3300"/>
      <c r="H125" s="3300"/>
      <c r="I125" s="3301"/>
      <c r="AA125" s="683"/>
    </row>
    <row r="126" spans="1:27" ht="18.75" customHeight="1">
      <c r="A126" s="3290" t="str">
        <f>IF(项目基本情况!B9="房地产市场价值","",MID(E111,3,LEN(E111)-2))</f>
        <v/>
      </c>
      <c r="B126" s="3290"/>
      <c r="C126" s="3290"/>
      <c r="D126" s="3323" t="str">
        <f>H111</f>
        <v>——</v>
      </c>
      <c r="E126" s="3324"/>
      <c r="F126" s="3324"/>
      <c r="G126" s="3324"/>
      <c r="H126" s="3324"/>
      <c r="I126" s="3325"/>
      <c r="AA126" s="683"/>
    </row>
    <row r="127" spans="1:27" ht="18.75" customHeight="1">
      <c r="A127" s="3259" t="s">
        <v>1452</v>
      </c>
      <c r="B127" s="3259"/>
      <c r="C127" s="3259"/>
      <c r="D127" s="3299" t="e">
        <f>NUMBERSTRING(INT(D126*10000),2)&amp;"元整"</f>
        <v>#VALUE!</v>
      </c>
      <c r="E127" s="3300"/>
      <c r="F127" s="3300"/>
      <c r="G127" s="3300"/>
      <c r="H127" s="3300"/>
      <c r="I127" s="3301"/>
      <c r="AA127" s="683"/>
    </row>
    <row r="128" spans="1:27" ht="21.75" customHeight="1">
      <c r="A128" s="3306" t="s">
        <v>1453</v>
      </c>
      <c r="B128" s="3306"/>
      <c r="C128" s="3306"/>
      <c r="D128" s="3306"/>
      <c r="E128" s="3306"/>
      <c r="F128" s="3306"/>
      <c r="G128" s="3306"/>
      <c r="H128" s="3306"/>
      <c r="I128" s="3306"/>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algorithmName="SHA-512" hashValue="WM6c9H1Fe/+zTgyX8/1cfmx8wqtFb3r9mp66nu0pQOPd1zuFWYA3WxYsxdNu39zerlovyjw4H5qJeXzFjULirg==" saltValue="K71Fa5nC7j0Ld6TS/8/FKA=="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B1" sqref="B1"/>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3"/>
      <c r="C1" s="189"/>
      <c r="D1" s="189"/>
      <c r="E1" s="189"/>
      <c r="F1" s="189"/>
      <c r="G1" s="1061">
        <f>MATCH(B1,'数据-取费表'!A6:A16,0)+5</f>
        <v>7</v>
      </c>
    </row>
    <row r="2" spans="1:9" s="191" customFormat="1" ht="18" customHeight="1">
      <c r="A2" s="192" t="s">
        <v>1462</v>
      </c>
      <c r="B2" s="193">
        <f ca="1">IF(D2="——",C52,C52-E2)</f>
        <v>80</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f ca="1">ROUND(B2*10000/(IF(B1="",'数据-汇总表'!E3,INDIRECT("'数据-取费表'!k"&amp;$G$1))),0)</f>
        <v>3520</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C6+C7+C8</f>
        <v>0</v>
      </c>
      <c r="D5" s="202" t="s">
        <v>1469</v>
      </c>
      <c r="E5" s="203" t="s">
        <v>1470</v>
      </c>
      <c r="F5" s="203" t="s">
        <v>1471</v>
      </c>
      <c r="G5" s="204"/>
    </row>
    <row r="6" spans="1:9" s="205" customFormat="1" ht="13.5" customHeight="1">
      <c r="A6" s="731" t="s">
        <v>1472</v>
      </c>
      <c r="B6" s="206" t="s">
        <v>1473</v>
      </c>
      <c r="C6" s="207"/>
      <c r="D6" s="208"/>
      <c r="E6" s="209"/>
      <c r="F6" s="209"/>
      <c r="G6" s="210"/>
    </row>
    <row r="7" spans="1:9" s="205" customFormat="1" ht="13.5" customHeight="1">
      <c r="A7" s="731" t="s">
        <v>1474</v>
      </c>
      <c r="B7" s="206" t="s">
        <v>1475</v>
      </c>
      <c r="C7" s="211">
        <f>ROUND(C6*F7,0)</f>
        <v>0</v>
      </c>
      <c r="D7" s="211"/>
      <c r="E7" s="209"/>
      <c r="F7" s="212">
        <f>IF(项目基本情况!B8="出让",0,'数据-取费表'!B48+'数据-取费表'!B49)</f>
        <v>3.005E-2</v>
      </c>
      <c r="G7" s="210"/>
    </row>
    <row r="8" spans="1:9" s="214" customFormat="1">
      <c r="A8" s="731" t="s">
        <v>1476</v>
      </c>
      <c r="B8" s="206" t="s">
        <v>1477</v>
      </c>
      <c r="C8" s="211">
        <f>IF(G8="已包含在土地购买价格中","0",IF(B1="",'数据-取费表'!B29,IF(G9="全部缴纳",C9+C10,H9)))</f>
        <v>0</v>
      </c>
      <c r="D8" s="213"/>
      <c r="E8" s="211"/>
      <c r="F8" s="212"/>
      <c r="G8" s="1713"/>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120</v>
      </c>
      <c r="F9" s="212"/>
      <c r="G9" s="1714"/>
      <c r="H9" s="1069"/>
      <c r="I9" s="1715" t="s">
        <v>1479</v>
      </c>
    </row>
    <row r="10" spans="1:9" s="205" customFormat="1" ht="13.5" customHeight="1">
      <c r="A10" s="732" t="s">
        <v>356</v>
      </c>
      <c r="B10" s="215" t="s">
        <v>1480</v>
      </c>
      <c r="C10" s="216">
        <f ca="1">ROUND(D10*E10/10000,0)</f>
        <v>4</v>
      </c>
      <c r="D10" s="794">
        <f ca="1">IF(B1="",'数据-汇总表'!E6,IF(INDIRECT("'数据-取费表'!c"&amp;$G$1)="住宅",INDIRECT("'数据-取费表'!s"&amp;$G$1),INDIRECT("'数据-取费表'!k"&amp;$G$1)+INDIRECT("'数据-取费表'!s"&amp;$G$1)))</f>
        <v>227.25</v>
      </c>
      <c r="E10" s="216">
        <f>'数据-取费表'!B28</f>
        <v>160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f ca="1">IF(G19="已包含在土地取得成本中","0",ROUND(D19*E19/10000,0))</f>
        <v>5</v>
      </c>
      <c r="D19" s="203">
        <f ca="1">D9+D10</f>
        <v>227.25</v>
      </c>
      <c r="E19" s="202">
        <f>'数据-取费表'!B31</f>
        <v>200</v>
      </c>
      <c r="F19" s="222"/>
      <c r="G19" s="1713"/>
    </row>
    <row r="20" spans="1:7" s="205" customFormat="1" ht="13.5" customHeight="1">
      <c r="A20" s="246" t="s">
        <v>1493</v>
      </c>
      <c r="B20" s="201" t="s">
        <v>1494</v>
      </c>
      <c r="C20" s="223">
        <f ca="1">ROUND((C5+C19)*F20,0)</f>
        <v>0</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0</v>
      </c>
      <c r="D22" s="226">
        <f ca="1">C26</f>
        <v>6.9999999999999999E-4</v>
      </c>
      <c r="E22" s="227" t="s">
        <v>1498</v>
      </c>
      <c r="F22" s="228">
        <f ca="1">'数据-取费表'!B40</f>
        <v>3.3500000000000002E-2</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0</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0</v>
      </c>
      <c r="D25" s="229"/>
      <c r="E25" s="232"/>
      <c r="F25" s="230"/>
      <c r="G25" s="233" t="s">
        <v>1510</v>
      </c>
    </row>
    <row r="26" spans="1:7" s="205" customFormat="1">
      <c r="A26" s="733" t="s">
        <v>350</v>
      </c>
      <c r="B26" s="206" t="s">
        <v>1511</v>
      </c>
      <c r="C26" s="229">
        <f ca="1">ROUND(IF('数据-取费表'!B22&lt;=1,F21*F22*'数据-取费表'!B23/2,F21*(POWER((1+F22),'数据-取费表'!B23/2)-1)),4)</f>
        <v>6.9999999999999999E-4</v>
      </c>
      <c r="D26" s="229"/>
      <c r="E26" s="232"/>
      <c r="F26" s="230"/>
      <c r="G26" s="234"/>
    </row>
    <row r="27" spans="1:7" s="205" customFormat="1" ht="24.75">
      <c r="A27" s="246" t="s">
        <v>1512</v>
      </c>
      <c r="B27" s="235" t="s">
        <v>1513</v>
      </c>
      <c r="C27" s="236">
        <f ca="1">C28</f>
        <v>1</v>
      </c>
      <c r="D27" s="226">
        <f ca="1">C29</f>
        <v>3.0000000000000001E-3</v>
      </c>
      <c r="E27" s="227" t="s">
        <v>1514</v>
      </c>
      <c r="F27" s="237">
        <f ca="1">IF(B1="",'数据-取费表'!Q16,INDIRECT("'数据-取费表'!q"&amp;$G$1))</f>
        <v>0.15</v>
      </c>
      <c r="G27" s="238" t="s">
        <v>1515</v>
      </c>
    </row>
    <row r="28" spans="1:7" s="205" customFormat="1" ht="13.5" customHeight="1">
      <c r="A28" s="733" t="s">
        <v>346</v>
      </c>
      <c r="B28" s="239" t="s">
        <v>1516</v>
      </c>
      <c r="C28" s="240">
        <f ca="1">ROUND((C5+C19+C20)*F27*'数据-取费表'!B21/'数据-取费表'!B20,0)</f>
        <v>1</v>
      </c>
      <c r="D28" s="226"/>
      <c r="E28" s="227"/>
      <c r="F28" s="237"/>
      <c r="G28" s="238"/>
    </row>
    <row r="29" spans="1:7" s="205" customFormat="1" ht="13.5" customHeight="1">
      <c r="A29" s="733" t="s">
        <v>347</v>
      </c>
      <c r="B29" s="239" t="s">
        <v>1517</v>
      </c>
      <c r="C29" s="229">
        <f ca="1">ROUND(C21*F27*'数据-取费表'!B21/'数据-取费表'!B20,4)</f>
        <v>3.0000000000000001E-3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6</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76</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68</v>
      </c>
      <c r="D34" s="208"/>
      <c r="E34" s="211"/>
      <c r="F34" s="248">
        <f ca="1">IF('数据-取费表'!B24=0,1,IF(B1="",'数据-取费表'!N16,INDIRECT("'数据-取费表'!n"&amp;$G$1)))</f>
        <v>1</v>
      </c>
      <c r="G34" s="210" t="s">
        <v>1526</v>
      </c>
    </row>
    <row r="35" spans="1:7" ht="13.5" customHeight="1">
      <c r="A35" s="733" t="s">
        <v>351</v>
      </c>
      <c r="B35" s="206" t="s">
        <v>1527</v>
      </c>
      <c r="C35" s="211">
        <f ca="1">ROUND(C34*F35,0)</f>
        <v>2</v>
      </c>
      <c r="D35" s="211"/>
      <c r="E35" s="211"/>
      <c r="F35" s="250">
        <f>'数据-取费表'!B33</f>
        <v>0.03</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5</v>
      </c>
      <c r="D37" s="208">
        <f ca="1">D19</f>
        <v>227.25</v>
      </c>
      <c r="E37" s="240">
        <f>'数据-取费表'!B35</f>
        <v>200</v>
      </c>
      <c r="F37" s="250"/>
      <c r="G37" s="252" t="s">
        <v>1532</v>
      </c>
    </row>
    <row r="38" spans="1:7" ht="13.5" customHeight="1">
      <c r="A38" s="733" t="s">
        <v>354</v>
      </c>
      <c r="B38" s="206" t="s">
        <v>1533</v>
      </c>
      <c r="C38" s="211">
        <f ca="1">ROUND(C34*F38,0)</f>
        <v>1</v>
      </c>
      <c r="D38" s="211"/>
      <c r="E38" s="211"/>
      <c r="F38" s="250">
        <f>'数据-取费表'!B36</f>
        <v>0.02</v>
      </c>
      <c r="G38" s="210" t="s">
        <v>1528</v>
      </c>
    </row>
    <row r="39" spans="1:7" s="205" customFormat="1" ht="13.5" customHeight="1">
      <c r="A39" s="246" t="s">
        <v>1534</v>
      </c>
      <c r="B39" s="201" t="s">
        <v>1535</v>
      </c>
      <c r="C39" s="223">
        <f ca="1">ROUND(C33*F20,0)</f>
        <v>2</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3</v>
      </c>
      <c r="D41" s="226">
        <f ca="1">C44</f>
        <v>6.9999999999999999E-4</v>
      </c>
      <c r="E41" s="227" t="s">
        <v>1539</v>
      </c>
      <c r="F41" s="228">
        <f ca="1">F22</f>
        <v>3.3500000000000002E-2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3</v>
      </c>
      <c r="D42" s="229"/>
      <c r="E42" s="229"/>
      <c r="F42" s="230"/>
      <c r="G42" s="3339" t="s">
        <v>1544</v>
      </c>
    </row>
    <row r="43" spans="1:7" ht="13.5" customHeight="1">
      <c r="A43" s="733" t="s">
        <v>347</v>
      </c>
      <c r="B43" s="206" t="s">
        <v>1545</v>
      </c>
      <c r="C43" s="229">
        <f ca="1">ROUND(IF('数据-取费表'!B22&lt;=1,C39*F22*'数据-取费表'!B21/2,C39*(POWER((1+F22),'数据-取费表'!B21/2)-1)),0)</f>
        <v>0</v>
      </c>
      <c r="D43" s="229"/>
      <c r="E43" s="229"/>
      <c r="F43" s="230"/>
      <c r="G43" s="3340"/>
    </row>
    <row r="44" spans="1:7" ht="13.5" customHeight="1">
      <c r="A44" s="733" t="s">
        <v>348</v>
      </c>
      <c r="B44" s="206" t="s">
        <v>1546</v>
      </c>
      <c r="C44" s="229">
        <f ca="1">ROUND(IF('数据-取费表'!B22&lt;=1,C40*F22*'数据-取费表'!B21/2,C40*(POWER((1+F22),'数据-取费表'!B21/2)-1)),4)</f>
        <v>6.9999999999999999E-4</v>
      </c>
      <c r="D44" s="229"/>
      <c r="E44" s="229"/>
      <c r="F44" s="230"/>
      <c r="G44" s="3341"/>
    </row>
    <row r="45" spans="1:7" s="205" customFormat="1" ht="13.5" customHeight="1">
      <c r="A45" s="246" t="s">
        <v>1547</v>
      </c>
      <c r="B45" s="235" t="s">
        <v>1513</v>
      </c>
      <c r="C45" s="236">
        <f ca="1">C46</f>
        <v>12</v>
      </c>
      <c r="D45" s="226">
        <f ca="1">C47</f>
        <v>3.0000000000000001E-3</v>
      </c>
      <c r="E45" s="227" t="s">
        <v>1539</v>
      </c>
      <c r="F45" s="237">
        <f ca="1">F27</f>
        <v>0.15</v>
      </c>
      <c r="G45" s="238" t="s">
        <v>1548</v>
      </c>
    </row>
    <row r="46" spans="1:7" s="205" customFormat="1" ht="13.5" customHeight="1">
      <c r="A46" s="733" t="s">
        <v>346</v>
      </c>
      <c r="B46" s="239" t="s">
        <v>1549</v>
      </c>
      <c r="C46" s="240">
        <f ca="1">ROUND((C33+C39)*F27,0)</f>
        <v>12</v>
      </c>
      <c r="D46" s="254"/>
      <c r="E46" s="227"/>
      <c r="F46" s="237"/>
      <c r="G46" s="238"/>
    </row>
    <row r="47" spans="1:7" s="205" customFormat="1" ht="13.5" customHeight="1">
      <c r="A47" s="733" t="s">
        <v>347</v>
      </c>
      <c r="B47" s="239" t="s">
        <v>1550</v>
      </c>
      <c r="C47" s="229">
        <f ca="1">ROUND(C40*F27,4)</f>
        <v>3.0000000000000001E-3</v>
      </c>
      <c r="D47" s="254"/>
      <c r="E47" s="227"/>
      <c r="F47" s="237"/>
      <c r="G47" s="238"/>
    </row>
    <row r="48" spans="1:7" s="205" customFormat="1" ht="13.5" customHeight="1">
      <c r="A48" s="246" t="s">
        <v>1512</v>
      </c>
      <c r="B48" s="201" t="s">
        <v>1551</v>
      </c>
      <c r="C48" s="226">
        <f>ROUND(F30/(1+'数据-取费表'!C42),4)</f>
        <v>5.2400000000000002E-2</v>
      </c>
      <c r="D48" s="227" t="s">
        <v>1539</v>
      </c>
      <c r="E48" s="223"/>
      <c r="F48" s="228">
        <f>F30</f>
        <v>5.5000000000000007E-2</v>
      </c>
      <c r="G48" s="225" t="s">
        <v>1552</v>
      </c>
    </row>
    <row r="49" spans="1:7" ht="16.5" customHeight="1">
      <c r="A49" s="246" t="s">
        <v>1518</v>
      </c>
      <c r="B49" s="201" t="s">
        <v>1553</v>
      </c>
      <c r="C49" s="223">
        <f ca="1">ROUND((C33+C39+C41+C45)/(1-C40-D41-D45-C48),0)</f>
        <v>101</v>
      </c>
      <c r="D49" s="223"/>
      <c r="E49" s="223"/>
      <c r="F49" s="255"/>
      <c r="G49" s="225" t="s">
        <v>1554</v>
      </c>
    </row>
    <row r="50" spans="1:7" s="249" customFormat="1" ht="24">
      <c r="A50" s="246" t="s">
        <v>1555</v>
      </c>
      <c r="B50" s="201" t="s">
        <v>1556</v>
      </c>
      <c r="C50" s="223"/>
      <c r="D50" s="223"/>
      <c r="E50" s="223"/>
      <c r="F50" s="255">
        <f>IF('数据-取费表'!B24=0,'数据-取费表'!N16,1)</f>
        <v>0.73</v>
      </c>
      <c r="G50" s="238" t="s">
        <v>1557</v>
      </c>
    </row>
    <row r="51" spans="1:7" ht="16.5" customHeight="1">
      <c r="A51" s="246" t="s">
        <v>1558</v>
      </c>
      <c r="B51" s="201" t="s">
        <v>1559</v>
      </c>
      <c r="C51" s="223">
        <f ca="1">ROUND(C49*F50,0)</f>
        <v>74</v>
      </c>
      <c r="D51" s="223"/>
      <c r="E51" s="223"/>
      <c r="F51" s="255"/>
      <c r="G51" s="225" t="s">
        <v>1560</v>
      </c>
    </row>
    <row r="52" spans="1:7" s="199" customFormat="1" ht="16.5" thickBot="1">
      <c r="A52" s="256" t="s">
        <v>1561</v>
      </c>
      <c r="B52" s="257"/>
      <c r="C52" s="258">
        <f ca="1">C31+C51</f>
        <v>80</v>
      </c>
      <c r="D52" s="257"/>
      <c r="E52" s="257"/>
      <c r="F52" s="257"/>
      <c r="G52" s="259"/>
    </row>
    <row r="55" spans="1:7" ht="15">
      <c r="B55" s="261" t="s">
        <v>1562</v>
      </c>
      <c r="C55" s="262"/>
    </row>
    <row r="56" spans="1:7">
      <c r="B56" s="264" t="s">
        <v>802</v>
      </c>
      <c r="C56" s="266">
        <f ca="1">1-C57</f>
        <v>7.4999999999999956E-2</v>
      </c>
    </row>
    <row r="57" spans="1:7">
      <c r="B57" s="264" t="s">
        <v>803</v>
      </c>
      <c r="C57" s="265">
        <f ca="1">ROUND(C51/C52,3)</f>
        <v>0.92500000000000004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57" t="str">
        <f>项目基本情况!B1</f>
        <v>北京市怀柔区开放路46号楼1至2层23房地产抵押价值预评估</v>
      </c>
      <c r="C37" s="3157"/>
      <c r="D37" s="3157"/>
      <c r="E37" s="3157"/>
      <c r="F37" s="3157"/>
      <c r="G37" s="3157"/>
      <c r="H37" s="3157"/>
      <c r="I37" s="3157"/>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 ca="1">项目基本情况!K4</f>
        <v>郑燚（注册号：1120070131)、崔锴（注册号：1120100036)</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3"/>
      <c r="C1" s="1716" t="s">
        <v>1563</v>
      </c>
      <c r="D1" s="189"/>
      <c r="E1" s="189"/>
      <c r="F1" s="189"/>
      <c r="G1" s="1061">
        <f>MATCH(B1,'数据-取费表'!A6:A16,0)+5</f>
        <v>7</v>
      </c>
      <c r="H1" s="997" t="str">
        <f>IF(ISERROR(FIND("住宅",B1)),"非住宅","住宅")</f>
        <v>非住宅</v>
      </c>
    </row>
    <row r="2" spans="1:8" s="191" customFormat="1" ht="18" customHeight="1">
      <c r="A2" s="192" t="s">
        <v>1462</v>
      </c>
      <c r="B2" s="3120">
        <f ca="1">ROUND(IF(D2="——",C52/10000,C52/10000-E2),4)</f>
        <v>83.609099999999998</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3679</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36360</v>
      </c>
      <c r="D5" s="202" t="s">
        <v>1469</v>
      </c>
      <c r="E5" s="203" t="s">
        <v>1470</v>
      </c>
      <c r="F5" s="203" t="s">
        <v>1471</v>
      </c>
      <c r="G5" s="204"/>
    </row>
    <row r="6" spans="1:8" s="205" customFormat="1" ht="13.5" customHeight="1">
      <c r="A6" s="731" t="s">
        <v>1472</v>
      </c>
      <c r="B6" s="206" t="s">
        <v>1473</v>
      </c>
      <c r="C6" s="207"/>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3.005E-2</v>
      </c>
      <c r="G7" s="210"/>
    </row>
    <row r="8" spans="1:8" s="214" customFormat="1">
      <c r="A8" s="731" t="s">
        <v>1476</v>
      </c>
      <c r="B8" s="206" t="s">
        <v>1477</v>
      </c>
      <c r="C8" s="211">
        <f ca="1">IF(G8="已包含在土地购买价格中",0,C9+C10)</f>
        <v>36360</v>
      </c>
      <c r="D8" s="213"/>
      <c r="E8" s="211"/>
      <c r="F8" s="212"/>
      <c r="G8" s="1713"/>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120</v>
      </c>
      <c r="F9" s="212"/>
      <c r="G9" s="217"/>
    </row>
    <row r="10" spans="1:8" s="205" customFormat="1" ht="13.5" customHeight="1">
      <c r="A10" s="732" t="s">
        <v>356</v>
      </c>
      <c r="B10" s="215" t="s">
        <v>1480</v>
      </c>
      <c r="C10" s="216">
        <f ca="1">ROUND(D10*E10,0)</f>
        <v>36360</v>
      </c>
      <c r="D10" s="794">
        <f ca="1">IF(B1="",'数据-汇总表'!E6,IF(INDIRECT("'数据-取费表'!c"&amp;$G$1)="住宅",INDIRECT("'数据-取费表'!s"&amp;$G$1),INDIRECT("'数据-取费表'!k"&amp;$G$1)+INDIRECT("'数据-取费表'!s"&amp;$G$1)))</f>
        <v>227.25</v>
      </c>
      <c r="E10" s="216">
        <f>'数据-取费表'!B28</f>
        <v>160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45450</v>
      </c>
      <c r="D19" s="203">
        <f ca="1">D9+D10</f>
        <v>227.25</v>
      </c>
      <c r="E19" s="202">
        <f>'数据-取费表'!B31</f>
        <v>200</v>
      </c>
      <c r="F19" s="222"/>
      <c r="G19" s="1713"/>
    </row>
    <row r="20" spans="1:7" s="205" customFormat="1" ht="13.5" customHeight="1">
      <c r="A20" s="246" t="s">
        <v>1574</v>
      </c>
      <c r="B20" s="201" t="s">
        <v>1575</v>
      </c>
      <c r="C20" s="223">
        <f ca="1">ROUND((C5+C19)*F20,0)</f>
        <v>1636</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5628</v>
      </c>
      <c r="D22" s="226">
        <f ca="1">C26</f>
        <v>6.9999999999999999E-4</v>
      </c>
      <c r="E22" s="227" t="s">
        <v>1579</v>
      </c>
      <c r="F22" s="228">
        <f ca="1">'数据-取费表'!B40</f>
        <v>3.3500000000000002E-2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2477</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3096</v>
      </c>
      <c r="D24" s="229"/>
      <c r="E24" s="229"/>
      <c r="F24" s="230"/>
      <c r="G24" s="231" t="s">
        <v>1586</v>
      </c>
    </row>
    <row r="25" spans="1:7" s="205" customFormat="1" ht="24">
      <c r="A25" s="733" t="s">
        <v>1476</v>
      </c>
      <c r="B25" s="206" t="s">
        <v>1587</v>
      </c>
      <c r="C25" s="229">
        <f ca="1">ROUND(IF('数据-取费表'!B22&lt;=1,C20*F22*'数据-取费表'!B22/2,C20*(POWER((1+F22),'数据-取费表'!B22/2)-1)),0)</f>
        <v>55</v>
      </c>
      <c r="D25" s="229"/>
      <c r="E25" s="232"/>
      <c r="F25" s="230"/>
      <c r="G25" s="233" t="s">
        <v>1588</v>
      </c>
    </row>
    <row r="26" spans="1:7" s="205" customFormat="1">
      <c r="A26" s="733" t="s">
        <v>350</v>
      </c>
      <c r="B26" s="206" t="s">
        <v>1511</v>
      </c>
      <c r="C26" s="229">
        <f ca="1">ROUND(IF('数据-取费表'!B22&lt;=1,F21*F22*'数据-取费表'!B22/2,F21*(POWER((1+F22),'数据-取费表'!B22/2)-1)),4)</f>
        <v>6.9999999999999999E-4</v>
      </c>
      <c r="D26" s="229"/>
      <c r="E26" s="232"/>
      <c r="F26" s="230"/>
      <c r="G26" s="234"/>
    </row>
    <row r="27" spans="1:7" s="205" customFormat="1" ht="24.75">
      <c r="A27" s="246" t="s">
        <v>1512</v>
      </c>
      <c r="B27" s="235" t="s">
        <v>1513</v>
      </c>
      <c r="C27" s="236">
        <f ca="1">C28</f>
        <v>12517</v>
      </c>
      <c r="D27" s="226">
        <f ca="1">C29</f>
        <v>3.0000000000000001E-3</v>
      </c>
      <c r="E27" s="227" t="s">
        <v>1514</v>
      </c>
      <c r="F27" s="237">
        <f ca="1">IF(B1="",'数据-取费表'!Q16,INDIRECT("'数据-取费表'!q"&amp;$G$1))</f>
        <v>0.15</v>
      </c>
      <c r="G27" s="238" t="s">
        <v>1515</v>
      </c>
    </row>
    <row r="28" spans="1:7" s="205" customFormat="1" ht="13.5" customHeight="1">
      <c r="A28" s="733" t="s">
        <v>346</v>
      </c>
      <c r="B28" s="239" t="s">
        <v>1516</v>
      </c>
      <c r="C28" s="240">
        <f ca="1">ROUND((C5+C19+C20)*F27,0)</f>
        <v>12517</v>
      </c>
      <c r="D28" s="226"/>
      <c r="E28" s="227"/>
      <c r="F28" s="237"/>
      <c r="G28" s="238"/>
    </row>
    <row r="29" spans="1:7" s="205" customFormat="1" ht="13.5" customHeight="1">
      <c r="A29" s="733" t="s">
        <v>347</v>
      </c>
      <c r="B29" s="239" t="s">
        <v>1517</v>
      </c>
      <c r="C29" s="229">
        <f ca="1">ROUND(C21*F27,4)</f>
        <v>3.0000000000000001E-3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109959</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761288</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681750</v>
      </c>
      <c r="D34" s="208"/>
      <c r="E34" s="211"/>
      <c r="F34" s="248"/>
      <c r="G34" s="210"/>
    </row>
    <row r="35" spans="1:7" ht="13.5" customHeight="1">
      <c r="A35" s="733" t="s">
        <v>351</v>
      </c>
      <c r="B35" s="206" t="s">
        <v>1527</v>
      </c>
      <c r="C35" s="211">
        <f ca="1">ROUND(C34*F35,0)</f>
        <v>20453</v>
      </c>
      <c r="D35" s="211"/>
      <c r="E35" s="211"/>
      <c r="F35" s="250">
        <f>'数据-取费表'!B33</f>
        <v>0.03</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45450</v>
      </c>
      <c r="D37" s="208">
        <f ca="1">D19</f>
        <v>227.25</v>
      </c>
      <c r="E37" s="240">
        <f>'数据-取费表'!B35</f>
        <v>200</v>
      </c>
      <c r="F37" s="250"/>
      <c r="G37" s="252"/>
    </row>
    <row r="38" spans="1:7" ht="13.5" customHeight="1">
      <c r="A38" s="733" t="s">
        <v>354</v>
      </c>
      <c r="B38" s="206" t="s">
        <v>1533</v>
      </c>
      <c r="C38" s="211">
        <f ca="1">ROUND(C34*F38,0)</f>
        <v>13635</v>
      </c>
      <c r="D38" s="211"/>
      <c r="E38" s="211"/>
      <c r="F38" s="250">
        <f>'数据-取费表'!B36</f>
        <v>0.02</v>
      </c>
      <c r="G38" s="210" t="s">
        <v>1528</v>
      </c>
    </row>
    <row r="39" spans="1:7" s="205" customFormat="1" ht="13.5" customHeight="1">
      <c r="A39" s="246" t="s">
        <v>1534</v>
      </c>
      <c r="B39" s="201" t="s">
        <v>1535</v>
      </c>
      <c r="C39" s="223">
        <f ca="1">ROUND(C33*F20,0)</f>
        <v>15226</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26013</v>
      </c>
      <c r="D41" s="226">
        <f ca="1">C44</f>
        <v>6.9999999999999999E-4</v>
      </c>
      <c r="E41" s="227" t="s">
        <v>1539</v>
      </c>
      <c r="F41" s="228">
        <f ca="1">F22</f>
        <v>3.3500000000000002E-2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25503</v>
      </c>
      <c r="D42" s="229"/>
      <c r="E42" s="229"/>
      <c r="F42" s="230"/>
      <c r="G42" s="3339" t="s">
        <v>1591</v>
      </c>
    </row>
    <row r="43" spans="1:7" ht="13.5" customHeight="1">
      <c r="A43" s="733" t="s">
        <v>347</v>
      </c>
      <c r="B43" s="206" t="s">
        <v>1545</v>
      </c>
      <c r="C43" s="229">
        <f ca="1">ROUND(IF('数据-取费表'!B22&lt;=1,C39*F22*'数据-取费表'!B20/2,C39*(POWER((1+F22),'数据-取费表'!B20/2)-1)),0)</f>
        <v>510</v>
      </c>
      <c r="D43" s="229"/>
      <c r="E43" s="229"/>
      <c r="F43" s="230"/>
      <c r="G43" s="3340"/>
    </row>
    <row r="44" spans="1:7" ht="13.5" customHeight="1">
      <c r="A44" s="733" t="s">
        <v>348</v>
      </c>
      <c r="B44" s="206" t="s">
        <v>1546</v>
      </c>
      <c r="C44" s="229">
        <f ca="1">ROUND(IF('数据-取费表'!B22&lt;=1,C40*F22*'数据-取费表'!B20/2,C40*(POWER((1+F22),'数据-取费表'!B20/2)-1)),4)</f>
        <v>6.9999999999999999E-4</v>
      </c>
      <c r="D44" s="229"/>
      <c r="E44" s="229"/>
      <c r="F44" s="230"/>
      <c r="G44" s="3341"/>
    </row>
    <row r="45" spans="1:7" s="205" customFormat="1" ht="13.5" customHeight="1">
      <c r="A45" s="246" t="s">
        <v>1547</v>
      </c>
      <c r="B45" s="235" t="s">
        <v>1513</v>
      </c>
      <c r="C45" s="236">
        <f ca="1">C46</f>
        <v>116477</v>
      </c>
      <c r="D45" s="226">
        <f ca="1">C47</f>
        <v>3.0000000000000001E-3</v>
      </c>
      <c r="E45" s="227" t="s">
        <v>1539</v>
      </c>
      <c r="F45" s="237">
        <f ca="1">F27</f>
        <v>0.15</v>
      </c>
      <c r="G45" s="238" t="s">
        <v>1548</v>
      </c>
    </row>
    <row r="46" spans="1:7" s="205" customFormat="1" ht="13.5" customHeight="1">
      <c r="A46" s="733" t="s">
        <v>346</v>
      </c>
      <c r="B46" s="239" t="s">
        <v>1549</v>
      </c>
      <c r="C46" s="240">
        <f ca="1">ROUND((C33+C39)*F27,0)</f>
        <v>116477</v>
      </c>
      <c r="D46" s="254"/>
      <c r="E46" s="227"/>
      <c r="F46" s="237"/>
      <c r="G46" s="238"/>
    </row>
    <row r="47" spans="1:7" s="205" customFormat="1" ht="13.5" customHeight="1">
      <c r="A47" s="733" t="s">
        <v>347</v>
      </c>
      <c r="B47" s="239" t="s">
        <v>1550</v>
      </c>
      <c r="C47" s="229">
        <f ca="1">ROUND(C40*F27,4)</f>
        <v>3.0000000000000001E-3</v>
      </c>
      <c r="D47" s="254"/>
      <c r="E47" s="227"/>
      <c r="F47" s="237"/>
      <c r="G47" s="238"/>
    </row>
    <row r="48" spans="1:7" s="205" customFormat="1" ht="13.5" customHeight="1">
      <c r="A48" s="246" t="s">
        <v>1512</v>
      </c>
      <c r="B48" s="201" t="s">
        <v>1551</v>
      </c>
      <c r="C48" s="253">
        <f>ROUND(F30/(1+'数据-取费表'!C42),4)</f>
        <v>5.2400000000000002E-2</v>
      </c>
      <c r="D48" s="227" t="s">
        <v>1539</v>
      </c>
      <c r="E48" s="223"/>
      <c r="F48" s="228">
        <f>F30</f>
        <v>5.5000000000000007E-2</v>
      </c>
      <c r="G48" s="225" t="s">
        <v>1552</v>
      </c>
    </row>
    <row r="49" spans="1:7" ht="16.5" customHeight="1">
      <c r="A49" s="246" t="s">
        <v>1518</v>
      </c>
      <c r="B49" s="201" t="s">
        <v>1592</v>
      </c>
      <c r="C49" s="223">
        <f ca="1">ROUND((C33+C39+C41+C45)/(1-C40-D41-D45-C48),0)</f>
        <v>994701</v>
      </c>
      <c r="D49" s="223"/>
      <c r="E49" s="223"/>
      <c r="F49" s="255"/>
      <c r="G49" s="225" t="s">
        <v>1554</v>
      </c>
    </row>
    <row r="50" spans="1:7" s="249" customFormat="1">
      <c r="A50" s="246" t="s">
        <v>1555</v>
      </c>
      <c r="B50" s="201" t="s">
        <v>1556</v>
      </c>
      <c r="C50" s="223"/>
      <c r="D50" s="223"/>
      <c r="E50" s="223"/>
      <c r="F50" s="255">
        <f>IF('数据-取费表'!B24=0,'数据-取费表'!N16,1)</f>
        <v>0.73</v>
      </c>
      <c r="G50" s="238"/>
    </row>
    <row r="51" spans="1:7" ht="16.5" customHeight="1">
      <c r="A51" s="246" t="s">
        <v>1558</v>
      </c>
      <c r="B51" s="201" t="s">
        <v>1593</v>
      </c>
      <c r="C51" s="223">
        <f ca="1">ROUND(C49*F50,0)</f>
        <v>726132</v>
      </c>
      <c r="D51" s="223"/>
      <c r="E51" s="223"/>
      <c r="F51" s="255"/>
      <c r="G51" s="225" t="s">
        <v>1560</v>
      </c>
    </row>
    <row r="52" spans="1:7" s="199" customFormat="1" ht="16.5" thickBot="1">
      <c r="A52" s="256" t="s">
        <v>1561</v>
      </c>
      <c r="B52" s="257"/>
      <c r="C52" s="258">
        <f ca="1">C31+C51</f>
        <v>836091</v>
      </c>
      <c r="D52" s="257"/>
      <c r="E52" s="257"/>
      <c r="F52" s="257"/>
      <c r="G52" s="259"/>
    </row>
    <row r="55" spans="1:7" ht="15">
      <c r="B55" s="261" t="s">
        <v>1562</v>
      </c>
      <c r="C55" s="262"/>
    </row>
    <row r="56" spans="1:7">
      <c r="B56" s="264" t="s">
        <v>802</v>
      </c>
      <c r="C56" s="266">
        <f ca="1">1-C57</f>
        <v>0.13200000000000001</v>
      </c>
    </row>
    <row r="57" spans="1:7">
      <c r="B57" s="264" t="s">
        <v>803</v>
      </c>
      <c r="C57" s="265">
        <f ca="1">ROUND(C51/C52,3)</f>
        <v>0.86799999999999999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9"/>
      <c r="D1" s="1108"/>
      <c r="E1" s="2565"/>
      <c r="F1" s="2565"/>
      <c r="G1" s="2446"/>
      <c r="H1" s="2565"/>
      <c r="I1" s="2565"/>
      <c r="J1" s="2565"/>
      <c r="K1" s="2566">
        <f>MATCH(C1,'数据-取费表'!A6:A16,0)+5</f>
        <v>7</v>
      </c>
    </row>
    <row r="2" spans="1:33" ht="18" customHeight="1">
      <c r="A2" s="192" t="s">
        <v>1462</v>
      </c>
      <c r="B2" s="195">
        <f ca="1">C32</f>
        <v>-5</v>
      </c>
      <c r="C2" s="267" t="s">
        <v>1595</v>
      </c>
      <c r="D2" s="267"/>
      <c r="E2" s="2565"/>
      <c r="F2" s="2565"/>
      <c r="G2" s="2565"/>
      <c r="H2" s="2565"/>
      <c r="I2" s="2565"/>
      <c r="J2" s="2565"/>
      <c r="K2" s="2565"/>
    </row>
    <row r="3" spans="1:33" ht="18" customHeight="1" thickBot="1">
      <c r="A3" s="194" t="s">
        <v>1464</v>
      </c>
      <c r="B3" s="195">
        <f ca="1">ROUND(B2*10000/IF(C1="",'数据-汇总表'!E3,INDIRECT("'数据-取费表'!K"&amp;$K$1)),0)</f>
        <v>-220</v>
      </c>
      <c r="C3" s="267" t="s">
        <v>1596</v>
      </c>
      <c r="D3" s="267"/>
      <c r="E3" s="2565"/>
      <c r="F3" s="2565"/>
      <c r="G3" s="2565"/>
      <c r="H3" s="2565"/>
      <c r="I3" s="2565"/>
      <c r="J3" s="2565"/>
      <c r="K3" s="2565"/>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227.25</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227.25</v>
      </c>
      <c r="E17" s="21">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4</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120</v>
      </c>
      <c r="F19" s="755"/>
      <c r="G19" s="12"/>
      <c r="H19" s="1107"/>
      <c r="I19" s="760"/>
      <c r="J19" s="760"/>
      <c r="K19" s="761"/>
    </row>
    <row r="20" spans="1:33" s="754" customFormat="1" ht="13.5" customHeight="1">
      <c r="A20" s="751" t="s">
        <v>361</v>
      </c>
      <c r="B20" s="752" t="s">
        <v>1627</v>
      </c>
      <c r="C20" s="21">
        <f ca="1">ROUND(D20*E20/10000,0)</f>
        <v>4</v>
      </c>
      <c r="D20" s="795">
        <f ca="1">IF(C1="",'数据-汇总表'!E6,IF(INDIRECT("'数据-取费表'!c"&amp;$K$1)="住宅",INDIRECT("'数据-取费表'!s"&amp;$K$1),INDIRECT("'数据-取费表'!k"&amp;$K$1)+INDIRECT("'数据-取费表'!s"&amp;$K$1)))</f>
        <v>227.25</v>
      </c>
      <c r="E20" s="21">
        <f>'数据-取费表'!B28</f>
        <v>160</v>
      </c>
      <c r="F20" s="755"/>
      <c r="G20" s="12"/>
      <c r="H20" s="760"/>
      <c r="I20" s="760"/>
      <c r="J20" s="760"/>
      <c r="K20" s="761"/>
    </row>
    <row r="21" spans="1:33" s="754" customFormat="1" ht="13.5" customHeight="1">
      <c r="A21" s="743" t="s">
        <v>357</v>
      </c>
      <c r="B21" s="764" t="s">
        <v>1628</v>
      </c>
      <c r="C21" s="765">
        <f ca="1">C16+C17+C18</f>
        <v>4</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2.86E-2</v>
      </c>
      <c r="D24" s="272" t="s">
        <v>12</v>
      </c>
      <c r="E24" s="272"/>
      <c r="F24" s="767">
        <f>IF(项目基本情况!B8="出让",0,'数据-取费表'!B48+'数据-取费表'!B49)</f>
        <v>3.005E-2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3.3500000000000002E-2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（1）-（3）项×((1+年利率)^(建设期÷2)-1)</v>
      </c>
      <c r="H27" s="758"/>
      <c r="I27" s="758"/>
      <c r="J27" s="758"/>
      <c r="K27" s="759"/>
    </row>
    <row r="28" spans="1:33" s="280" customFormat="1" ht="13.5" customHeight="1">
      <c r="A28" s="743" t="s">
        <v>1641</v>
      </c>
      <c r="B28" s="1722" t="s">
        <v>1642</v>
      </c>
      <c r="C28" s="278">
        <f ca="1">C30</f>
        <v>1</v>
      </c>
      <c r="D28" s="271">
        <f ca="1">C29</f>
        <v>0</v>
      </c>
      <c r="E28" s="273" t="s">
        <v>12</v>
      </c>
      <c r="F28" s="279">
        <f ca="1">IF(C1="",'数据-取费表'!Q16,INDIRECT("'数据-取费表'!q"&amp;$K$1))</f>
        <v>0.15</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1</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5.5000000000000007E-2</v>
      </c>
      <c r="G31" s="787" t="s">
        <v>1648</v>
      </c>
      <c r="H31" s="788"/>
      <c r="I31" s="788"/>
      <c r="J31" s="788"/>
      <c r="K31" s="789"/>
    </row>
    <row r="32" spans="1:33" s="750" customFormat="1" ht="13.5" customHeight="1" thickBot="1">
      <c r="A32" s="448" t="s">
        <v>1649</v>
      </c>
      <c r="B32" s="778"/>
      <c r="C32" s="779">
        <f ca="1">ROUND((C4-C21-C22-C23-C25-C28-C31)/(1+C24+D25+D28),0)</f>
        <v>-5</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c r="D1" s="1270" t="s">
        <v>43</v>
      </c>
      <c r="E1" s="1271" t="s">
        <v>678</v>
      </c>
      <c r="F1" s="998">
        <f ca="1">J53</f>
        <v>0</v>
      </c>
      <c r="G1" s="1285">
        <f>MATCH(C1,'数据-取费表'!A6:A16,0)+5</f>
        <v>7</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#DIV/0!</v>
      </c>
      <c r="C2" s="1288" t="s">
        <v>805</v>
      </c>
      <c r="D2" s="1288"/>
      <c r="E2" s="1294"/>
      <c r="F2" s="1295"/>
      <c r="G2" s="2476"/>
      <c r="H2" s="2466"/>
      <c r="I2" s="2466"/>
      <c r="J2" s="2466"/>
      <c r="K2" s="2467"/>
      <c r="L2" s="2466"/>
      <c r="M2" s="2466"/>
    </row>
    <row r="3" spans="1:37" ht="18" customHeight="1" thickBot="1">
      <c r="A3" s="1296" t="s">
        <v>806</v>
      </c>
      <c r="B3" s="1297">
        <f ca="1">IF(ISERROR(B2*10000/F43),0,ROUND(B2*10000/F43,0))</f>
        <v>0</v>
      </c>
      <c r="C3" s="1288" t="s">
        <v>807</v>
      </c>
      <c r="D3" s="1288"/>
      <c r="E3" s="1294"/>
      <c r="F3" s="1295"/>
      <c r="G3" s="2476"/>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0</v>
      </c>
      <c r="D5" s="1272" t="s">
        <v>693</v>
      </c>
      <c r="E5" s="1007"/>
      <c r="F5" s="1008"/>
      <c r="G5" s="1291"/>
      <c r="H5" s="290">
        <v>1</v>
      </c>
      <c r="I5" s="291" t="s">
        <v>692</v>
      </c>
      <c r="J5" s="1006">
        <f ca="1">J6+J10+J12</f>
        <v>0</v>
      </c>
      <c r="K5" s="1272" t="s">
        <v>693</v>
      </c>
      <c r="L5" s="1007"/>
      <c r="M5" s="1008"/>
    </row>
    <row r="6" spans="1:37" ht="18" customHeight="1">
      <c r="A6" s="1005" t="s">
        <v>398</v>
      </c>
      <c r="B6" s="3344" t="s">
        <v>694</v>
      </c>
      <c r="C6" s="1010">
        <f ca="1">ROUND(F6*F8*F7*(1-F9)/10000,0)</f>
        <v>0</v>
      </c>
      <c r="D6" s="146" t="s">
        <v>2109</v>
      </c>
      <c r="E6" s="293" t="s">
        <v>696</v>
      </c>
      <c r="F6" s="294">
        <f ca="1">INDIRECT("'数据-取费表'!u"&amp;$G$1)</f>
        <v>0</v>
      </c>
      <c r="G6" s="1291"/>
      <c r="H6" s="1005" t="s">
        <v>398</v>
      </c>
      <c r="I6" s="3344" t="s">
        <v>694</v>
      </c>
      <c r="J6" s="292">
        <f ca="1">ROUND(M6*M8*M7*(1-M9)/10000,0)</f>
        <v>0</v>
      </c>
      <c r="K6" s="146" t="s">
        <v>2108</v>
      </c>
      <c r="L6" s="293" t="s">
        <v>696</v>
      </c>
      <c r="M6" s="294">
        <f ca="1">INDIRECT("'数据-取费表'!z"&amp;$G$1)</f>
        <v>0</v>
      </c>
    </row>
    <row r="7" spans="1:37" ht="18" customHeight="1">
      <c r="A7" s="1009"/>
      <c r="B7" s="3345"/>
      <c r="C7" s="1011"/>
      <c r="D7" s="298"/>
      <c r="E7" s="1012" t="s">
        <v>697</v>
      </c>
      <c r="F7" s="294">
        <f ca="1">IF(INDIRECT("'数据-取费表'!ah"&amp;$G$1)="",INDIRECT("'数据-取费表'!k"&amp;$G$1),INDIRECT("'数据-取费表'!ah"&amp;$G$1))</f>
        <v>0</v>
      </c>
      <c r="G7" s="1291"/>
      <c r="H7" s="295"/>
      <c r="I7" s="3345"/>
      <c r="J7" s="297"/>
      <c r="K7" s="298"/>
      <c r="L7" s="293" t="s">
        <v>697</v>
      </c>
      <c r="M7" s="294">
        <f ca="1">F7</f>
        <v>0</v>
      </c>
    </row>
    <row r="8" spans="1:37" ht="18" customHeight="1">
      <c r="A8" s="295"/>
      <c r="B8" s="3345"/>
      <c r="C8" s="297"/>
      <c r="D8" s="298"/>
      <c r="E8" s="293" t="s">
        <v>698</v>
      </c>
      <c r="F8" s="294">
        <f ca="1">INDIRECT("'数据-取费表'!ai"&amp;$G$1)</f>
        <v>0</v>
      </c>
      <c r="G8" s="1291"/>
      <c r="H8" s="295"/>
      <c r="I8" s="3345"/>
      <c r="J8" s="297"/>
      <c r="K8" s="298"/>
      <c r="L8" s="293" t="s">
        <v>698</v>
      </c>
      <c r="M8" s="294">
        <f ca="1">INDIRECT("'数据-取费表'!ai"&amp;$G$1)</f>
        <v>0</v>
      </c>
    </row>
    <row r="9" spans="1:37" ht="18" customHeight="1">
      <c r="A9" s="295"/>
      <c r="B9" s="3346"/>
      <c r="C9" s="297"/>
      <c r="D9" s="298"/>
      <c r="E9" s="293" t="s">
        <v>699</v>
      </c>
      <c r="F9" s="303">
        <f ca="1">INDIRECT("'数据-取费表'!w"&amp;$G$1)</f>
        <v>0</v>
      </c>
      <c r="G9" s="1291"/>
      <c r="H9" s="295"/>
      <c r="I9" s="3346"/>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2117</v>
      </c>
      <c r="E10" s="304" t="s">
        <v>701</v>
      </c>
      <c r="F10" s="1052"/>
      <c r="G10" s="1291"/>
      <c r="H10" s="1005" t="s">
        <v>402</v>
      </c>
      <c r="I10" s="1273" t="s">
        <v>700</v>
      </c>
      <c r="J10" s="292">
        <f ca="1">ROUND(IF(M10="押一",J6/12*M11,IF(M10="押二",J6/12*2*M11,IF(M10="押三",J6/12*3*M11,J11*M11))),0)</f>
        <v>0</v>
      </c>
      <c r="K10" s="149" t="s">
        <v>2116</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0</v>
      </c>
      <c r="D14" s="1256" t="s">
        <v>708</v>
      </c>
      <c r="E14" s="1254"/>
      <c r="F14" s="310"/>
      <c r="G14" s="1291"/>
      <c r="H14" s="927" t="s">
        <v>398</v>
      </c>
      <c r="I14" s="293" t="s">
        <v>709</v>
      </c>
      <c r="J14" s="21">
        <f ca="1">C29</f>
        <v>0</v>
      </c>
      <c r="K14" s="12"/>
      <c r="L14" s="758"/>
      <c r="M14" s="759"/>
    </row>
    <row r="15" spans="1:37" s="1303" customFormat="1" ht="18" customHeight="1" thickBot="1">
      <c r="A15" s="927" t="s">
        <v>399</v>
      </c>
      <c r="B15" s="293" t="s">
        <v>710</v>
      </c>
      <c r="C15" s="21">
        <f ca="1">ROUND(C14*F15,0)</f>
        <v>0</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1">
        <f ca="1">ROUND(F17*(F43+INDIRECT("'数据-取费表'!S"&amp;$G$1))/10000,0)</f>
        <v>0</v>
      </c>
      <c r="D17" s="293" t="s">
        <v>717</v>
      </c>
      <c r="E17" s="293" t="s">
        <v>718</v>
      </c>
      <c r="F17" s="23">
        <f>'数据-取费表'!B35</f>
        <v>200</v>
      </c>
      <c r="G17" s="1302"/>
      <c r="H17" s="927" t="s">
        <v>398</v>
      </c>
      <c r="I17" s="293" t="s">
        <v>719</v>
      </c>
      <c r="J17" s="2139">
        <f ca="1">ROUND(IF(AND(项目基本情况!B11="自然人",项目基本情况!B10="北京市"),J6*M17/(1+'数据-取费表'!C42),J18+J19+J20),2)</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0</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0</v>
      </c>
      <c r="D19" s="122" t="s">
        <v>726</v>
      </c>
      <c r="E19" s="1268"/>
      <c r="F19" s="23"/>
      <c r="G19" s="1291"/>
      <c r="H19" s="927" t="s">
        <v>399</v>
      </c>
      <c r="I19" s="293" t="s">
        <v>727</v>
      </c>
      <c r="J19" s="21">
        <f ca="1">IF(K19="按租金收入计税",ROUND(J6*M19/(1+'数据-取费表'!C42),2),ROUND(C29*M19*0.7,2))</f>
        <v>0</v>
      </c>
      <c r="K19" s="1277" t="s">
        <v>3338</v>
      </c>
      <c r="L19" s="293" t="s">
        <v>712</v>
      </c>
      <c r="M19" s="313">
        <f>IF(K19="按租金收入计税",'数据-取费表'!B51,'数据-取费表'!B50)</f>
        <v>0.12</v>
      </c>
    </row>
    <row r="20" spans="1:37" s="1303" customFormat="1" ht="18" customHeight="1">
      <c r="A20" s="927" t="s">
        <v>402</v>
      </c>
      <c r="B20" s="293" t="s">
        <v>728</v>
      </c>
      <c r="C20" s="21">
        <f ca="1">ROUND(C19*F20,0)</f>
        <v>0</v>
      </c>
      <c r="D20" s="314" t="s">
        <v>729</v>
      </c>
      <c r="E20" s="293" t="s">
        <v>712</v>
      </c>
      <c r="F20" s="313">
        <f>'数据-取费表'!B37</f>
        <v>0.02</v>
      </c>
      <c r="G20" s="1302"/>
      <c r="H20" s="927" t="s">
        <v>680</v>
      </c>
      <c r="I20" s="146" t="s">
        <v>730</v>
      </c>
      <c r="J20" s="22">
        <f ca="1">ROUND(M20*M21/10000,2)</f>
        <v>0</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ROUND(J14*M22,2)</f>
        <v>0</v>
      </c>
      <c r="K22" s="1255" t="s">
        <v>739</v>
      </c>
      <c r="L22" s="293" t="s">
        <v>712</v>
      </c>
      <c r="M22" s="319">
        <f ca="1">INDIRECT("'数据-取费表'!Ak"&amp;$G$1)</f>
        <v>0</v>
      </c>
    </row>
    <row r="23" spans="1:37" s="1303"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v>
      </c>
      <c r="G23" s="1302"/>
      <c r="H23" s="927" t="s">
        <v>437</v>
      </c>
      <c r="I23" s="293" t="s">
        <v>742</v>
      </c>
      <c r="J23" s="21">
        <f ca="1">ROUND(J13*M23,2)</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6.9999999999999999E-4</v>
      </c>
      <c r="D24" s="137" t="str">
        <f>IF(F23&lt;=1,"销售费用×利率×(建设周期÷2)","销售费用×((1+利率)^(建设周期÷2)-1)")</f>
        <v>销售费用×((1+利率)^(建设周期÷2)-1)</v>
      </c>
      <c r="E24" s="293" t="s">
        <v>747</v>
      </c>
      <c r="F24" s="321">
        <f ca="1">'数据-取费表'!B40</f>
        <v>3.3500000000000002E-2</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0</v>
      </c>
      <c r="K25" s="1031" t="s">
        <v>753</v>
      </c>
      <c r="L25" s="1032"/>
      <c r="M25" s="1033"/>
    </row>
    <row r="26" spans="1:37">
      <c r="A26" s="927" t="s">
        <v>397</v>
      </c>
      <c r="B26" s="293" t="s">
        <v>754</v>
      </c>
      <c r="C26" s="21">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68"/>
      <c r="I30" s="1304"/>
      <c r="J30" s="1305"/>
      <c r="K30" s="120"/>
      <c r="L30" s="2469"/>
      <c r="M30" s="2470"/>
    </row>
    <row r="31" spans="1:37" ht="18" customHeight="1">
      <c r="A31" s="927" t="s">
        <v>398</v>
      </c>
      <c r="B31" s="293" t="s">
        <v>719</v>
      </c>
      <c r="C31" s="2139">
        <f ca="1">ROUND(IF(AND(项目基本情况!B11="自然人",项目基本情况!B10="北京市"),C6*F31/(1+'数据-取费表'!C42),C32+C33+C34),2)</f>
        <v>0</v>
      </c>
      <c r="D31" s="1256" t="s">
        <v>720</v>
      </c>
      <c r="E31" s="1255" t="s">
        <v>770</v>
      </c>
      <c r="F31" s="2138">
        <f ca="1">IF(项目基本情况!B11="企业","——",IF(M47="住宅",IF(F6*F7*F8/12/(1+'数据-取费表'!F30)&gt;100000,4%,2.5%),IF(F6*F7*F8/12/(1+'数据-取费表'!F30)&gt;100000,12%,7%)))</f>
        <v>7.0000000000000007E-2</v>
      </c>
      <c r="G31" s="1291"/>
      <c r="H31" s="2567" t="s">
        <v>2308</v>
      </c>
      <c r="I31" s="1304"/>
      <c r="J31" s="1305"/>
      <c r="K31" s="120"/>
      <c r="L31" s="2469"/>
      <c r="M31" s="2470"/>
    </row>
    <row r="32" spans="1:37" ht="18" customHeight="1">
      <c r="A32" s="927" t="s">
        <v>397</v>
      </c>
      <c r="B32" s="293" t="s">
        <v>723</v>
      </c>
      <c r="C32" s="21" t="str">
        <f>IF(项目基本情况!B11="自然人","——",ROUND(C6*F32/(1+'数据-取费表'!C42),2))</f>
        <v>——</v>
      </c>
      <c r="D32" s="1255" t="s">
        <v>724</v>
      </c>
      <c r="E32" s="293" t="s">
        <v>712</v>
      </c>
      <c r="F32" s="321">
        <f>'数据-取费表'!B41</f>
        <v>5.5000000000000007E-2</v>
      </c>
      <c r="G32" s="1291"/>
      <c r="H32" s="2468"/>
      <c r="I32" s="1304"/>
      <c r="J32" s="1305"/>
      <c r="K32" s="120"/>
      <c r="L32" s="2469"/>
      <c r="M32" s="2470"/>
    </row>
    <row r="33" spans="1:18" ht="18" customHeight="1">
      <c r="A33" s="927" t="s">
        <v>399</v>
      </c>
      <c r="B33" s="293" t="s">
        <v>727</v>
      </c>
      <c r="C33" s="21" t="str">
        <f ca="1">IF(项目基本情况!B11="自然人","——",IF(D33="按租金收入计税",ROUND(C6*F33/(1+'数据-取费表'!C42),2),IF(D33="按房产原值计税",ROUND(C29*F33*0.7,2),INDIRECT("'数据-取费表'!Aj"&amp;$G$1))))</f>
        <v>——</v>
      </c>
      <c r="D33" s="1277" t="s">
        <v>3338</v>
      </c>
      <c r="E33" s="293" t="s">
        <v>712</v>
      </c>
      <c r="F33" s="313">
        <f>IF(D33="按票据","——",IF(D33="按租金收入计税",'数据-取费表'!B51,'数据-取费表'!B50))</f>
        <v>0.12</v>
      </c>
      <c r="G33" s="1291"/>
      <c r="H33" s="2471"/>
      <c r="I33" s="1304"/>
      <c r="J33" s="1305"/>
      <c r="K33" s="2472"/>
      <c r="L33" s="2471"/>
      <c r="M33" s="2471"/>
    </row>
    <row r="34" spans="1:18" ht="18" customHeight="1">
      <c r="A34" s="1005" t="s">
        <v>680</v>
      </c>
      <c r="B34" s="146" t="s">
        <v>730</v>
      </c>
      <c r="C34" s="22" t="str">
        <f>IF(项目基本情况!B11="自然人","——",ROUND(F34*F35/10000,2))</f>
        <v>——</v>
      </c>
      <c r="D34" s="315" t="s">
        <v>731</v>
      </c>
      <c r="E34" s="293" t="s">
        <v>732</v>
      </c>
      <c r="F34" s="316">
        <f>'数据-取费表'!B52</f>
        <v>1.5</v>
      </c>
      <c r="G34" s="1291"/>
      <c r="H34" s="2468"/>
      <c r="I34" s="1304"/>
      <c r="J34" s="1305"/>
      <c r="K34" s="2473"/>
      <c r="L34" s="2474"/>
      <c r="M34" s="2474"/>
    </row>
    <row r="35" spans="1:18" ht="18" customHeight="1">
      <c r="A35" s="1039"/>
      <c r="B35" s="1037"/>
      <c r="C35" s="26"/>
      <c r="D35" s="318"/>
      <c r="E35" s="293" t="s">
        <v>736</v>
      </c>
      <c r="F35" s="294">
        <f ca="1">INDIRECT("'数据-取费表'!r"&amp;$G$1)</f>
        <v>0</v>
      </c>
      <c r="G35" s="1291"/>
      <c r="H35" s="2468"/>
      <c r="I35" s="1304"/>
      <c r="J35" s="1305"/>
      <c r="K35" s="2472"/>
      <c r="L35" s="2471"/>
      <c r="M35" s="2471"/>
    </row>
    <row r="36" spans="1:18" ht="18" customHeight="1">
      <c r="A36" s="1038" t="s">
        <v>402</v>
      </c>
      <c r="B36" s="293" t="s">
        <v>738</v>
      </c>
      <c r="C36" s="21">
        <f ca="1">ROUND(C29*F36,2)</f>
        <v>0</v>
      </c>
      <c r="D36" s="1255" t="s">
        <v>771</v>
      </c>
      <c r="E36" s="293" t="s">
        <v>712</v>
      </c>
      <c r="F36" s="319">
        <f ca="1">INDIRECT("'数据-取费表'!Ak"&amp;$G$1)</f>
        <v>0</v>
      </c>
      <c r="G36" s="1291"/>
      <c r="H36" s="2471"/>
      <c r="I36" s="1304"/>
      <c r="J36" s="1305"/>
      <c r="K36" s="2329"/>
      <c r="L36" s="2471"/>
      <c r="M36" s="2471"/>
    </row>
    <row r="37" spans="1:18" ht="18" customHeight="1">
      <c r="A37" s="927" t="s">
        <v>437</v>
      </c>
      <c r="B37" s="293" t="s">
        <v>742</v>
      </c>
      <c r="C37" s="21">
        <f ca="1">ROUND(C13*F37,2)</f>
        <v>0</v>
      </c>
      <c r="D37" s="1255" t="s">
        <v>743</v>
      </c>
      <c r="E37" s="293" t="s">
        <v>744</v>
      </c>
      <c r="F37" s="320">
        <f ca="1">INDIRECT("'数据-取费表'!Al"&amp;$G$1)</f>
        <v>0</v>
      </c>
      <c r="G37" s="1291"/>
      <c r="H37" s="2471"/>
      <c r="I37" s="1304"/>
      <c r="J37" s="1305"/>
      <c r="K37" s="2329"/>
      <c r="L37" s="2471"/>
      <c r="M37" s="2471"/>
    </row>
    <row r="38" spans="1:18" ht="18" customHeight="1" thickBot="1">
      <c r="A38" s="1025" t="s">
        <v>684</v>
      </c>
      <c r="B38" s="1026" t="s">
        <v>728</v>
      </c>
      <c r="C38" s="1027">
        <f ca="1">ROUND(C5*F38,2)</f>
        <v>0</v>
      </c>
      <c r="D38" s="1028" t="s">
        <v>748</v>
      </c>
      <c r="E38" s="1026" t="s">
        <v>744</v>
      </c>
      <c r="F38" s="1022">
        <f ca="1">INDIRECT("'数据-取费表'!Am"&amp;$G$1)</f>
        <v>0</v>
      </c>
      <c r="G38" s="1291"/>
      <c r="H38" s="2471"/>
      <c r="I38" s="1304"/>
      <c r="J38" s="1305"/>
      <c r="K38" s="2469"/>
      <c r="L38" s="2471"/>
      <c r="M38" s="2471"/>
    </row>
    <row r="39" spans="1:18" ht="24.6" customHeight="1" thickTop="1">
      <c r="A39" s="1015" t="s">
        <v>394</v>
      </c>
      <c r="B39" s="1030" t="s">
        <v>772</v>
      </c>
      <c r="C39" s="301">
        <f ca="1">C5-C30</f>
        <v>0</v>
      </c>
      <c r="D39" s="1031" t="s">
        <v>773</v>
      </c>
      <c r="E39" s="1032"/>
      <c r="F39" s="1033"/>
      <c r="G39" s="1291"/>
      <c r="H39" s="2471"/>
      <c r="I39" s="1304"/>
      <c r="J39" s="1305"/>
      <c r="K39" s="2469"/>
      <c r="L39" s="2471"/>
      <c r="M39" s="2471"/>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69"/>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29"/>
      <c r="L41" s="120"/>
      <c r="M41" s="120"/>
    </row>
    <row r="42" spans="1:18" ht="18" customHeight="1">
      <c r="A42" s="299"/>
      <c r="B42" s="300"/>
      <c r="C42" s="301"/>
      <c r="D42" s="318"/>
      <c r="E42" s="293" t="s">
        <v>766</v>
      </c>
      <c r="F42" s="303">
        <f ca="1">INDIRECT("'数据-取费表'!v"&amp;$G$1)</f>
        <v>0</v>
      </c>
      <c r="G42" s="1291"/>
      <c r="H42" s="120"/>
      <c r="I42" s="1304"/>
      <c r="J42" s="1305"/>
      <c r="K42" s="2329"/>
      <c r="L42" s="120"/>
      <c r="M42" s="120"/>
    </row>
    <row r="43" spans="1:18" ht="18" customHeight="1" thickBot="1">
      <c r="A43" s="324" t="s">
        <v>396</v>
      </c>
      <c r="B43" s="325" t="s">
        <v>776</v>
      </c>
      <c r="C43" s="326" t="e">
        <f ca="1">ROUND(C40*10000/F43,0)</f>
        <v>#DIV/0!</v>
      </c>
      <c r="D43" s="327" t="s">
        <v>777</v>
      </c>
      <c r="E43" s="328" t="s">
        <v>778</v>
      </c>
      <c r="F43" s="329">
        <f ca="1">INDIRECT("'数据-取费表'!k"&amp;$G$1)</f>
        <v>0</v>
      </c>
      <c r="G43" s="1291"/>
      <c r="H43" s="120"/>
      <c r="I43" s="120"/>
      <c r="J43" s="120"/>
      <c r="K43" s="2329"/>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5"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ROUND(F49*F51*F50*(1-F52)/10000,0)</f>
        <v>0</v>
      </c>
      <c r="D49" s="991" t="s">
        <v>2110</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1054"/>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24.75" thickBot="1">
      <c r="A53" s="1078" t="s">
        <v>440</v>
      </c>
      <c r="B53" s="1280" t="s">
        <v>700</v>
      </c>
      <c r="C53" s="307">
        <f ca="1">ROUND(IF(F53="押一",C49/12*F11,IF(F53="押二",C49/12*2*F11,IF(F53="押三",C49/12*3*F11,C54*F11))),0)</f>
        <v>0</v>
      </c>
      <c r="D53" s="149" t="s">
        <v>2116</v>
      </c>
      <c r="E53" s="304" t="s">
        <v>701</v>
      </c>
      <c r="F53" s="1052"/>
      <c r="I53" s="1343" t="s">
        <v>836</v>
      </c>
      <c r="J53" s="2005">
        <f ca="1">IF(M47="住宅",IF(D1="——",MAX(J51,L48),MAX(J51,L48-'数据-取费表'!B24)),IF(D1="——",MIN(J51,L48),MIN(J51,L48-'数据-取费表'!B24)))</f>
        <v>0</v>
      </c>
      <c r="K53" s="3342" t="s">
        <v>837</v>
      </c>
      <c r="L53" s="3343"/>
      <c r="O53" s="1324" t="s">
        <v>409</v>
      </c>
      <c r="P53" s="1325" t="s">
        <v>838</v>
      </c>
      <c r="Q53" s="1326" t="e">
        <f ca="1">Q47+Q48</f>
        <v>#DIV/0!</v>
      </c>
      <c r="R53" s="1326" t="s">
        <v>410</v>
      </c>
    </row>
    <row r="54" spans="1:18" s="1291" customFormat="1" ht="13.5"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2">
        <v>2</v>
      </c>
      <c r="B56" s="903" t="s">
        <v>704</v>
      </c>
      <c r="C56" s="223">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5" t="s">
        <v>767</v>
      </c>
      <c r="C57" s="229">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6" t="s">
        <v>393</v>
      </c>
      <c r="B58" s="903" t="s">
        <v>714</v>
      </c>
      <c r="C58" s="307">
        <f ca="1">ROUND(C59+C64+C65+C66,0)</f>
        <v>0</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t="str">
        <f>IF(项目基本情况!B11="自然人","——",ROUND(C48*F60/(1+'数据-取费表'!C42),2))</f>
        <v>——</v>
      </c>
      <c r="D60" s="909" t="s">
        <v>724</v>
      </c>
      <c r="E60" s="895" t="s">
        <v>712</v>
      </c>
      <c r="F60" s="321">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t="str">
        <f ca="1">IF(项目基本情况!B11="自然人","——",IF(D61="按租金收入计税",ROUND(C49*F61/(1+'数据-取费表'!C42),2),IF(D61="按房产原值计税",ROUND(C57*F61*0.7,2),INDIRECT("'数据-取费表'!Aj"&amp;$G$1))))</f>
        <v>——</v>
      </c>
      <c r="D61" s="1277" t="s">
        <v>3338</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t="str">
        <f>IF(项目基本情况!B11="自然人","——",ROUND(F62*F63/10000,2))</f>
        <v>——</v>
      </c>
      <c r="D62" s="910" t="s">
        <v>786</v>
      </c>
      <c r="E62" s="895" t="s">
        <v>787</v>
      </c>
      <c r="F62" s="316">
        <f t="shared" si="0"/>
        <v>1.5</v>
      </c>
      <c r="I62" s="1366" t="s">
        <v>858</v>
      </c>
      <c r="J62" s="609" t="s">
        <v>859</v>
      </c>
      <c r="K62" s="609" t="s">
        <v>860</v>
      </c>
      <c r="L62" s="609" t="s">
        <v>861</v>
      </c>
      <c r="M62" s="1367" t="s">
        <v>862</v>
      </c>
      <c r="O62" s="1324" t="s">
        <v>409</v>
      </c>
      <c r="P62" s="1325" t="s">
        <v>863</v>
      </c>
      <c r="Q62" s="1326" t="e">
        <f ca="1">Q56+Q57</f>
        <v>#DIV/0!</v>
      </c>
      <c r="R62" s="1326" t="s">
        <v>410</v>
      </c>
    </row>
    <row r="63" spans="1:18" s="1291" customFormat="1" ht="13.5"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ROUND(C57*F64,2)</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ROUND(C56*F65,2)</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5" thickBot="1">
      <c r="A66" s="927" t="s">
        <v>793</v>
      </c>
      <c r="B66" s="895" t="s">
        <v>728</v>
      </c>
      <c r="C66" s="21">
        <f ca="1">ROUND(C48*F66,2)</f>
        <v>0</v>
      </c>
      <c r="D66" s="909" t="s">
        <v>794</v>
      </c>
      <c r="E66" s="895" t="s">
        <v>712</v>
      </c>
      <c r="F66" s="303">
        <f t="shared" ca="1" si="0"/>
        <v>0</v>
      </c>
      <c r="O66" s="1324" t="s">
        <v>404</v>
      </c>
      <c r="P66" s="1325" t="s">
        <v>846</v>
      </c>
      <c r="Q66" s="1326" t="e">
        <f ca="1">L60</f>
        <v>#DIV/0!</v>
      </c>
      <c r="R66" s="1326" t="s">
        <v>869</v>
      </c>
    </row>
    <row r="67" spans="1:18" s="1291" customFormat="1" ht="16.5"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5" thickBot="1">
      <c r="A69" s="896"/>
      <c r="B69" s="897"/>
      <c r="C69" s="297"/>
      <c r="D69" s="915" t="s">
        <v>762</v>
      </c>
      <c r="E69" s="895" t="s">
        <v>763</v>
      </c>
      <c r="F69" s="323">
        <f ca="1">F41</f>
        <v>0</v>
      </c>
      <c r="O69" s="1333" t="s">
        <v>411</v>
      </c>
      <c r="P69" s="1370" t="s">
        <v>872</v>
      </c>
      <c r="Q69" s="1326">
        <f ca="1">C39</f>
        <v>0</v>
      </c>
      <c r="R69" s="1326" t="s">
        <v>818</v>
      </c>
    </row>
    <row r="70" spans="1:18" s="1291" customFormat="1" ht="13.5" thickBot="1">
      <c r="A70" s="899"/>
      <c r="B70" s="900"/>
      <c r="C70" s="301"/>
      <c r="D70" s="911"/>
      <c r="E70" s="895" t="s">
        <v>766</v>
      </c>
      <c r="F70" s="990"/>
      <c r="O70" s="1333" t="s">
        <v>412</v>
      </c>
      <c r="P70" s="1370" t="s">
        <v>873</v>
      </c>
      <c r="Q70" s="1326">
        <f ca="1">C13</f>
        <v>0</v>
      </c>
      <c r="R70" s="1326" t="s">
        <v>818</v>
      </c>
    </row>
    <row r="71" spans="1:18" s="1291" customFormat="1" ht="13.5" thickBot="1">
      <c r="A71" s="916" t="s">
        <v>396</v>
      </c>
      <c r="B71" s="917" t="s">
        <v>776</v>
      </c>
      <c r="C71" s="326" t="e">
        <f ca="1">ROUND(C68*10000/F71,0)</f>
        <v>#DIV/0!</v>
      </c>
      <c r="D71" s="918" t="s">
        <v>777</v>
      </c>
      <c r="E71" s="919" t="s">
        <v>778</v>
      </c>
      <c r="F71" s="329">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6" zoomScale="85" zoomScaleNormal="70" zoomScaleSheetLayoutView="85" workbookViewId="0">
      <selection activeCell="K38" sqref="K38"/>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1766</v>
      </c>
      <c r="C1" s="1154" t="s">
        <v>1662</v>
      </c>
      <c r="D1" s="1141" t="s">
        <v>673</v>
      </c>
      <c r="E1" s="3122" t="s">
        <v>3412</v>
      </c>
      <c r="F1" s="1734" t="s">
        <v>3413</v>
      </c>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f>IF(E1="项目模式",IF(C2="——",ROUND(C49*D3/10000,0),ROUND(C49*D3/10000,0)-D2),IF(E1="单套模式",IF(C2="——",ROUND(C49*D3/10000,4),ROUND(C49*D3/10000,4)-D2)))</f>
        <v>650.07140000000004</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1"/>
      <c r="M2" s="2502"/>
      <c r="N2" s="2502"/>
      <c r="O2" s="2502"/>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28606</v>
      </c>
      <c r="C3" s="343" t="s">
        <v>1768</v>
      </c>
      <c r="D3" s="342">
        <f>IF(D1="",'数据-汇总表'!E3,SUMIF('数据-汇总表'!$C19:$C33,D1,'数据-汇总表'!$E19:$E33))</f>
        <v>227.25</v>
      </c>
      <c r="E3" s="1804"/>
      <c r="F3" s="855"/>
      <c r="G3" s="854"/>
      <c r="H3" s="854"/>
      <c r="I3" s="854"/>
      <c r="J3" s="854"/>
      <c r="K3" s="856"/>
      <c r="L3" s="2501"/>
      <c r="M3" s="2502"/>
      <c r="N3" s="2502"/>
      <c r="O3" s="2502"/>
      <c r="P3" s="1803"/>
      <c r="Q3" s="858"/>
      <c r="R3" s="858"/>
      <c r="S3" s="858"/>
      <c r="T3" s="858"/>
      <c r="U3" s="858"/>
      <c r="V3" s="858"/>
      <c r="W3" s="858"/>
      <c r="X3" s="858"/>
      <c r="Y3" s="858"/>
      <c r="Z3" s="858"/>
      <c r="AA3" s="858"/>
      <c r="AB3" s="858"/>
      <c r="AC3" s="1804"/>
    </row>
    <row r="4" spans="1:29" ht="15">
      <c r="A4" s="344" t="s">
        <v>1769</v>
      </c>
      <c r="B4" s="345"/>
      <c r="C4" s="3365" t="s">
        <v>1770</v>
      </c>
      <c r="D4" s="3366"/>
      <c r="E4" s="3367" t="s">
        <v>1771</v>
      </c>
      <c r="F4" s="3368"/>
      <c r="G4" s="3365" t="s">
        <v>1772</v>
      </c>
      <c r="H4" s="3366"/>
      <c r="I4" s="3365" t="s">
        <v>1773</v>
      </c>
      <c r="J4" s="3366"/>
      <c r="K4" s="536" t="s">
        <v>1774</v>
      </c>
      <c r="L4" s="2484"/>
      <c r="M4" s="2485"/>
      <c r="N4" s="2485"/>
      <c r="O4" s="2485"/>
      <c r="P4" s="3369" t="s">
        <v>1775</v>
      </c>
      <c r="Q4" s="3370"/>
      <c r="R4" s="3375" t="s">
        <v>1771</v>
      </c>
      <c r="S4" s="3376"/>
      <c r="T4" s="3375" t="s">
        <v>1772</v>
      </c>
      <c r="U4" s="3376"/>
      <c r="V4" s="3348" t="s">
        <v>1773</v>
      </c>
      <c r="W4" s="3348"/>
      <c r="X4" s="1264"/>
      <c r="Y4" s="3375" t="s">
        <v>1775</v>
      </c>
      <c r="Z4" s="3376"/>
      <c r="AA4" s="3362" t="s">
        <v>1771</v>
      </c>
      <c r="AB4" s="3348" t="s">
        <v>1772</v>
      </c>
      <c r="AC4" s="3362" t="s">
        <v>1773</v>
      </c>
    </row>
    <row r="5" spans="1:29" ht="15">
      <c r="A5" s="347"/>
      <c r="B5" s="348"/>
      <c r="C5" s="3383" t="s">
        <v>1673</v>
      </c>
      <c r="D5" s="3384"/>
      <c r="E5" s="3390" t="str">
        <f>案例!P6</f>
        <v>开放路</v>
      </c>
      <c r="F5" s="3391"/>
      <c r="G5" s="3383" t="str">
        <f>案例!Q43</f>
        <v>育龙铭居</v>
      </c>
      <c r="H5" s="3384"/>
      <c r="I5" s="3383" t="str">
        <f>案例!P77</f>
        <v>影人峰汇</v>
      </c>
      <c r="J5" s="3384"/>
      <c r="K5" s="536"/>
      <c r="L5" s="2484"/>
      <c r="M5" s="2485"/>
      <c r="N5" s="2485"/>
      <c r="O5" s="2485"/>
      <c r="P5" s="3371"/>
      <c r="Q5" s="3372"/>
      <c r="R5" s="3377"/>
      <c r="S5" s="3378"/>
      <c r="T5" s="3377"/>
      <c r="U5" s="3378"/>
      <c r="V5" s="3348"/>
      <c r="W5" s="3348"/>
      <c r="X5" s="1264"/>
      <c r="Y5" s="3377"/>
      <c r="Z5" s="3378"/>
      <c r="AA5" s="3363"/>
      <c r="AB5" s="3348"/>
      <c r="AC5" s="3363"/>
    </row>
    <row r="6" spans="1:29" ht="15.75" thickBot="1">
      <c r="A6" s="349"/>
      <c r="B6" s="350"/>
      <c r="C6" s="3381" t="s">
        <v>1677</v>
      </c>
      <c r="D6" s="3382"/>
      <c r="E6" s="3388" t="s">
        <v>1677</v>
      </c>
      <c r="F6" s="3389"/>
      <c r="G6" s="3381" t="s">
        <v>1677</v>
      </c>
      <c r="H6" s="3382"/>
      <c r="I6" s="3381" t="s">
        <v>1677</v>
      </c>
      <c r="J6" s="3382"/>
      <c r="K6" s="536" t="s">
        <v>1678</v>
      </c>
      <c r="L6" s="2484"/>
      <c r="M6" s="2485"/>
      <c r="N6" s="2485"/>
      <c r="O6" s="2485"/>
      <c r="P6" s="3373"/>
      <c r="Q6" s="3374"/>
      <c r="R6" s="3377"/>
      <c r="S6" s="3378"/>
      <c r="T6" s="3379"/>
      <c r="U6" s="3380"/>
      <c r="V6" s="3348"/>
      <c r="W6" s="3348"/>
      <c r="X6" s="1264"/>
      <c r="Y6" s="3379"/>
      <c r="Z6" s="3380"/>
      <c r="AA6" s="3364"/>
      <c r="AB6" s="3348"/>
      <c r="AC6" s="3364"/>
    </row>
    <row r="7" spans="1:29" s="101" customFormat="1" ht="15.75" thickBot="1">
      <c r="A7" s="351" t="s">
        <v>1679</v>
      </c>
      <c r="B7" s="352"/>
      <c r="C7" s="353">
        <f>'数据-取费表'!B2</f>
        <v>45580</v>
      </c>
      <c r="D7" s="354">
        <v>100</v>
      </c>
      <c r="E7" s="355">
        <v>45566</v>
      </c>
      <c r="F7" s="356">
        <f>SUMIF(58:58,YEAR(E7)&amp;"-"&amp;MONTH(E7),59:59)</f>
        <v>100</v>
      </c>
      <c r="G7" s="355">
        <v>45566</v>
      </c>
      <c r="H7" s="354">
        <f>SUMIF(58:58,YEAR(G7)&amp;"-"&amp;MONTH(G7),59:59)</f>
        <v>100</v>
      </c>
      <c r="I7" s="355">
        <v>45566</v>
      </c>
      <c r="J7" s="354">
        <f>SUMIF(58:58,YEAR(I7)&amp;"-"&amp;MONTH(I7),59:59)</f>
        <v>100</v>
      </c>
      <c r="K7" s="38"/>
      <c r="L7" s="2486"/>
      <c r="M7" s="2438"/>
      <c r="N7" s="2438"/>
      <c r="O7" s="2438"/>
      <c r="P7" s="3385" t="s">
        <v>1680</v>
      </c>
      <c r="Q7" s="3387"/>
      <c r="R7" s="663" t="s">
        <v>14</v>
      </c>
      <c r="S7" s="664">
        <f t="shared" ref="S7:S15" si="0">F7</f>
        <v>100</v>
      </c>
      <c r="T7" s="663" t="s">
        <v>14</v>
      </c>
      <c r="U7" s="664">
        <f t="shared" ref="U7:U15" si="1">H7</f>
        <v>100</v>
      </c>
      <c r="V7" s="663" t="s">
        <v>14</v>
      </c>
      <c r="W7" s="664">
        <f t="shared" ref="W7:W15" si="2">J7</f>
        <v>100</v>
      </c>
      <c r="X7" s="665"/>
      <c r="Y7" s="3385" t="s">
        <v>1680</v>
      </c>
      <c r="Z7" s="3386"/>
      <c r="AA7" s="50">
        <f>D7/F7</f>
        <v>1</v>
      </c>
      <c r="AB7" s="50">
        <f>D7/H7</f>
        <v>1</v>
      </c>
      <c r="AC7" s="50">
        <f>D7/J7</f>
        <v>1</v>
      </c>
    </row>
    <row r="8" spans="1:29" s="101" customFormat="1" ht="15.75" thickBot="1">
      <c r="A8" s="351" t="s">
        <v>1681</v>
      </c>
      <c r="B8" s="352"/>
      <c r="C8" s="357" t="s">
        <v>3419</v>
      </c>
      <c r="D8" s="354">
        <v>100</v>
      </c>
      <c r="E8" s="357" t="s">
        <v>3420</v>
      </c>
      <c r="F8" s="356">
        <f>SUMIF(61:61,E8,62:62)-SUMIF(61:61,C8,62:62)+100</f>
        <v>105</v>
      </c>
      <c r="G8" s="357" t="s">
        <v>3420</v>
      </c>
      <c r="H8" s="354">
        <f>SUMIF(61:61,G8,62:62)-SUMIF(61:61,C8,62:62)+100</f>
        <v>105</v>
      </c>
      <c r="I8" s="357" t="s">
        <v>3420</v>
      </c>
      <c r="J8" s="354">
        <f>SUMIF(61:61,I8,62:62)-SUMIF(61:61,C8,62:62)+100</f>
        <v>105</v>
      </c>
      <c r="K8" s="38"/>
      <c r="L8" s="2486"/>
      <c r="M8" s="2438"/>
      <c r="N8" s="2438"/>
      <c r="O8" s="2438"/>
      <c r="P8" s="3385" t="s">
        <v>1683</v>
      </c>
      <c r="Q8" s="3386"/>
      <c r="R8" s="663" t="s">
        <v>14</v>
      </c>
      <c r="S8" s="664">
        <f t="shared" si="0"/>
        <v>105</v>
      </c>
      <c r="T8" s="663" t="s">
        <v>14</v>
      </c>
      <c r="U8" s="664">
        <f t="shared" si="1"/>
        <v>105</v>
      </c>
      <c r="V8" s="663" t="s">
        <v>14</v>
      </c>
      <c r="W8" s="664">
        <f t="shared" si="2"/>
        <v>105</v>
      </c>
      <c r="X8" s="665"/>
      <c r="Y8" s="3385" t="s">
        <v>1683</v>
      </c>
      <c r="Z8" s="3386"/>
      <c r="AA8" s="50">
        <f t="shared" ref="AA8:AA46" si="3">D8/F8</f>
        <v>0.95238095238095233</v>
      </c>
      <c r="AB8" s="50">
        <f t="shared" ref="AB8:AB46" si="4">D8/H8</f>
        <v>0.95238095238095233</v>
      </c>
      <c r="AC8" s="50">
        <f t="shared" ref="AC8:AC46" si="5">D8/J8</f>
        <v>0.95238095238095233</v>
      </c>
    </row>
    <row r="9" spans="1:29" s="101" customFormat="1">
      <c r="A9" s="358" t="s">
        <v>1684</v>
      </c>
      <c r="B9" s="60" t="s">
        <v>1685</v>
      </c>
      <c r="C9" s="3147" t="s">
        <v>3422</v>
      </c>
      <c r="D9" s="59">
        <v>100</v>
      </c>
      <c r="E9" s="360" t="s">
        <v>673</v>
      </c>
      <c r="F9" s="60">
        <f>SUMIF(63:63,E9,64:64)-SUMIF(63:63,C9,64:64)+100</f>
        <v>100</v>
      </c>
      <c r="G9" s="360" t="s">
        <v>673</v>
      </c>
      <c r="H9" s="59">
        <f>SUMIF(63:63,G9,64:64)-SUMIF(63:63,C9,64:64)+100</f>
        <v>100</v>
      </c>
      <c r="I9" s="360" t="s">
        <v>673</v>
      </c>
      <c r="J9" s="59">
        <f>SUMIF(63:63,I9,64:64)-SUMIF(63:63,C9,64:64)+100</f>
        <v>100</v>
      </c>
      <c r="K9" s="38"/>
      <c r="L9" s="2486"/>
      <c r="M9" s="2438"/>
      <c r="N9" s="2438"/>
      <c r="O9" s="2438"/>
      <c r="P9" s="3361" t="s">
        <v>1686</v>
      </c>
      <c r="Q9" s="529" t="str">
        <f t="shared" ref="Q9:Q15" si="6">B9</f>
        <v>用途</v>
      </c>
      <c r="R9" s="663" t="s">
        <v>14</v>
      </c>
      <c r="S9" s="664">
        <f t="shared" si="0"/>
        <v>100</v>
      </c>
      <c r="T9" s="663" t="s">
        <v>14</v>
      </c>
      <c r="U9" s="664">
        <f t="shared" si="1"/>
        <v>100</v>
      </c>
      <c r="V9" s="663" t="s">
        <v>14</v>
      </c>
      <c r="W9" s="664">
        <f t="shared" si="2"/>
        <v>100</v>
      </c>
      <c r="X9" s="665"/>
      <c r="Y9" s="3246" t="s">
        <v>1687</v>
      </c>
      <c r="Z9" s="50" t="str">
        <f t="shared" ref="Z9:Z15" si="7">Q9</f>
        <v>用途</v>
      </c>
      <c r="AA9" s="50">
        <f t="shared" si="3"/>
        <v>1</v>
      </c>
      <c r="AB9" s="50">
        <f t="shared" si="4"/>
        <v>1</v>
      </c>
      <c r="AC9" s="50">
        <f t="shared" si="5"/>
        <v>1</v>
      </c>
    </row>
    <row r="10" spans="1:29" s="365" customFormat="1" ht="27">
      <c r="A10" s="362"/>
      <c r="B10" s="363" t="s">
        <v>1688</v>
      </c>
      <c r="C10" s="3130"/>
      <c r="D10" s="118">
        <v>100</v>
      </c>
      <c r="E10" s="3131"/>
      <c r="F10" s="363">
        <f>SUMIF(65:65,E10,66:66)-SUMIF(65:65,C10,66:66)+100</f>
        <v>100</v>
      </c>
      <c r="G10" s="3130"/>
      <c r="H10" s="118">
        <f>SUMIF(65:65,G10,66:66)-SUMIF(65:65,C10,66:66)+100</f>
        <v>100</v>
      </c>
      <c r="I10" s="3130"/>
      <c r="J10" s="118">
        <f>SUMIF(65:65,I10,66:66)-SUMIF(65:65,C10,66:66)+100</f>
        <v>100</v>
      </c>
      <c r="K10" s="38"/>
      <c r="L10" s="2487"/>
      <c r="M10" s="2488"/>
      <c r="N10" s="2488"/>
      <c r="O10" s="2488"/>
      <c r="P10" s="3361"/>
      <c r="Q10" s="529" t="str">
        <f t="shared" si="6"/>
        <v>土地使用年限（年）</v>
      </c>
      <c r="R10" s="663" t="s">
        <v>14</v>
      </c>
      <c r="S10" s="664">
        <f t="shared" si="0"/>
        <v>100</v>
      </c>
      <c r="T10" s="663" t="s">
        <v>14</v>
      </c>
      <c r="U10" s="664">
        <f t="shared" si="1"/>
        <v>100</v>
      </c>
      <c r="V10" s="663" t="s">
        <v>14</v>
      </c>
      <c r="W10" s="664">
        <f t="shared" si="2"/>
        <v>100</v>
      </c>
      <c r="X10" s="665"/>
      <c r="Y10" s="3246"/>
      <c r="Z10" s="50" t="str">
        <f t="shared" si="7"/>
        <v>土地使用年限（年）</v>
      </c>
      <c r="AA10" s="50">
        <f t="shared" si="3"/>
        <v>1</v>
      </c>
      <c r="AB10" s="50">
        <f t="shared" si="4"/>
        <v>1</v>
      </c>
      <c r="AC10" s="50">
        <f t="shared" si="5"/>
        <v>1</v>
      </c>
    </row>
    <row r="11" spans="1:29" ht="15">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537"/>
      <c r="L11" s="2489"/>
      <c r="M11" s="2485"/>
      <c r="N11" s="2485"/>
      <c r="O11" s="2485"/>
      <c r="P11" s="3361"/>
      <c r="Q11" s="529" t="str">
        <f t="shared" si="6"/>
        <v>容积率</v>
      </c>
      <c r="R11" s="663" t="s">
        <v>14</v>
      </c>
      <c r="S11" s="664">
        <f t="shared" si="0"/>
        <v>100</v>
      </c>
      <c r="T11" s="663" t="s">
        <v>14</v>
      </c>
      <c r="U11" s="664">
        <f t="shared" si="1"/>
        <v>100</v>
      </c>
      <c r="V11" s="663" t="s">
        <v>14</v>
      </c>
      <c r="W11" s="664">
        <f t="shared" si="2"/>
        <v>100</v>
      </c>
      <c r="X11" s="665"/>
      <c r="Y11" s="3246"/>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6"/>
      <c r="M12" s="2438"/>
      <c r="N12" s="2438"/>
      <c r="O12" s="2438"/>
      <c r="P12" s="3361"/>
      <c r="Q12" s="529">
        <f t="shared" si="6"/>
        <v>111</v>
      </c>
      <c r="R12" s="663" t="s">
        <v>14</v>
      </c>
      <c r="S12" s="664">
        <f t="shared" si="0"/>
        <v>100</v>
      </c>
      <c r="T12" s="663" t="s">
        <v>14</v>
      </c>
      <c r="U12" s="664">
        <f t="shared" si="1"/>
        <v>100</v>
      </c>
      <c r="V12" s="663" t="s">
        <v>14</v>
      </c>
      <c r="W12" s="664">
        <f t="shared" si="2"/>
        <v>100</v>
      </c>
      <c r="X12" s="665"/>
      <c r="Y12" s="3246"/>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0"/>
      <c r="M13" s="2485"/>
      <c r="N13" s="2485"/>
      <c r="O13" s="2485"/>
      <c r="P13" s="3361"/>
      <c r="Q13" s="529">
        <f t="shared" si="6"/>
        <v>111</v>
      </c>
      <c r="R13" s="663" t="s">
        <v>14</v>
      </c>
      <c r="S13" s="664">
        <f t="shared" si="0"/>
        <v>100</v>
      </c>
      <c r="T13" s="663" t="s">
        <v>14</v>
      </c>
      <c r="U13" s="664">
        <f t="shared" si="1"/>
        <v>100</v>
      </c>
      <c r="V13" s="663" t="s">
        <v>14</v>
      </c>
      <c r="W13" s="664">
        <f t="shared" si="2"/>
        <v>100</v>
      </c>
      <c r="X13" s="665"/>
      <c r="Y13" s="3246"/>
      <c r="Z13" s="50">
        <f t="shared" si="7"/>
        <v>111</v>
      </c>
      <c r="AA13" s="50">
        <f t="shared" si="3"/>
        <v>1</v>
      </c>
      <c r="AB13" s="50">
        <f t="shared" si="4"/>
        <v>1</v>
      </c>
      <c r="AC13" s="50">
        <f t="shared" si="5"/>
        <v>1</v>
      </c>
    </row>
    <row r="14" spans="1:29" ht="15.75"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90"/>
      <c r="M14" s="2485"/>
      <c r="N14" s="2485"/>
      <c r="O14" s="2485"/>
      <c r="P14" s="3361"/>
      <c r="Q14" s="529">
        <f t="shared" si="6"/>
        <v>111</v>
      </c>
      <c r="R14" s="663" t="s">
        <v>14</v>
      </c>
      <c r="S14" s="664">
        <f t="shared" si="0"/>
        <v>100</v>
      </c>
      <c r="T14" s="663" t="s">
        <v>14</v>
      </c>
      <c r="U14" s="664">
        <f t="shared" si="1"/>
        <v>100</v>
      </c>
      <c r="V14" s="663" t="s">
        <v>14</v>
      </c>
      <c r="W14" s="664">
        <f t="shared" si="2"/>
        <v>100</v>
      </c>
      <c r="X14" s="665"/>
      <c r="Y14" s="3246"/>
      <c r="Z14" s="50">
        <f t="shared" si="7"/>
        <v>111</v>
      </c>
      <c r="AA14" s="50">
        <f t="shared" si="3"/>
        <v>1</v>
      </c>
      <c r="AB14" s="50">
        <f t="shared" si="4"/>
        <v>1</v>
      </c>
      <c r="AC14" s="50">
        <f t="shared" si="5"/>
        <v>1</v>
      </c>
    </row>
    <row r="15" spans="1:29" ht="71.25">
      <c r="A15" s="378" t="s">
        <v>1690</v>
      </c>
      <c r="B15" s="58" t="s">
        <v>1777</v>
      </c>
      <c r="C15" s="1749" t="str">
        <f>估价对象房地状况!C4</f>
        <v>估价对象位于XX商圈，周边商业氛围成熟，人流量大，商业繁华度好</v>
      </c>
      <c r="D15" s="379">
        <v>100</v>
      </c>
      <c r="E15" s="380"/>
      <c r="F15" s="381">
        <f>SUMIF(76:76,E16,77:77)-SUMIF(76:76,C16,77:77)+100</f>
        <v>100</v>
      </c>
      <c r="G15" s="382"/>
      <c r="H15" s="379">
        <f>SUMIF(76:76,G16,77:77)-SUMIF(76:76,C16,77:77)+100</f>
        <v>98</v>
      </c>
      <c r="I15" s="380"/>
      <c r="J15" s="379">
        <f>SUMIF(76:76,I16,77:77)-SUMIF(76:76,C16,77:77)+100</f>
        <v>98</v>
      </c>
      <c r="K15" s="539">
        <v>2</v>
      </c>
      <c r="L15" s="2490"/>
      <c r="M15" s="2485"/>
      <c r="N15" s="2485"/>
      <c r="O15" s="2485"/>
      <c r="P15" s="3352" t="s">
        <v>1691</v>
      </c>
      <c r="Q15" s="1262" t="str">
        <f t="shared" si="6"/>
        <v>商业繁华度</v>
      </c>
      <c r="R15" s="666" t="s">
        <v>14</v>
      </c>
      <c r="S15" s="667">
        <f t="shared" si="0"/>
        <v>100</v>
      </c>
      <c r="T15" s="666" t="s">
        <v>14</v>
      </c>
      <c r="U15" s="667">
        <f t="shared" si="1"/>
        <v>98</v>
      </c>
      <c r="V15" s="666" t="s">
        <v>14</v>
      </c>
      <c r="W15" s="667">
        <f t="shared" si="2"/>
        <v>98</v>
      </c>
      <c r="X15" s="1264"/>
      <c r="Y15" s="3354" t="s">
        <v>1691</v>
      </c>
      <c r="Z15" s="1263" t="str">
        <f t="shared" si="7"/>
        <v>商业繁华度</v>
      </c>
      <c r="AA15" s="1263">
        <f t="shared" si="3"/>
        <v>1</v>
      </c>
      <c r="AB15" s="1263">
        <f t="shared" si="4"/>
        <v>1.0204081632653061</v>
      </c>
      <c r="AC15" s="1263">
        <f t="shared" si="5"/>
        <v>1.0204081632653061</v>
      </c>
    </row>
    <row r="16" spans="1:29" ht="15">
      <c r="A16" s="366"/>
      <c r="B16" s="384"/>
      <c r="C16" s="385" t="s">
        <v>3423</v>
      </c>
      <c r="D16" s="386"/>
      <c r="E16" s="385" t="s">
        <v>3423</v>
      </c>
      <c r="F16" s="387"/>
      <c r="G16" s="385" t="s">
        <v>3460</v>
      </c>
      <c r="H16" s="388"/>
      <c r="I16" s="385" t="s">
        <v>3460</v>
      </c>
      <c r="J16" s="386"/>
      <c r="K16" s="540"/>
      <c r="L16" s="2490"/>
      <c r="M16" s="2485"/>
      <c r="N16" s="2485"/>
      <c r="O16" s="2485"/>
      <c r="P16" s="3353"/>
      <c r="Q16" s="1262"/>
      <c r="R16" s="666"/>
      <c r="S16" s="667"/>
      <c r="T16" s="666"/>
      <c r="U16" s="667"/>
      <c r="V16" s="666"/>
      <c r="W16" s="667"/>
      <c r="X16" s="1264"/>
      <c r="Y16" s="3355"/>
      <c r="Z16" s="1263"/>
      <c r="AA16" s="1263">
        <v>1</v>
      </c>
      <c r="AB16" s="1263">
        <v>1</v>
      </c>
      <c r="AC16" s="1263">
        <v>1</v>
      </c>
    </row>
    <row r="17" spans="1:29" ht="85.5">
      <c r="A17" s="366"/>
      <c r="B17" s="389" t="s">
        <v>1259</v>
      </c>
      <c r="C17" s="1753"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98</v>
      </c>
      <c r="I17" s="390"/>
      <c r="J17" s="393">
        <f>SUMIF(78:78,I18,79:79)-SUMIF(78:78,C18,79:79)+100</f>
        <v>100</v>
      </c>
      <c r="K17" s="539">
        <v>2</v>
      </c>
      <c r="L17" s="2490"/>
      <c r="M17" s="2485"/>
      <c r="N17" s="2485"/>
      <c r="O17" s="2485"/>
      <c r="P17" s="3353"/>
      <c r="Q17" s="1262" t="str">
        <f>B17</f>
        <v>交通便捷度</v>
      </c>
      <c r="R17" s="666" t="s">
        <v>14</v>
      </c>
      <c r="S17" s="667">
        <f>F17</f>
        <v>100</v>
      </c>
      <c r="T17" s="666" t="s">
        <v>14</v>
      </c>
      <c r="U17" s="667">
        <f>H17</f>
        <v>98</v>
      </c>
      <c r="V17" s="666" t="s">
        <v>14</v>
      </c>
      <c r="W17" s="667">
        <f>J17</f>
        <v>100</v>
      </c>
      <c r="X17" s="1264"/>
      <c r="Y17" s="3355"/>
      <c r="Z17" s="1263" t="str">
        <f>Q17</f>
        <v>交通便捷度</v>
      </c>
      <c r="AA17" s="1263">
        <f t="shared" si="3"/>
        <v>1</v>
      </c>
      <c r="AB17" s="1263">
        <f t="shared" si="4"/>
        <v>1.0204081632653061</v>
      </c>
      <c r="AC17" s="1263">
        <f t="shared" si="5"/>
        <v>1</v>
      </c>
    </row>
    <row r="18" spans="1:29" ht="15">
      <c r="A18" s="366"/>
      <c r="B18" s="394"/>
      <c r="C18" s="1754" t="s">
        <v>3423</v>
      </c>
      <c r="D18" s="388"/>
      <c r="E18" s="1756" t="s">
        <v>3423</v>
      </c>
      <c r="F18" s="391"/>
      <c r="G18" s="1755" t="s">
        <v>3460</v>
      </c>
      <c r="H18" s="386"/>
      <c r="I18" s="1756" t="s">
        <v>3423</v>
      </c>
      <c r="J18" s="386"/>
      <c r="K18" s="540"/>
      <c r="L18" s="2490"/>
      <c r="M18" s="2485"/>
      <c r="N18" s="2485"/>
      <c r="O18" s="2485"/>
      <c r="P18" s="3353"/>
      <c r="Q18" s="1262"/>
      <c r="R18" s="666"/>
      <c r="S18" s="667"/>
      <c r="T18" s="666"/>
      <c r="U18" s="667"/>
      <c r="V18" s="666"/>
      <c r="W18" s="667"/>
      <c r="X18" s="1264"/>
      <c r="Y18" s="3355"/>
      <c r="Z18" s="1263"/>
      <c r="AA18" s="1263">
        <v>1</v>
      </c>
      <c r="AB18" s="1263">
        <v>1</v>
      </c>
      <c r="AC18" s="1263">
        <v>1</v>
      </c>
    </row>
    <row r="19" spans="1:29" ht="42.75">
      <c r="A19" s="366"/>
      <c r="B19" s="389" t="s">
        <v>1778</v>
      </c>
      <c r="C19" s="1753"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v>2</v>
      </c>
      <c r="L19" s="2490"/>
      <c r="M19" s="2485"/>
      <c r="N19" s="2485"/>
      <c r="O19" s="2485"/>
      <c r="P19" s="3353"/>
      <c r="Q19" s="1262" t="str">
        <f>B19</f>
        <v>公共配套设施</v>
      </c>
      <c r="R19" s="666" t="s">
        <v>14</v>
      </c>
      <c r="S19" s="667">
        <f>F19</f>
        <v>100</v>
      </c>
      <c r="T19" s="666" t="s">
        <v>14</v>
      </c>
      <c r="U19" s="667">
        <f>H19</f>
        <v>100</v>
      </c>
      <c r="V19" s="666" t="s">
        <v>14</v>
      </c>
      <c r="W19" s="667">
        <f>J19</f>
        <v>100</v>
      </c>
      <c r="X19" s="1264"/>
      <c r="Y19" s="3355"/>
      <c r="Z19" s="1263" t="str">
        <f>Q19</f>
        <v>公共配套设施</v>
      </c>
      <c r="AA19" s="1263">
        <f t="shared" si="3"/>
        <v>1</v>
      </c>
      <c r="AB19" s="1263">
        <f t="shared" si="4"/>
        <v>1</v>
      </c>
      <c r="AC19" s="1263">
        <f t="shared" si="5"/>
        <v>1</v>
      </c>
    </row>
    <row r="20" spans="1:29" ht="15">
      <c r="A20" s="366"/>
      <c r="B20" s="394"/>
      <c r="C20" s="385" t="s">
        <v>3423</v>
      </c>
      <c r="D20" s="386"/>
      <c r="E20" s="1751" t="s">
        <v>3423</v>
      </c>
      <c r="F20" s="387"/>
      <c r="G20" s="1750" t="s">
        <v>3423</v>
      </c>
      <c r="H20" s="386"/>
      <c r="I20" s="1751" t="s">
        <v>3423</v>
      </c>
      <c r="J20" s="386"/>
      <c r="K20" s="540"/>
      <c r="L20" s="2490"/>
      <c r="M20" s="2485"/>
      <c r="N20" s="2485"/>
      <c r="O20" s="2485"/>
      <c r="P20" s="3353"/>
      <c r="Q20" s="1262"/>
      <c r="R20" s="666"/>
      <c r="S20" s="667"/>
      <c r="T20" s="666"/>
      <c r="U20" s="667"/>
      <c r="V20" s="666"/>
      <c r="W20" s="667"/>
      <c r="X20" s="1264"/>
      <c r="Y20" s="3355"/>
      <c r="Z20" s="1263"/>
      <c r="AA20" s="1263">
        <v>1</v>
      </c>
      <c r="AB20" s="1263">
        <v>1</v>
      </c>
      <c r="AC20" s="1263">
        <v>1</v>
      </c>
    </row>
    <row r="21" spans="1:29" ht="28.5">
      <c r="A21" s="366"/>
      <c r="B21" s="585" t="s">
        <v>1779</v>
      </c>
      <c r="C21" s="1753"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v>1</v>
      </c>
      <c r="L21" s="2490"/>
      <c r="M21" s="2485"/>
      <c r="N21" s="2485"/>
      <c r="O21" s="2485"/>
      <c r="P21" s="3353"/>
      <c r="Q21" s="1262" t="str">
        <f>B21</f>
        <v>基础设施水平</v>
      </c>
      <c r="R21" s="666" t="s">
        <v>14</v>
      </c>
      <c r="S21" s="667">
        <f>F21</f>
        <v>100</v>
      </c>
      <c r="T21" s="666" t="s">
        <v>14</v>
      </c>
      <c r="U21" s="667">
        <f>H21</f>
        <v>100</v>
      </c>
      <c r="V21" s="666" t="s">
        <v>14</v>
      </c>
      <c r="W21" s="667">
        <f>J21</f>
        <v>100</v>
      </c>
      <c r="X21" s="1264"/>
      <c r="Y21" s="3355"/>
      <c r="Z21" s="1263" t="str">
        <f>Q21</f>
        <v>基础设施水平</v>
      </c>
      <c r="AA21" s="1263">
        <f t="shared" ref="AA21" si="8">D21/F21</f>
        <v>1</v>
      </c>
      <c r="AB21" s="1263">
        <f t="shared" ref="AB21" si="9">D21/H21</f>
        <v>1</v>
      </c>
      <c r="AC21" s="1263">
        <f t="shared" ref="AC21" si="10">D21/J21</f>
        <v>1</v>
      </c>
    </row>
    <row r="22" spans="1:29" ht="15">
      <c r="A22" s="366"/>
      <c r="B22" s="585"/>
      <c r="C22" s="1754" t="s">
        <v>3424</v>
      </c>
      <c r="D22" s="386"/>
      <c r="E22" s="385" t="s">
        <v>3424</v>
      </c>
      <c r="F22" s="387"/>
      <c r="G22" s="385" t="s">
        <v>3424</v>
      </c>
      <c r="H22" s="386"/>
      <c r="I22" s="385" t="s">
        <v>3424</v>
      </c>
      <c r="J22" s="386"/>
      <c r="K22" s="1063"/>
      <c r="L22" s="2490"/>
      <c r="M22" s="2485"/>
      <c r="N22" s="2485"/>
      <c r="O22" s="2485"/>
      <c r="P22" s="3353"/>
      <c r="Q22" s="1262"/>
      <c r="R22" s="666"/>
      <c r="S22" s="667"/>
      <c r="T22" s="666"/>
      <c r="U22" s="667"/>
      <c r="V22" s="666"/>
      <c r="W22" s="667"/>
      <c r="X22" s="1264"/>
      <c r="Y22" s="3355"/>
      <c r="Z22" s="1263"/>
      <c r="AA22" s="1263">
        <v>1</v>
      </c>
      <c r="AB22" s="1263">
        <v>1</v>
      </c>
      <c r="AC22" s="1263">
        <v>1</v>
      </c>
    </row>
    <row r="23" spans="1:29" ht="57">
      <c r="A23" s="366"/>
      <c r="B23" s="389" t="s">
        <v>1261</v>
      </c>
      <c r="C23" s="1805"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v>2</v>
      </c>
      <c r="L23" s="2490"/>
      <c r="M23" s="2485"/>
      <c r="N23" s="2485"/>
      <c r="O23" s="2485"/>
      <c r="P23" s="3353"/>
      <c r="Q23" s="1262" t="str">
        <f>B23</f>
        <v>自然及人文环境</v>
      </c>
      <c r="R23" s="666" t="s">
        <v>14</v>
      </c>
      <c r="S23" s="667">
        <f>F23</f>
        <v>100</v>
      </c>
      <c r="T23" s="666" t="s">
        <v>14</v>
      </c>
      <c r="U23" s="667">
        <f>H23</f>
        <v>100</v>
      </c>
      <c r="V23" s="666" t="s">
        <v>14</v>
      </c>
      <c r="W23" s="667">
        <f>J23</f>
        <v>100</v>
      </c>
      <c r="X23" s="1264"/>
      <c r="Y23" s="3355"/>
      <c r="Z23" s="1263" t="str">
        <f>Q23</f>
        <v>自然及人文环境</v>
      </c>
      <c r="AA23" s="1263">
        <f t="shared" si="3"/>
        <v>1</v>
      </c>
      <c r="AB23" s="1263">
        <f t="shared" si="4"/>
        <v>1</v>
      </c>
      <c r="AC23" s="1263">
        <f t="shared" si="5"/>
        <v>1</v>
      </c>
    </row>
    <row r="24" spans="1:29" ht="15">
      <c r="A24" s="366"/>
      <c r="B24" s="394"/>
      <c r="C24" s="385" t="s">
        <v>3423</v>
      </c>
      <c r="D24" s="386"/>
      <c r="E24" s="1751" t="s">
        <v>3423</v>
      </c>
      <c r="F24" s="387"/>
      <c r="G24" s="1750" t="s">
        <v>3423</v>
      </c>
      <c r="H24" s="386"/>
      <c r="I24" s="1751" t="s">
        <v>3423</v>
      </c>
      <c r="J24" s="386"/>
      <c r="K24" s="540"/>
      <c r="L24" s="2490"/>
      <c r="M24" s="2485"/>
      <c r="N24" s="2485"/>
      <c r="O24" s="2485"/>
      <c r="P24" s="3353"/>
      <c r="Q24" s="1262"/>
      <c r="R24" s="666"/>
      <c r="S24" s="667"/>
      <c r="T24" s="666"/>
      <c r="U24" s="667"/>
      <c r="V24" s="666"/>
      <c r="W24" s="667"/>
      <c r="X24" s="1264"/>
      <c r="Y24" s="3355"/>
      <c r="Z24" s="1263"/>
      <c r="AA24" s="1263">
        <v>1</v>
      </c>
      <c r="AB24" s="1263">
        <v>1</v>
      </c>
      <c r="AC24" s="1263">
        <v>1</v>
      </c>
    </row>
    <row r="25" spans="1:29" ht="15">
      <c r="A25" s="366"/>
      <c r="B25" s="363" t="s">
        <v>1780</v>
      </c>
      <c r="C25" s="541" t="s">
        <v>3456</v>
      </c>
      <c r="D25" s="373">
        <v>100</v>
      </c>
      <c r="E25" s="541" t="s">
        <v>3456</v>
      </c>
      <c r="F25" s="399">
        <f>SUMIF(86:86,E25,87:87)-SUMIF(86:86,C25,87:87)+100</f>
        <v>100</v>
      </c>
      <c r="G25" s="541" t="s">
        <v>3456</v>
      </c>
      <c r="H25" s="373">
        <f>SUMIF(86:86,G25,87:87)-SUMIF(86:86,C25,87:87)+100</f>
        <v>100</v>
      </c>
      <c r="I25" s="541" t="s">
        <v>3454</v>
      </c>
      <c r="J25" s="373">
        <f>SUMIF(86:86,I25,87:87)-SUMIF(86:86,C25,87:87)+100</f>
        <v>105</v>
      </c>
      <c r="K25" s="537">
        <v>5</v>
      </c>
      <c r="L25" s="2490"/>
      <c r="M25" s="2485"/>
      <c r="N25" s="2485"/>
      <c r="O25" s="2485"/>
      <c r="P25" s="3353"/>
      <c r="Q25" s="1262" t="str">
        <f t="shared" ref="Q25:Q46" si="11">B25</f>
        <v>临街状况</v>
      </c>
      <c r="R25" s="666" t="s">
        <v>14</v>
      </c>
      <c r="S25" s="667">
        <f>F25</f>
        <v>100</v>
      </c>
      <c r="T25" s="666" t="s">
        <v>14</v>
      </c>
      <c r="U25" s="667">
        <f>H25</f>
        <v>100</v>
      </c>
      <c r="V25" s="666" t="s">
        <v>14</v>
      </c>
      <c r="W25" s="667">
        <f>J25</f>
        <v>105</v>
      </c>
      <c r="X25" s="1264"/>
      <c r="Y25" s="3355"/>
      <c r="Z25" s="1263" t="str">
        <f>Q25</f>
        <v>临街状况</v>
      </c>
      <c r="AA25" s="1263">
        <f t="shared" si="3"/>
        <v>1</v>
      </c>
      <c r="AB25" s="1263">
        <f t="shared" si="4"/>
        <v>1</v>
      </c>
      <c r="AC25" s="1263">
        <f t="shared" si="5"/>
        <v>0.95238095238095233</v>
      </c>
    </row>
    <row r="26" spans="1:29" ht="15">
      <c r="A26" s="366"/>
      <c r="B26" s="1065" t="s">
        <v>1781</v>
      </c>
      <c r="C26" s="3148" t="s">
        <v>3425</v>
      </c>
      <c r="D26" s="373">
        <v>100</v>
      </c>
      <c r="E26" s="3148" t="s">
        <v>3425</v>
      </c>
      <c r="F26" s="399">
        <f>SUMIF(88:88,E26,89:89)-SUMIF(88:88,C26,89:89)+100</f>
        <v>100</v>
      </c>
      <c r="G26" s="3148" t="s">
        <v>3425</v>
      </c>
      <c r="H26" s="373">
        <f>SUMIF(88:88,G26,89:89)-SUMIF(88:88,C26,89:89)+100</f>
        <v>100</v>
      </c>
      <c r="I26" s="3148" t="s">
        <v>3425</v>
      </c>
      <c r="J26" s="373">
        <f>SUMIF(88:88,I26,89:89)-SUMIF(88:88,C26,89:89)+100</f>
        <v>100</v>
      </c>
      <c r="K26" s="538"/>
      <c r="L26" s="2490"/>
      <c r="M26" s="3152" t="s">
        <v>3463</v>
      </c>
      <c r="N26" s="2485"/>
      <c r="O26" s="2485"/>
      <c r="P26" s="3353"/>
      <c r="Q26" s="1262" t="str">
        <f t="shared" si="11"/>
        <v>平面位置/可视性</v>
      </c>
      <c r="R26" s="666" t="s">
        <v>14</v>
      </c>
      <c r="S26" s="667">
        <f>F26</f>
        <v>100</v>
      </c>
      <c r="T26" s="666" t="s">
        <v>14</v>
      </c>
      <c r="U26" s="667">
        <f>H26</f>
        <v>100</v>
      </c>
      <c r="V26" s="666" t="s">
        <v>14</v>
      </c>
      <c r="W26" s="667">
        <f>J26</f>
        <v>100</v>
      </c>
      <c r="X26" s="1264"/>
      <c r="Y26" s="3355"/>
      <c r="Z26" s="1263" t="str">
        <f>Q26</f>
        <v>平面位置/可视性</v>
      </c>
      <c r="AA26" s="1263">
        <f t="shared" si="3"/>
        <v>1</v>
      </c>
      <c r="AB26" s="1263">
        <f t="shared" si="4"/>
        <v>1</v>
      </c>
      <c r="AC26" s="1263">
        <f t="shared" si="5"/>
        <v>1</v>
      </c>
    </row>
    <row r="27" spans="1:29" s="101" customFormat="1" ht="15">
      <c r="A27" s="369"/>
      <c r="B27" s="389" t="s">
        <v>1782</v>
      </c>
      <c r="C27" s="1806" t="s">
        <v>3448</v>
      </c>
      <c r="D27" s="400">
        <v>100</v>
      </c>
      <c r="E27" s="1806" t="s">
        <v>3448</v>
      </c>
      <c r="F27" s="394">
        <f>SUMIF(90:90,E27,91:91)-SUMIF(90:90,C27,91:91)+100</f>
        <v>100</v>
      </c>
      <c r="G27" s="1806" t="s">
        <v>3460</v>
      </c>
      <c r="H27" s="400">
        <f>SUMIF(90:90,G27,91:91)-SUMIF(90:90,C27,91:91)+100</f>
        <v>95</v>
      </c>
      <c r="I27" s="1806" t="s">
        <v>3460</v>
      </c>
      <c r="J27" s="400">
        <f>SUMIF(90:90,I27,91:91)-SUMIF(90:90,C27,91:91)+100</f>
        <v>95</v>
      </c>
      <c r="K27" s="537">
        <v>5</v>
      </c>
      <c r="L27" s="2486"/>
      <c r="M27" s="2438">
        <v>2014</v>
      </c>
      <c r="N27" s="2438"/>
      <c r="O27" s="2438"/>
      <c r="P27" s="3353"/>
      <c r="Q27" s="529" t="str">
        <f t="shared" si="11"/>
        <v>人流量</v>
      </c>
      <c r="R27" s="663" t="s">
        <v>14</v>
      </c>
      <c r="S27" s="664">
        <f>F27</f>
        <v>100</v>
      </c>
      <c r="T27" s="663" t="s">
        <v>14</v>
      </c>
      <c r="U27" s="664">
        <f>H27</f>
        <v>95</v>
      </c>
      <c r="V27" s="663" t="s">
        <v>14</v>
      </c>
      <c r="W27" s="664">
        <f>J27</f>
        <v>95</v>
      </c>
      <c r="X27" s="665"/>
      <c r="Y27" s="3355"/>
      <c r="Z27" s="50" t="str">
        <f>Q27</f>
        <v>人流量</v>
      </c>
      <c r="AA27" s="1263">
        <f>D27/F27</f>
        <v>1</v>
      </c>
      <c r="AB27" s="1263">
        <f>D27/H27</f>
        <v>1.0526315789473684</v>
      </c>
      <c r="AC27" s="1263">
        <f>D27/J27</f>
        <v>1.0526315789473684</v>
      </c>
    </row>
    <row r="28" spans="1:29" ht="15">
      <c r="A28" s="366"/>
      <c r="B28" s="363" t="s">
        <v>1783</v>
      </c>
      <c r="C28" s="541" t="s">
        <v>3449</v>
      </c>
      <c r="D28" s="373">
        <v>100</v>
      </c>
      <c r="E28" s="541" t="s">
        <v>3461</v>
      </c>
      <c r="F28" s="399">
        <f>SUMIF(92:92,E28,93:93)-SUMIF(92:92,C28,93:93)+100</f>
        <v>118</v>
      </c>
      <c r="G28" s="541" t="s">
        <v>3461</v>
      </c>
      <c r="H28" s="373">
        <f>SUMIF(92:92,G28,93:93)-SUMIF(92:92,C28,93:93)+100</f>
        <v>118</v>
      </c>
      <c r="I28" s="541" t="s">
        <v>3461</v>
      </c>
      <c r="J28" s="373">
        <f>SUMIF(92:92,I28,93:93)-SUMIF(92:92,C28,93:93)+100</f>
        <v>118</v>
      </c>
      <c r="K28" s="538"/>
      <c r="L28" s="2490"/>
      <c r="M28" s="2485">
        <f>ROUND(1-(1-0)*(2024-M27)/60,2)</f>
        <v>0.83</v>
      </c>
      <c r="N28" s="2485"/>
      <c r="O28" s="2485"/>
      <c r="P28" s="3353"/>
      <c r="Q28" s="1262" t="str">
        <f t="shared" si="11"/>
        <v>楼层</v>
      </c>
      <c r="R28" s="666" t="s">
        <v>14</v>
      </c>
      <c r="S28" s="667">
        <f t="shared" ref="S28:S46" si="12">F28</f>
        <v>118</v>
      </c>
      <c r="T28" s="666" t="s">
        <v>14</v>
      </c>
      <c r="U28" s="667">
        <f t="shared" ref="U28:U46" si="13">H28</f>
        <v>118</v>
      </c>
      <c r="V28" s="666" t="s">
        <v>14</v>
      </c>
      <c r="W28" s="667">
        <f t="shared" ref="W28:W46" si="14">J28</f>
        <v>118</v>
      </c>
      <c r="X28" s="1264"/>
      <c r="Y28" s="3355"/>
      <c r="Z28" s="1263" t="str">
        <f t="shared" ref="Z28:Z46" si="15">Q28</f>
        <v>楼层</v>
      </c>
      <c r="AA28" s="1263">
        <f t="shared" si="3"/>
        <v>0.84745762711864403</v>
      </c>
      <c r="AB28" s="1263">
        <f t="shared" si="4"/>
        <v>0.84745762711864403</v>
      </c>
      <c r="AC28" s="1263">
        <f t="shared" si="5"/>
        <v>0.84745762711864403</v>
      </c>
    </row>
    <row r="29" spans="1:29" ht="15">
      <c r="A29" s="366"/>
      <c r="B29" s="1065">
        <v>111</v>
      </c>
      <c r="C29" s="3148" t="s">
        <v>3458</v>
      </c>
      <c r="D29" s="373">
        <v>100</v>
      </c>
      <c r="E29" s="3148" t="s">
        <v>3458</v>
      </c>
      <c r="F29" s="399">
        <f>SUMIF(94:94,E29,95:95)-SUMIF(94:94,C29,95:95)+100</f>
        <v>100</v>
      </c>
      <c r="G29" s="3148" t="s">
        <v>3458</v>
      </c>
      <c r="H29" s="373">
        <f>SUMIF(94:94,G29,95:95)-SUMIF(94:94,C29,95:95)+100</f>
        <v>100</v>
      </c>
      <c r="I29" s="3148" t="s">
        <v>3458</v>
      </c>
      <c r="J29" s="373">
        <f>SUMIF(94:94,I29,95:95)-SUMIF(94:94,C29,95:95)+100</f>
        <v>100</v>
      </c>
      <c r="K29" s="538"/>
      <c r="L29" s="2490"/>
      <c r="M29" s="2485"/>
      <c r="N29" s="2485"/>
      <c r="O29" s="2485"/>
      <c r="P29" s="3353"/>
      <c r="Q29" s="1262">
        <f t="shared" si="11"/>
        <v>111</v>
      </c>
      <c r="R29" s="666" t="s">
        <v>14</v>
      </c>
      <c r="S29" s="667">
        <f t="shared" si="12"/>
        <v>100</v>
      </c>
      <c r="T29" s="666" t="s">
        <v>14</v>
      </c>
      <c r="U29" s="667">
        <f t="shared" si="13"/>
        <v>100</v>
      </c>
      <c r="V29" s="666" t="s">
        <v>14</v>
      </c>
      <c r="W29" s="667">
        <f t="shared" si="14"/>
        <v>100</v>
      </c>
      <c r="X29" s="1264"/>
      <c r="Y29" s="3355"/>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90"/>
      <c r="M30" s="2485"/>
      <c r="N30" s="2485"/>
      <c r="O30" s="2485"/>
      <c r="P30" s="3353"/>
      <c r="Q30" s="1262">
        <f t="shared" si="11"/>
        <v>111</v>
      </c>
      <c r="R30" s="666" t="s">
        <v>14</v>
      </c>
      <c r="S30" s="667">
        <f t="shared" si="12"/>
        <v>100</v>
      </c>
      <c r="T30" s="666" t="s">
        <v>14</v>
      </c>
      <c r="U30" s="667">
        <f t="shared" si="13"/>
        <v>100</v>
      </c>
      <c r="V30" s="666" t="s">
        <v>14</v>
      </c>
      <c r="W30" s="667">
        <f t="shared" si="14"/>
        <v>100</v>
      </c>
      <c r="X30" s="1264"/>
      <c r="Y30" s="3355"/>
      <c r="Z30" s="1263">
        <f t="shared" si="15"/>
        <v>111</v>
      </c>
      <c r="AA30" s="1263">
        <f t="shared" si="3"/>
        <v>1</v>
      </c>
      <c r="AB30" s="1263">
        <f t="shared" si="4"/>
        <v>1</v>
      </c>
      <c r="AC30" s="1263">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90"/>
      <c r="M31" s="2485"/>
      <c r="N31" s="2485"/>
      <c r="O31" s="2485"/>
      <c r="P31" s="3353"/>
      <c r="Q31" s="1262">
        <f t="shared" si="11"/>
        <v>111</v>
      </c>
      <c r="R31" s="666" t="s">
        <v>14</v>
      </c>
      <c r="S31" s="667">
        <f t="shared" si="12"/>
        <v>100</v>
      </c>
      <c r="T31" s="666" t="s">
        <v>14</v>
      </c>
      <c r="U31" s="667">
        <f t="shared" si="13"/>
        <v>100</v>
      </c>
      <c r="V31" s="666" t="s">
        <v>14</v>
      </c>
      <c r="W31" s="667">
        <f t="shared" si="14"/>
        <v>100</v>
      </c>
      <c r="X31" s="1264"/>
      <c r="Y31" s="3355"/>
      <c r="Z31" s="1263">
        <f t="shared" si="15"/>
        <v>111</v>
      </c>
      <c r="AA31" s="1263">
        <f t="shared" si="3"/>
        <v>1</v>
      </c>
      <c r="AB31" s="1263">
        <f t="shared" si="4"/>
        <v>1</v>
      </c>
      <c r="AC31" s="1263">
        <f t="shared" si="5"/>
        <v>1</v>
      </c>
    </row>
    <row r="32" spans="1:29" ht="15">
      <c r="A32" s="378" t="s">
        <v>1694</v>
      </c>
      <c r="B32" s="60" t="s">
        <v>1784</v>
      </c>
      <c r="C32" s="1763" t="s">
        <v>3450</v>
      </c>
      <c r="D32" s="404">
        <v>100</v>
      </c>
      <c r="E32" s="1763" t="s">
        <v>3450</v>
      </c>
      <c r="F32" s="399">
        <f>SUMIF(100:100,E32,101:101)-SUMIF(100:100,C32,101:101)+100</f>
        <v>100</v>
      </c>
      <c r="G32" s="1763" t="s">
        <v>3459</v>
      </c>
      <c r="H32" s="373">
        <f>SUMIF(100:100,G32,101:101)-SUMIF(100:100,C32,101:101)+100</f>
        <v>97</v>
      </c>
      <c r="I32" s="1763" t="s">
        <v>3459</v>
      </c>
      <c r="J32" s="404">
        <f>SUMIF(100:100,I32,101:101)-SUMIF(100:100,C32,101:101)+100</f>
        <v>97</v>
      </c>
      <c r="K32" s="537">
        <v>3</v>
      </c>
      <c r="L32" s="2490"/>
      <c r="M32" s="2485"/>
      <c r="N32" s="2485"/>
      <c r="O32" s="2485"/>
      <c r="P32" s="3356" t="s">
        <v>1696</v>
      </c>
      <c r="Q32" s="1262" t="str">
        <f t="shared" si="11"/>
        <v>商业类型</v>
      </c>
      <c r="R32" s="666" t="s">
        <v>14</v>
      </c>
      <c r="S32" s="667">
        <f t="shared" si="12"/>
        <v>100</v>
      </c>
      <c r="T32" s="666" t="s">
        <v>14</v>
      </c>
      <c r="U32" s="667">
        <f t="shared" si="13"/>
        <v>97</v>
      </c>
      <c r="V32" s="666" t="s">
        <v>14</v>
      </c>
      <c r="W32" s="667">
        <f t="shared" si="14"/>
        <v>97</v>
      </c>
      <c r="X32" s="1264"/>
      <c r="Y32" s="3359" t="s">
        <v>1696</v>
      </c>
      <c r="Z32" s="1263" t="str">
        <f t="shared" si="15"/>
        <v>商业类型</v>
      </c>
      <c r="AA32" s="1263">
        <f t="shared" si="3"/>
        <v>1</v>
      </c>
      <c r="AB32" s="1263">
        <f t="shared" si="4"/>
        <v>1.0309278350515463</v>
      </c>
      <c r="AC32" s="1263">
        <f t="shared" si="5"/>
        <v>1.0309278350515463</v>
      </c>
    </row>
    <row r="33" spans="1:29" s="407" customFormat="1" ht="15">
      <c r="A33" s="405"/>
      <c r="B33" s="363" t="s">
        <v>1697</v>
      </c>
      <c r="C33" s="406">
        <f>'数据-汇总表'!E19</f>
        <v>227.25</v>
      </c>
      <c r="D33" s="118">
        <v>100</v>
      </c>
      <c r="E33" s="368">
        <f>案例!Q7</f>
        <v>84</v>
      </c>
      <c r="F33" s="363">
        <f>LOOKUP(E33,103:103,104:104)-LOOKUP(C33,103:103,104:104)+100</f>
        <v>102</v>
      </c>
      <c r="G33" s="367">
        <f>案例!R44</f>
        <v>65.349999999999994</v>
      </c>
      <c r="H33" s="118">
        <f>LOOKUP(G33,103:103,104:104)-LOOKUP(C33,103:103,104:104)+100</f>
        <v>102</v>
      </c>
      <c r="I33" s="367">
        <f>案例!Q78</f>
        <v>190.52</v>
      </c>
      <c r="J33" s="118">
        <f>LOOKUP(I33,103:103,104:104)-LOOKUP(C33,103:103,104:104)+100</f>
        <v>101</v>
      </c>
      <c r="K33" s="538"/>
      <c r="L33" s="2489"/>
      <c r="M33" s="2491"/>
      <c r="N33" s="2491"/>
      <c r="O33" s="2491"/>
      <c r="P33" s="3357"/>
      <c r="Q33" s="530" t="str">
        <f t="shared" si="11"/>
        <v>项目建筑规模</v>
      </c>
      <c r="R33" s="668" t="s">
        <v>14</v>
      </c>
      <c r="S33" s="669">
        <f t="shared" si="12"/>
        <v>102</v>
      </c>
      <c r="T33" s="668" t="s">
        <v>14</v>
      </c>
      <c r="U33" s="669">
        <f t="shared" si="13"/>
        <v>102</v>
      </c>
      <c r="V33" s="668" t="s">
        <v>14</v>
      </c>
      <c r="W33" s="669">
        <f t="shared" si="14"/>
        <v>101</v>
      </c>
      <c r="X33" s="670"/>
      <c r="Y33" s="3359"/>
      <c r="Z33" s="671" t="str">
        <f t="shared" si="15"/>
        <v>项目建筑规模</v>
      </c>
      <c r="AA33" s="1263">
        <f t="shared" si="3"/>
        <v>0.98039215686274506</v>
      </c>
      <c r="AB33" s="1263">
        <f t="shared" si="4"/>
        <v>0.98039215686274506</v>
      </c>
      <c r="AC33" s="1263">
        <f t="shared" si="5"/>
        <v>0.99009900990099009</v>
      </c>
    </row>
    <row r="34" spans="1:29" ht="15">
      <c r="A34" s="408"/>
      <c r="B34" s="363" t="s">
        <v>1698</v>
      </c>
      <c r="C34" s="398" t="s">
        <v>3451</v>
      </c>
      <c r="D34" s="373">
        <v>100</v>
      </c>
      <c r="E34" s="398" t="s">
        <v>3451</v>
      </c>
      <c r="F34" s="399">
        <f>SUMIF(105:105,E34,106:106)-SUMIF(105:105,C34,106:106)+100</f>
        <v>100</v>
      </c>
      <c r="G34" s="398" t="s">
        <v>3451</v>
      </c>
      <c r="H34" s="373">
        <f>SUMIF(105:105,G34,106:106)-SUMIF(105:105,C34,106:106)+100</f>
        <v>100</v>
      </c>
      <c r="I34" s="398" t="s">
        <v>3451</v>
      </c>
      <c r="J34" s="373">
        <f>SUMIF(105:105,I34,106:106)-SUMIF(105:105,C34,106:106)+100</f>
        <v>100</v>
      </c>
      <c r="K34" s="537">
        <v>1</v>
      </c>
      <c r="L34" s="2490"/>
      <c r="M34" s="2485"/>
      <c r="N34" s="2485"/>
      <c r="O34" s="2485"/>
      <c r="P34" s="3357"/>
      <c r="Q34" s="1262" t="str">
        <f t="shared" si="11"/>
        <v>建筑结构</v>
      </c>
      <c r="R34" s="666" t="s">
        <v>14</v>
      </c>
      <c r="S34" s="667">
        <f t="shared" si="12"/>
        <v>100</v>
      </c>
      <c r="T34" s="666" t="s">
        <v>14</v>
      </c>
      <c r="U34" s="667">
        <f t="shared" si="13"/>
        <v>100</v>
      </c>
      <c r="V34" s="666" t="s">
        <v>14</v>
      </c>
      <c r="W34" s="667">
        <f t="shared" si="14"/>
        <v>100</v>
      </c>
      <c r="X34" s="1264"/>
      <c r="Y34" s="3359"/>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90"/>
      <c r="M35" s="2485"/>
      <c r="N35" s="2485"/>
      <c r="O35" s="2485"/>
      <c r="P35" s="3357"/>
      <c r="Q35" s="1262" t="str">
        <f t="shared" si="11"/>
        <v>公共部分装修</v>
      </c>
      <c r="R35" s="666" t="s">
        <v>14</v>
      </c>
      <c r="S35" s="667">
        <f t="shared" si="12"/>
        <v>100</v>
      </c>
      <c r="T35" s="666" t="s">
        <v>14</v>
      </c>
      <c r="U35" s="667">
        <f t="shared" si="13"/>
        <v>100</v>
      </c>
      <c r="V35" s="666" t="s">
        <v>14</v>
      </c>
      <c r="W35" s="667">
        <f t="shared" si="14"/>
        <v>100</v>
      </c>
      <c r="X35" s="1264"/>
      <c r="Y35" s="3359"/>
      <c r="Z35" s="1263" t="str">
        <f t="shared" si="15"/>
        <v>公共部分装修</v>
      </c>
      <c r="AA35" s="1263">
        <f t="shared" si="3"/>
        <v>1</v>
      </c>
      <c r="AB35" s="1263">
        <f t="shared" si="4"/>
        <v>1</v>
      </c>
      <c r="AC35" s="1263">
        <f t="shared" si="5"/>
        <v>1</v>
      </c>
    </row>
    <row r="36" spans="1:29" ht="15">
      <c r="A36" s="408"/>
      <c r="B36" s="363" t="s">
        <v>1786</v>
      </c>
      <c r="C36" s="410">
        <f>'数据-取费表'!N6</f>
        <v>0.73</v>
      </c>
      <c r="D36" s="373">
        <v>100</v>
      </c>
      <c r="E36" s="410">
        <v>0.7</v>
      </c>
      <c r="F36" s="399">
        <f>LOOKUP(E36,110:110,111:111)-LOOKUP(C36,110:110,111:111)+100</f>
        <v>100</v>
      </c>
      <c r="G36" s="410">
        <v>0.8</v>
      </c>
      <c r="H36" s="399">
        <f>LOOKUP(G36,110:110,111:111)-LOOKUP(C36,110:110,111:111)+100</f>
        <v>101</v>
      </c>
      <c r="I36" s="410">
        <v>0.83</v>
      </c>
      <c r="J36" s="373">
        <f>LOOKUP(I36,110:110,111:111)-LOOKUP(C36,110:110,111:111)+100</f>
        <v>101</v>
      </c>
      <c r="K36" s="537">
        <v>1</v>
      </c>
      <c r="L36" s="2490"/>
      <c r="M36" s="2485"/>
      <c r="N36" s="2485"/>
      <c r="O36" s="2485"/>
      <c r="P36" s="3357"/>
      <c r="Q36" s="1262" t="str">
        <f t="shared" si="11"/>
        <v>成新度</v>
      </c>
      <c r="R36" s="666" t="s">
        <v>14</v>
      </c>
      <c r="S36" s="667">
        <f t="shared" si="12"/>
        <v>100</v>
      </c>
      <c r="T36" s="666" t="s">
        <v>14</v>
      </c>
      <c r="U36" s="667">
        <f t="shared" si="13"/>
        <v>101</v>
      </c>
      <c r="V36" s="666" t="s">
        <v>14</v>
      </c>
      <c r="W36" s="667">
        <f t="shared" si="14"/>
        <v>101</v>
      </c>
      <c r="X36" s="1264"/>
      <c r="Y36" s="3359"/>
      <c r="Z36" s="1263" t="str">
        <f t="shared" si="15"/>
        <v>成新度</v>
      </c>
      <c r="AA36" s="1263">
        <f t="shared" si="3"/>
        <v>1</v>
      </c>
      <c r="AB36" s="1263">
        <f t="shared" si="4"/>
        <v>0.99009900990099009</v>
      </c>
      <c r="AC36" s="1263">
        <f t="shared" si="5"/>
        <v>0.99009900990099009</v>
      </c>
    </row>
    <row r="37" spans="1:29" s="101"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6"/>
      <c r="M37" s="2438"/>
      <c r="N37" s="2438"/>
      <c r="O37" s="2438"/>
      <c r="P37" s="3357"/>
      <c r="Q37" s="529" t="str">
        <f t="shared" si="11"/>
        <v>市政基础设施</v>
      </c>
      <c r="R37" s="663" t="s">
        <v>14</v>
      </c>
      <c r="S37" s="664">
        <f t="shared" si="12"/>
        <v>100</v>
      </c>
      <c r="T37" s="663" t="s">
        <v>14</v>
      </c>
      <c r="U37" s="664">
        <f t="shared" si="13"/>
        <v>100</v>
      </c>
      <c r="V37" s="663" t="s">
        <v>14</v>
      </c>
      <c r="W37" s="664">
        <f t="shared" si="14"/>
        <v>100</v>
      </c>
      <c r="X37" s="665"/>
      <c r="Y37" s="3359"/>
      <c r="Z37" s="50" t="str">
        <f t="shared" si="15"/>
        <v>市政基础设施</v>
      </c>
      <c r="AA37" s="50">
        <f t="shared" si="3"/>
        <v>1</v>
      </c>
      <c r="AB37" s="50">
        <f t="shared" si="4"/>
        <v>1</v>
      </c>
      <c r="AC37" s="50">
        <f t="shared" si="5"/>
        <v>1</v>
      </c>
    </row>
    <row r="38" spans="1:29" ht="15">
      <c r="A38" s="408"/>
      <c r="B38" s="363" t="s">
        <v>1788</v>
      </c>
      <c r="C38" s="1759" t="s">
        <v>3452</v>
      </c>
      <c r="D38" s="373">
        <v>100</v>
      </c>
      <c r="E38" s="1759" t="s">
        <v>3452</v>
      </c>
      <c r="F38" s="399">
        <f>SUMIF(114:114,E38,115:115)-SUMIF(114:114,C38,115:115)+100</f>
        <v>100</v>
      </c>
      <c r="G38" s="1759" t="s">
        <v>3462</v>
      </c>
      <c r="H38" s="373">
        <f>SUMIF(114:114,G38,115:115)-SUMIF(114:114,C38,115:115)+100</f>
        <v>97</v>
      </c>
      <c r="I38" s="1759" t="s">
        <v>3462</v>
      </c>
      <c r="J38" s="373">
        <f>SUMIF(114:114,I38,115:115)-SUMIF(114:114,C38,115:115)+100</f>
        <v>97</v>
      </c>
      <c r="K38" s="3498">
        <v>3</v>
      </c>
      <c r="L38" s="2490"/>
      <c r="M38" s="2485"/>
      <c r="N38" s="2485"/>
      <c r="O38" s="2485"/>
      <c r="P38" s="3357" t="s">
        <v>1696</v>
      </c>
      <c r="Q38" s="1262" t="str">
        <f t="shared" si="11"/>
        <v>业态</v>
      </c>
      <c r="R38" s="666" t="s">
        <v>14</v>
      </c>
      <c r="S38" s="667">
        <f t="shared" si="12"/>
        <v>100</v>
      </c>
      <c r="T38" s="666" t="s">
        <v>14</v>
      </c>
      <c r="U38" s="667">
        <f t="shared" si="13"/>
        <v>97</v>
      </c>
      <c r="V38" s="666" t="s">
        <v>14</v>
      </c>
      <c r="W38" s="667">
        <f t="shared" si="14"/>
        <v>97</v>
      </c>
      <c r="X38" s="1264"/>
      <c r="Y38" s="3359" t="s">
        <v>1696</v>
      </c>
      <c r="Z38" s="1263" t="str">
        <f t="shared" si="15"/>
        <v>业态</v>
      </c>
      <c r="AA38" s="1263">
        <f t="shared" si="3"/>
        <v>1</v>
      </c>
      <c r="AB38" s="1263">
        <f t="shared" si="4"/>
        <v>1.0309278350515463</v>
      </c>
      <c r="AC38" s="1263">
        <f t="shared" si="5"/>
        <v>1.0309278350515463</v>
      </c>
    </row>
    <row r="39" spans="1:29" ht="15">
      <c r="A39" s="408"/>
      <c r="B39" s="363" t="s">
        <v>1789</v>
      </c>
      <c r="C39" s="1759" t="s">
        <v>3466</v>
      </c>
      <c r="D39" s="373">
        <v>100</v>
      </c>
      <c r="E39" s="1759" t="s">
        <v>3466</v>
      </c>
      <c r="F39" s="399">
        <f>SUMIF(116:116,E39,117:117)-SUMIF(116:116,C39,117:117)+100</f>
        <v>100</v>
      </c>
      <c r="G39" s="1759" t="s">
        <v>3466</v>
      </c>
      <c r="H39" s="373">
        <f>SUMIF(116:116,G39,117:117)-SUMIF(116:116,C39,117:117)+100</f>
        <v>100</v>
      </c>
      <c r="I39" s="1759" t="s">
        <v>3467</v>
      </c>
      <c r="J39" s="373">
        <f>SUMIF(116:116,I39,117:117)-SUMIF(116:116,C39,117:117)+100</f>
        <v>110</v>
      </c>
      <c r="K39" s="537">
        <v>10</v>
      </c>
      <c r="L39" s="2490"/>
      <c r="M39" s="2485"/>
      <c r="N39" s="2485"/>
      <c r="O39" s="2485"/>
      <c r="P39" s="3357"/>
      <c r="Q39" s="1262" t="str">
        <f t="shared" si="11"/>
        <v>层高</v>
      </c>
      <c r="R39" s="666" t="s">
        <v>14</v>
      </c>
      <c r="S39" s="667">
        <f t="shared" si="12"/>
        <v>100</v>
      </c>
      <c r="T39" s="666" t="s">
        <v>14</v>
      </c>
      <c r="U39" s="667">
        <f t="shared" si="13"/>
        <v>100</v>
      </c>
      <c r="V39" s="666" t="s">
        <v>14</v>
      </c>
      <c r="W39" s="667">
        <f t="shared" si="14"/>
        <v>110</v>
      </c>
      <c r="X39" s="1264"/>
      <c r="Y39" s="3359"/>
      <c r="Z39" s="1263" t="str">
        <f t="shared" si="15"/>
        <v>层高</v>
      </c>
      <c r="AA39" s="1263">
        <f t="shared" si="3"/>
        <v>1</v>
      </c>
      <c r="AB39" s="1263">
        <f t="shared" si="4"/>
        <v>1</v>
      </c>
      <c r="AC39" s="1263">
        <f t="shared" si="5"/>
        <v>0.90909090909090906</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0"/>
      <c r="M40" s="2485"/>
      <c r="N40" s="2485"/>
      <c r="O40" s="2485"/>
      <c r="P40" s="3357"/>
      <c r="Q40" s="1262" t="str">
        <f t="shared" si="11"/>
        <v>单套建筑面积</v>
      </c>
      <c r="R40" s="666" t="s">
        <v>14</v>
      </c>
      <c r="S40" s="667">
        <f t="shared" si="12"/>
        <v>100</v>
      </c>
      <c r="T40" s="666" t="s">
        <v>14</v>
      </c>
      <c r="U40" s="667">
        <f t="shared" si="13"/>
        <v>100</v>
      </c>
      <c r="V40" s="666" t="s">
        <v>14</v>
      </c>
      <c r="W40" s="667">
        <f t="shared" si="14"/>
        <v>100</v>
      </c>
      <c r="X40" s="1264"/>
      <c r="Y40" s="3359"/>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9"/>
      <c r="M41" s="2491"/>
      <c r="N41" s="2491"/>
      <c r="O41" s="2491"/>
      <c r="P41" s="3357"/>
      <c r="Q41" s="530" t="str">
        <f t="shared" si="11"/>
        <v>进深比</v>
      </c>
      <c r="R41" s="668" t="s">
        <v>14</v>
      </c>
      <c r="S41" s="669">
        <f t="shared" si="12"/>
        <v>100</v>
      </c>
      <c r="T41" s="668" t="s">
        <v>14</v>
      </c>
      <c r="U41" s="669">
        <f t="shared" si="13"/>
        <v>100</v>
      </c>
      <c r="V41" s="668" t="s">
        <v>14</v>
      </c>
      <c r="W41" s="669">
        <f t="shared" si="14"/>
        <v>100</v>
      </c>
      <c r="X41" s="670"/>
      <c r="Y41" s="3359"/>
      <c r="Z41" s="671" t="str">
        <f t="shared" si="15"/>
        <v>进深比</v>
      </c>
      <c r="AA41" s="1263">
        <f t="shared" si="3"/>
        <v>1</v>
      </c>
      <c r="AB41" s="1263">
        <f t="shared" si="4"/>
        <v>1</v>
      </c>
      <c r="AC41" s="1263">
        <f t="shared" si="5"/>
        <v>1</v>
      </c>
    </row>
    <row r="42" spans="1:29" ht="15">
      <c r="A42" s="408"/>
      <c r="B42" s="363" t="s">
        <v>1792</v>
      </c>
      <c r="C42" s="1759" t="s">
        <v>3443</v>
      </c>
      <c r="D42" s="373">
        <v>100</v>
      </c>
      <c r="E42" s="1759" t="s">
        <v>3445</v>
      </c>
      <c r="F42" s="399">
        <f>SUMIF(122:122,E42,123:123)-SUMIF(122:122,C42,123:123)+100</f>
        <v>98</v>
      </c>
      <c r="G42" s="1759" t="s">
        <v>3445</v>
      </c>
      <c r="H42" s="373">
        <f>SUMIF(122:122,G42,123:123)-SUMIF(122:122,C42,123:123)+100</f>
        <v>98</v>
      </c>
      <c r="I42" s="1759" t="s">
        <v>3445</v>
      </c>
      <c r="J42" s="373">
        <f>SUMIF(122:122,I42,123:123)-SUMIF(122:122,C42,123:123)+100</f>
        <v>98</v>
      </c>
      <c r="K42" s="537">
        <v>2</v>
      </c>
      <c r="L42" s="2490"/>
      <c r="M42" s="2485"/>
      <c r="N42" s="2485"/>
      <c r="O42" s="2485"/>
      <c r="P42" s="3357"/>
      <c r="Q42" s="1262" t="str">
        <f t="shared" si="11"/>
        <v>内部装修</v>
      </c>
      <c r="R42" s="666" t="s">
        <v>14</v>
      </c>
      <c r="S42" s="667">
        <f t="shared" si="12"/>
        <v>98</v>
      </c>
      <c r="T42" s="666" t="s">
        <v>14</v>
      </c>
      <c r="U42" s="667">
        <f t="shared" si="13"/>
        <v>98</v>
      </c>
      <c r="V42" s="666" t="s">
        <v>14</v>
      </c>
      <c r="W42" s="667">
        <f t="shared" si="14"/>
        <v>98</v>
      </c>
      <c r="X42" s="1264"/>
      <c r="Y42" s="3359"/>
      <c r="Z42" s="1263" t="str">
        <f t="shared" si="15"/>
        <v>内部装修</v>
      </c>
      <c r="AA42" s="1263">
        <f t="shared" si="3"/>
        <v>1.0204081632653061</v>
      </c>
      <c r="AB42" s="1263">
        <f t="shared" si="4"/>
        <v>1.0204081632653061</v>
      </c>
      <c r="AC42" s="1263">
        <f t="shared" si="5"/>
        <v>1.0204081632653061</v>
      </c>
    </row>
    <row r="43" spans="1:29" ht="15">
      <c r="A43" s="408"/>
      <c r="B43" s="363" t="s">
        <v>1707</v>
      </c>
      <c r="C43" s="1759" t="s">
        <v>3423</v>
      </c>
      <c r="D43" s="373">
        <v>100</v>
      </c>
      <c r="E43" s="1759" t="s">
        <v>3423</v>
      </c>
      <c r="F43" s="399">
        <f>SUMIF(124:124,E43,125:125)-SUMIF(124:124,C43,125:125)+100</f>
        <v>100</v>
      </c>
      <c r="G43" s="1759" t="s">
        <v>3423</v>
      </c>
      <c r="H43" s="373">
        <f>SUMIF(124:124,G43,125:125)-SUMIF(124:124,C43,125:125)+100</f>
        <v>100</v>
      </c>
      <c r="I43" s="1759" t="s">
        <v>3423</v>
      </c>
      <c r="J43" s="373">
        <f>SUMIF(124:124,I43,125:125)-SUMIF(124:124,C43,125:125)+100</f>
        <v>100</v>
      </c>
      <c r="K43" s="537">
        <v>2</v>
      </c>
      <c r="L43" s="2490"/>
      <c r="M43" s="2485"/>
      <c r="N43" s="2485"/>
      <c r="O43" s="2485"/>
      <c r="P43" s="3357"/>
      <c r="Q43" s="1262" t="str">
        <f t="shared" si="11"/>
        <v>内部装修维护情况</v>
      </c>
      <c r="R43" s="666" t="s">
        <v>14</v>
      </c>
      <c r="S43" s="667">
        <f t="shared" si="12"/>
        <v>100</v>
      </c>
      <c r="T43" s="666" t="s">
        <v>14</v>
      </c>
      <c r="U43" s="667">
        <f t="shared" si="13"/>
        <v>100</v>
      </c>
      <c r="V43" s="666" t="s">
        <v>14</v>
      </c>
      <c r="W43" s="667">
        <f t="shared" si="14"/>
        <v>100</v>
      </c>
      <c r="X43" s="1264"/>
      <c r="Y43" s="3359"/>
      <c r="Z43" s="1263" t="str">
        <f t="shared" si="15"/>
        <v>内部装修维护情况</v>
      </c>
      <c r="AA43" s="1263">
        <f t="shared" si="3"/>
        <v>1</v>
      </c>
      <c r="AB43" s="1263">
        <f t="shared" si="4"/>
        <v>1</v>
      </c>
      <c r="AC43" s="1263">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6"/>
      <c r="M44" s="2438"/>
      <c r="N44" s="2438"/>
      <c r="O44" s="2438"/>
      <c r="P44" s="3357"/>
      <c r="Q44" s="529">
        <f t="shared" si="11"/>
        <v>111</v>
      </c>
      <c r="R44" s="663" t="s">
        <v>14</v>
      </c>
      <c r="S44" s="664">
        <f t="shared" si="12"/>
        <v>100</v>
      </c>
      <c r="T44" s="663" t="s">
        <v>14</v>
      </c>
      <c r="U44" s="664">
        <f t="shared" si="13"/>
        <v>100</v>
      </c>
      <c r="V44" s="663" t="s">
        <v>14</v>
      </c>
      <c r="W44" s="664">
        <f t="shared" si="14"/>
        <v>100</v>
      </c>
      <c r="X44" s="665"/>
      <c r="Y44" s="3359"/>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0"/>
      <c r="M45" s="2485"/>
      <c r="N45" s="2485"/>
      <c r="O45" s="2485"/>
      <c r="P45" s="3357"/>
      <c r="Q45" s="1262">
        <f t="shared" si="11"/>
        <v>111</v>
      </c>
      <c r="R45" s="666" t="s">
        <v>14</v>
      </c>
      <c r="S45" s="667">
        <f t="shared" si="12"/>
        <v>100</v>
      </c>
      <c r="T45" s="666" t="s">
        <v>14</v>
      </c>
      <c r="U45" s="667">
        <f t="shared" si="13"/>
        <v>100</v>
      </c>
      <c r="V45" s="666" t="s">
        <v>14</v>
      </c>
      <c r="W45" s="667">
        <f t="shared" si="14"/>
        <v>100</v>
      </c>
      <c r="X45" s="1264"/>
      <c r="Y45" s="3359"/>
      <c r="Z45" s="1263">
        <f t="shared" si="15"/>
        <v>111</v>
      </c>
      <c r="AA45" s="1263">
        <f t="shared" si="3"/>
        <v>1</v>
      </c>
      <c r="AB45" s="1263">
        <f t="shared" si="4"/>
        <v>1</v>
      </c>
      <c r="AC45" s="1263">
        <f t="shared" si="5"/>
        <v>1</v>
      </c>
    </row>
    <row r="46" spans="1:29" ht="15.75"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0"/>
      <c r="M46" s="2485"/>
      <c r="N46" s="2485"/>
      <c r="O46" s="2485"/>
      <c r="P46" s="3358"/>
      <c r="Q46" s="1262">
        <f t="shared" si="11"/>
        <v>111</v>
      </c>
      <c r="R46" s="666" t="s">
        <v>14</v>
      </c>
      <c r="S46" s="667">
        <f t="shared" si="12"/>
        <v>100</v>
      </c>
      <c r="T46" s="666" t="s">
        <v>14</v>
      </c>
      <c r="U46" s="667">
        <f t="shared" si="13"/>
        <v>100</v>
      </c>
      <c r="V46" s="666" t="s">
        <v>14</v>
      </c>
      <c r="W46" s="667">
        <f t="shared" si="14"/>
        <v>100</v>
      </c>
      <c r="X46" s="1264"/>
      <c r="Y46" s="3360"/>
      <c r="Z46" s="1263">
        <f t="shared" si="15"/>
        <v>111</v>
      </c>
      <c r="AA46" s="1263">
        <f t="shared" si="3"/>
        <v>1</v>
      </c>
      <c r="AB46" s="1263">
        <f t="shared" si="4"/>
        <v>1</v>
      </c>
      <c r="AC46" s="1263">
        <f t="shared" si="5"/>
        <v>1</v>
      </c>
    </row>
    <row r="47" spans="1:29" ht="15">
      <c r="A47" s="415" t="s">
        <v>1708</v>
      </c>
      <c r="B47" s="416"/>
      <c r="C47" s="1080" t="s">
        <v>0</v>
      </c>
      <c r="D47" s="417"/>
      <c r="E47" s="418">
        <f>案例!Q8</f>
        <v>35715</v>
      </c>
      <c r="F47" s="419"/>
      <c r="G47" s="420">
        <f>案例!R45</f>
        <v>30605</v>
      </c>
      <c r="H47" s="421"/>
      <c r="I47" s="418">
        <f>案例!Q79</f>
        <v>35692</v>
      </c>
      <c r="J47" s="421"/>
      <c r="K47" s="673"/>
      <c r="L47" s="2492"/>
      <c r="M47" s="2485"/>
      <c r="N47" s="2485"/>
      <c r="O47" s="2485"/>
      <c r="P47" s="3347" t="str">
        <f>A47</f>
        <v>成交单价（元/平方米）</v>
      </c>
      <c r="Q47" s="3347"/>
      <c r="R47" s="3348">
        <f>E47</f>
        <v>35715</v>
      </c>
      <c r="S47" s="3348"/>
      <c r="T47" s="3348">
        <f>G47</f>
        <v>30605</v>
      </c>
      <c r="U47" s="3348"/>
      <c r="V47" s="3348">
        <f>I47</f>
        <v>35692</v>
      </c>
      <c r="W47" s="3348"/>
      <c r="X47" s="384"/>
      <c r="Y47" s="672"/>
      <c r="Z47" s="384"/>
      <c r="AA47" s="384"/>
      <c r="AB47" s="384"/>
      <c r="AC47" s="384"/>
    </row>
    <row r="48" spans="1:29" ht="15.75" thickBot="1">
      <c r="A48" s="422" t="s">
        <v>1793</v>
      </c>
      <c r="B48" s="423"/>
      <c r="C48" s="1081">
        <f>R49</f>
        <v>28606</v>
      </c>
      <c r="D48" s="2140" t="s">
        <v>2138</v>
      </c>
      <c r="E48" s="1082">
        <f>R48</f>
        <v>28837</v>
      </c>
      <c r="F48" s="2141"/>
      <c r="G48" s="1081">
        <f>T48</f>
        <v>28501</v>
      </c>
      <c r="H48" s="2141"/>
      <c r="I48" s="1082">
        <f>V48</f>
        <v>28481</v>
      </c>
      <c r="J48" s="2141"/>
      <c r="K48" s="2143">
        <f>F48+H48+J48</f>
        <v>0</v>
      </c>
      <c r="L48" s="2492"/>
      <c r="M48" s="2485"/>
      <c r="N48" s="2485"/>
      <c r="O48" s="2485"/>
      <c r="P48" s="3347" t="str">
        <f>A48</f>
        <v>比较价值（元/平方米）</v>
      </c>
      <c r="Q48" s="3347"/>
      <c r="R48" s="3348">
        <f>IF(F1="售价",ROUND(PRODUCT(R47,AA7:AA46),0),ROUND(PRODUCT(R47,AA7:AA46),1))</f>
        <v>28837</v>
      </c>
      <c r="S48" s="3348"/>
      <c r="T48" s="3348">
        <f>IF(F1="售价",ROUND(PRODUCT(T47,AB7:AB46),0),ROUND(PRODUCT(T47,AB7:AB46),1))</f>
        <v>28501</v>
      </c>
      <c r="U48" s="3348"/>
      <c r="V48" s="3348">
        <f>IF(F1="售价",ROUND(PRODUCT(V47,AC7:AC46),0),ROUND(PRODUCT(V47,AC7:AC46),1))</f>
        <v>28481</v>
      </c>
      <c r="W48" s="3348"/>
      <c r="X48" s="384"/>
      <c r="Y48" s="384"/>
      <c r="Z48" s="384"/>
      <c r="AA48" s="384"/>
      <c r="AB48" s="384"/>
      <c r="AC48" s="384"/>
    </row>
    <row r="49" spans="1:29" ht="15.75" thickBot="1">
      <c r="A49" s="426" t="s">
        <v>1794</v>
      </c>
      <c r="B49" s="427"/>
      <c r="C49" s="350">
        <f>R49</f>
        <v>28606</v>
      </c>
      <c r="D49" s="350"/>
      <c r="E49" s="350"/>
      <c r="F49" s="350"/>
      <c r="G49" s="350"/>
      <c r="H49" s="350"/>
      <c r="I49" s="350"/>
      <c r="J49" s="350"/>
      <c r="K49" s="674"/>
      <c r="L49" s="2492"/>
      <c r="M49" s="2485"/>
      <c r="N49" s="2485"/>
      <c r="O49" s="2485"/>
      <c r="P49" s="3349" t="str">
        <f>A49</f>
        <v>估价对象XX用房的比较价值（楼面单价，元/平方米）</v>
      </c>
      <c r="Q49" s="3350"/>
      <c r="R49" s="3351">
        <f>IF(F1="售价",ROUND(IF(D48="简单平均",AVERAGE(R48:V48),R48*F48+T48*H48+V48*J48),0),ROUND(IF(D48="简单平均",AVERAGE(R48:V48),R48*F48+T48*H48+V48*J48),1))</f>
        <v>28606</v>
      </c>
      <c r="S49" s="3351"/>
      <c r="T49" s="3351"/>
      <c r="U49" s="3351"/>
      <c r="V49" s="3351"/>
      <c r="W49" s="3351"/>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1" t="s">
        <v>1795</v>
      </c>
      <c r="D52" s="432"/>
      <c r="E52" s="433">
        <f>IF(E47&lt;E48,E48/E47-1,E47/E48-1)</f>
        <v>0.23851302146547848</v>
      </c>
      <c r="F52" s="434" t="str">
        <f>IF(OR(E52&gt;=0.3,E52&lt;=-0.3),"超过30%","")</f>
        <v/>
      </c>
      <c r="G52" s="433">
        <f>IF(G47&lt;G48,G48/G47-1,G47/G48-1)</f>
        <v>7.3821971158906763E-2</v>
      </c>
      <c r="H52" s="434" t="str">
        <f>IF(OR(G52&gt;=0.3,G52&lt;=-0.3),"超过30%","")</f>
        <v/>
      </c>
      <c r="I52" s="433">
        <f>IF(I47&lt;I48,I48/I47-1,I47/I48-1)</f>
        <v>0.25318633474948204</v>
      </c>
      <c r="J52" s="434" t="str">
        <f>IF(OR(I52&gt;=0.3,I52&lt;=-0.3),"超过30%","")</f>
        <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1" t="s">
        <v>1796</v>
      </c>
      <c r="D53" s="435"/>
      <c r="E53" s="433">
        <f>IF(E48&lt;G48,G48/E48-1,E48/G48-1)</f>
        <v>1.1789060032981302E-2</v>
      </c>
      <c r="F53" s="434" t="str">
        <f>IF(OR(E53&gt;=0.2,E53&lt;=-0.2),"超过20%","")</f>
        <v/>
      </c>
      <c r="G53" s="433">
        <f>IF(G48&lt;I48,I48/G48-1,G48/I48-1)</f>
        <v>7.0222253432117299E-4</v>
      </c>
      <c r="H53" s="434" t="str">
        <f>IF(OR(G53&gt;=0.2,G53&lt;=-0.2),"超过20%","")</f>
        <v/>
      </c>
      <c r="I53" s="433">
        <f>IF(I48&lt;E48,E48/I48-1,I48/E48-1)</f>
        <v>1.2499561110915991E-2</v>
      </c>
      <c r="J53" s="434" t="str">
        <f>IF(OR(I53&gt;=0.2,I53&lt;=-0.2),"超过20%","")</f>
        <v/>
      </c>
      <c r="K53" s="2497"/>
      <c r="L53" s="2493"/>
      <c r="M53" s="2485"/>
      <c r="N53" s="2485"/>
      <c r="O53" s="2485"/>
      <c r="P53" s="2503"/>
      <c r="Q53" s="2485"/>
      <c r="R53" s="2485"/>
      <c r="S53" s="2485"/>
      <c r="T53" s="2485"/>
      <c r="U53" s="2485"/>
      <c r="V53" s="2485"/>
      <c r="W53" s="2485"/>
      <c r="X53" s="2485"/>
      <c r="Y53" s="2485"/>
      <c r="Z53" s="2485"/>
      <c r="AA53" s="2485"/>
      <c r="AB53" s="2485"/>
      <c r="AC53" s="2485"/>
    </row>
    <row r="54" spans="1:29" s="436" customFormat="1" ht="13.5" customHeight="1">
      <c r="A54" s="2495"/>
      <c r="B54" s="2495"/>
      <c r="C54" s="431" t="s">
        <v>1797</v>
      </c>
      <c r="D54" s="435"/>
      <c r="E54" s="433">
        <f>IF(E47&lt;G47,G47/E47-1,E47/G47-1)</f>
        <v>0.16696618199640589</v>
      </c>
      <c r="F54" s="434" t="str">
        <f>IF(OR(E54&gt;=0.3,E54&lt;=-0.3),"超过30%","")</f>
        <v/>
      </c>
      <c r="G54" s="433">
        <f>IF(G47&lt;I47,I47/G47-1,G47/I47-1)</f>
        <v>0.16621467080542396</v>
      </c>
      <c r="H54" s="434" t="str">
        <f>IF(OR(G54&gt;=0.3,G54&lt;=-0.3),"超过30%","")</f>
        <v/>
      </c>
      <c r="I54" s="433">
        <f>IF(I47&lt;E47,E47/I47-1,I47/E47-1)</f>
        <v>6.444021069147432E-4</v>
      </c>
      <c r="J54" s="434" t="str">
        <f>IF(OR(I54&gt;=0.3,I54&lt;=-0.3),"超过30%","")</f>
        <v/>
      </c>
      <c r="K54" s="2500"/>
      <c r="L54" s="2494"/>
      <c r="M54" s="2495"/>
      <c r="N54" s="2495"/>
      <c r="O54" s="2495"/>
      <c r="P54" s="2504"/>
      <c r="Q54" s="2495"/>
      <c r="R54" s="2495"/>
      <c r="S54" s="2495"/>
      <c r="T54" s="2495"/>
      <c r="U54" s="2495"/>
      <c r="V54" s="2495"/>
      <c r="W54" s="2495"/>
      <c r="X54" s="2495"/>
      <c r="Y54" s="2495"/>
      <c r="Z54" s="2495"/>
      <c r="AA54" s="2495"/>
      <c r="AB54" s="2495"/>
      <c r="AC54" s="2495"/>
    </row>
    <row r="55" spans="1:29" s="436"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7" t="s">
        <v>1798</v>
      </c>
      <c r="B57" s="384"/>
      <c r="C57" s="658"/>
      <c r="D57" s="658"/>
      <c r="E57" s="658"/>
      <c r="F57" s="659"/>
      <c r="G57" s="659"/>
      <c r="H57" s="658"/>
      <c r="I57" s="658"/>
      <c r="J57" s="658"/>
      <c r="K57" s="660"/>
      <c r="L57" s="887"/>
      <c r="M57" s="885"/>
      <c r="N57" s="885"/>
      <c r="O57" s="885"/>
      <c r="P57" s="2505"/>
      <c r="Q57" s="2506"/>
      <c r="R57" s="2485"/>
      <c r="S57" s="2485"/>
      <c r="T57" s="2485"/>
      <c r="U57" s="2485"/>
      <c r="V57" s="2485"/>
      <c r="W57" s="2485"/>
      <c r="X57" s="2485"/>
      <c r="Y57" s="2485"/>
      <c r="Z57" s="2485"/>
      <c r="AA57" s="2485"/>
      <c r="AB57" s="2485"/>
      <c r="AC57" s="2485"/>
    </row>
    <row r="58" spans="1:29" s="441" customFormat="1" ht="15">
      <c r="A58" s="439" t="s">
        <v>1679</v>
      </c>
      <c r="B58" s="440"/>
      <c r="C58" s="1102" t="str">
        <f>YEAR(C7)&amp;"-"&amp;MONTH(C7)</f>
        <v>2024-10</v>
      </c>
      <c r="D58" s="1103">
        <f>EDATE(C58,-1)</f>
        <v>45536</v>
      </c>
      <c r="E58" s="1103">
        <f t="shared" ref="E58:N58" si="16">EDATE(D58,-1)</f>
        <v>45505</v>
      </c>
      <c r="F58" s="1103">
        <f t="shared" si="16"/>
        <v>45474</v>
      </c>
      <c r="G58" s="1103">
        <f t="shared" si="16"/>
        <v>45444</v>
      </c>
      <c r="H58" s="1103">
        <f t="shared" si="16"/>
        <v>45413</v>
      </c>
      <c r="I58" s="1103">
        <f t="shared" si="16"/>
        <v>45383</v>
      </c>
      <c r="J58" s="1103">
        <f t="shared" si="16"/>
        <v>45352</v>
      </c>
      <c r="K58" s="1103">
        <f t="shared" si="16"/>
        <v>45323</v>
      </c>
      <c r="L58" s="1103">
        <f t="shared" si="16"/>
        <v>45292</v>
      </c>
      <c r="M58" s="1103">
        <f t="shared" si="16"/>
        <v>45261</v>
      </c>
      <c r="N58" s="1103">
        <f t="shared" si="16"/>
        <v>45231</v>
      </c>
      <c r="O58" s="1103">
        <f>EDATE(N58,-1)</f>
        <v>45200</v>
      </c>
      <c r="P58" s="2507"/>
      <c r="Q58" s="2508"/>
      <c r="R58" s="2508"/>
      <c r="S58" s="2508"/>
      <c r="T58" s="2508"/>
      <c r="U58" s="2508"/>
      <c r="V58" s="2508"/>
      <c r="W58" s="2508"/>
      <c r="X58" s="2508"/>
      <c r="Y58" s="2508"/>
      <c r="Z58" s="2508"/>
      <c r="AA58" s="2508"/>
      <c r="AB58" s="2508"/>
      <c r="AC58" s="2508"/>
    </row>
    <row r="59" spans="1:29" s="101" customFormat="1" ht="15">
      <c r="A59" s="442"/>
      <c r="B59" s="443"/>
      <c r="C59" s="1101">
        <v>100</v>
      </c>
      <c r="D59" s="445"/>
      <c r="E59" s="445"/>
      <c r="F59" s="445"/>
      <c r="G59" s="445"/>
      <c r="H59" s="445"/>
      <c r="I59" s="445"/>
      <c r="J59" s="445"/>
      <c r="K59" s="445"/>
      <c r="L59" s="445"/>
      <c r="M59" s="446"/>
      <c r="N59" s="445"/>
      <c r="O59" s="446"/>
      <c r="P59" s="2509"/>
      <c r="Q59" s="2438"/>
      <c r="R59" s="2438"/>
      <c r="S59" s="2438"/>
      <c r="T59" s="2438"/>
      <c r="U59" s="2438"/>
      <c r="V59" s="2438"/>
      <c r="W59" s="2438"/>
      <c r="X59" s="2438"/>
      <c r="Y59" s="2438"/>
      <c r="Z59" s="2438"/>
      <c r="AA59" s="2438"/>
      <c r="AB59" s="2438"/>
      <c r="AC59" s="2438"/>
    </row>
    <row r="60" spans="1:29" s="101" customFormat="1" ht="15.75" thickBot="1">
      <c r="A60" s="448" t="s">
        <v>1716</v>
      </c>
      <c r="B60" s="449"/>
      <c r="C60" s="450"/>
      <c r="D60" s="451"/>
      <c r="E60" s="451"/>
      <c r="F60" s="451"/>
      <c r="G60" s="451"/>
      <c r="H60" s="451"/>
      <c r="I60" s="451"/>
      <c r="J60" s="451"/>
      <c r="K60" s="451"/>
      <c r="L60" s="451"/>
      <c r="M60" s="452"/>
      <c r="N60" s="451"/>
      <c r="O60" s="452"/>
      <c r="P60" s="2509"/>
      <c r="Q60" s="2506"/>
      <c r="R60" s="2438"/>
      <c r="S60" s="2438"/>
      <c r="T60" s="2438"/>
      <c r="U60" s="2438"/>
      <c r="V60" s="2438"/>
      <c r="W60" s="2438"/>
      <c r="X60" s="2438"/>
      <c r="Y60" s="2438"/>
      <c r="Z60" s="2438"/>
      <c r="AA60" s="2438"/>
      <c r="AB60" s="2438"/>
      <c r="AC60" s="2438"/>
    </row>
    <row r="61" spans="1:29" s="101" customFormat="1" ht="15">
      <c r="A61" s="454" t="s">
        <v>1681</v>
      </c>
      <c r="B61" s="443"/>
      <c r="C61" s="455" t="s">
        <v>1776</v>
      </c>
      <c r="D61" s="3146" t="s">
        <v>3421</v>
      </c>
      <c r="E61" s="31"/>
      <c r="F61" s="31"/>
      <c r="G61" s="31"/>
      <c r="H61" s="31"/>
      <c r="I61" s="31"/>
      <c r="J61" s="31"/>
      <c r="K61" s="31"/>
      <c r="L61" s="456"/>
      <c r="M61" s="457"/>
      <c r="N61" s="2518"/>
      <c r="O61" s="2518"/>
      <c r="P61" s="2510"/>
      <c r="Q61" s="2506"/>
      <c r="R61" s="2438"/>
      <c r="S61" s="2438"/>
      <c r="T61" s="2438"/>
      <c r="U61" s="2438"/>
      <c r="V61" s="2438"/>
      <c r="W61" s="2438"/>
      <c r="X61" s="2438"/>
      <c r="Y61" s="2438"/>
      <c r="Z61" s="2438"/>
      <c r="AA61" s="2438"/>
      <c r="AB61" s="2438"/>
      <c r="AC61" s="2438"/>
    </row>
    <row r="62" spans="1:29" s="101" customFormat="1" ht="15.75" thickBot="1">
      <c r="A62" s="454"/>
      <c r="B62" s="443"/>
      <c r="C62" s="444">
        <v>100</v>
      </c>
      <c r="D62" s="445">
        <v>105</v>
      </c>
      <c r="E62" s="445"/>
      <c r="F62" s="445"/>
      <c r="G62" s="445"/>
      <c r="H62" s="445"/>
      <c r="I62" s="445"/>
      <c r="J62" s="445"/>
      <c r="K62" s="445"/>
      <c r="L62" s="445"/>
      <c r="M62" s="447"/>
      <c r="N62" s="2518"/>
      <c r="O62" s="2518"/>
      <c r="P62" s="2509"/>
      <c r="Q62" s="2506"/>
      <c r="R62" s="2438"/>
      <c r="S62" s="2438"/>
      <c r="T62" s="2438"/>
      <c r="U62" s="2438"/>
      <c r="V62" s="2438"/>
      <c r="W62" s="2438"/>
      <c r="X62" s="2438"/>
      <c r="Y62" s="2438"/>
      <c r="Z62" s="2438"/>
      <c r="AA62" s="2438"/>
      <c r="AB62" s="2438"/>
      <c r="AC62" s="2438"/>
    </row>
    <row r="63" spans="1:29">
      <c r="A63" s="378" t="s">
        <v>1719</v>
      </c>
      <c r="B63" s="459" t="s">
        <v>1685</v>
      </c>
      <c r="C63" s="460" t="str">
        <f>C9</f>
        <v>商业</v>
      </c>
      <c r="D63" s="461"/>
      <c r="E63" s="461"/>
      <c r="F63" s="461"/>
      <c r="G63" s="461"/>
      <c r="H63" s="461"/>
      <c r="I63" s="461"/>
      <c r="J63" s="461"/>
      <c r="K63" s="462"/>
      <c r="L63" s="463"/>
      <c r="M63" s="464"/>
      <c r="N63" s="2519"/>
      <c r="O63" s="2519"/>
      <c r="P63" s="2511"/>
      <c r="Q63" s="2506"/>
      <c r="R63" s="2485"/>
      <c r="S63" s="2485"/>
      <c r="T63" s="2485"/>
      <c r="U63" s="2485"/>
      <c r="V63" s="2485"/>
      <c r="W63" s="2485"/>
      <c r="X63" s="2485"/>
      <c r="Y63" s="2485"/>
      <c r="Z63" s="2485"/>
      <c r="AA63" s="2485"/>
      <c r="AB63" s="2485"/>
      <c r="AC63" s="2485"/>
    </row>
    <row r="64" spans="1:29" ht="15.75" thickBot="1">
      <c r="A64" s="366"/>
      <c r="B64" s="465"/>
      <c r="C64" s="466">
        <v>100</v>
      </c>
      <c r="D64" s="466"/>
      <c r="E64" s="466"/>
      <c r="F64" s="466"/>
      <c r="G64" s="466"/>
      <c r="H64" s="466"/>
      <c r="I64" s="466"/>
      <c r="J64" s="466"/>
      <c r="K64" s="466"/>
      <c r="L64" s="466"/>
      <c r="M64" s="467"/>
      <c r="N64" s="2520"/>
      <c r="O64" s="2520"/>
      <c r="P64" s="2511"/>
      <c r="Q64" s="2506"/>
      <c r="R64" s="2485"/>
      <c r="S64" s="2485"/>
      <c r="T64" s="2485"/>
      <c r="U64" s="2485"/>
      <c r="V64" s="2485"/>
      <c r="W64" s="2485"/>
      <c r="X64" s="2485"/>
      <c r="Y64" s="2485"/>
      <c r="Z64" s="2485"/>
      <c r="AA64" s="2485"/>
      <c r="AB64" s="2485"/>
      <c r="AC64" s="2485"/>
    </row>
    <row r="65" spans="1:29" ht="27.75" thickTop="1">
      <c r="A65" s="366"/>
      <c r="B65" s="468" t="s">
        <v>1688</v>
      </c>
      <c r="C65" s="512"/>
      <c r="D65" s="512"/>
      <c r="E65" s="512"/>
      <c r="F65" s="512"/>
      <c r="G65" s="512"/>
      <c r="H65" s="512"/>
      <c r="I65" s="512"/>
      <c r="J65" s="512"/>
      <c r="K65" s="513"/>
      <c r="L65" s="514"/>
      <c r="M65" s="515"/>
      <c r="N65" s="2519"/>
      <c r="O65" s="2519"/>
      <c r="P65" s="2511"/>
      <c r="Q65" s="2506"/>
      <c r="R65" s="2485"/>
      <c r="S65" s="2485"/>
      <c r="T65" s="2485"/>
      <c r="U65" s="2485"/>
      <c r="V65" s="2485"/>
      <c r="W65" s="2485"/>
      <c r="X65" s="2485"/>
      <c r="Y65" s="2485"/>
      <c r="Z65" s="2485"/>
      <c r="AA65" s="2485"/>
      <c r="AB65" s="2485"/>
      <c r="AC65" s="2485"/>
    </row>
    <row r="66" spans="1:29" ht="15.75" thickBot="1">
      <c r="A66" s="366"/>
      <c r="B66" s="473"/>
      <c r="C66" s="466"/>
      <c r="D66" s="466"/>
      <c r="E66" s="466"/>
      <c r="F66" s="466"/>
      <c r="G66" s="466"/>
      <c r="H66" s="466"/>
      <c r="I66" s="466"/>
      <c r="J66" s="466"/>
      <c r="K66" s="466"/>
      <c r="L66" s="466"/>
      <c r="M66" s="467"/>
      <c r="N66" s="2520"/>
      <c r="O66" s="2520"/>
      <c r="P66" s="2511"/>
      <c r="Q66" s="2506"/>
      <c r="R66" s="2485"/>
      <c r="S66" s="2485"/>
      <c r="T66" s="2485"/>
      <c r="U66" s="2485"/>
      <c r="V66" s="2485"/>
      <c r="W66" s="2485"/>
      <c r="X66" s="2485"/>
      <c r="Y66" s="2485"/>
      <c r="Z66" s="2485"/>
      <c r="AA66" s="2485"/>
      <c r="AB66" s="2485"/>
      <c r="AC66" s="2485"/>
    </row>
    <row r="67" spans="1:29" ht="15.75" thickTop="1">
      <c r="A67" s="366"/>
      <c r="B67" s="476" t="s">
        <v>1689</v>
      </c>
      <c r="C67" s="477" t="str">
        <f>C68&amp;"（含）"&amp;"-"&amp;D68</f>
        <v>0（含）-2</v>
      </c>
      <c r="D67" s="477" t="str">
        <f t="shared" ref="D67:L67" si="17">D68&amp;"（含）"&amp;"-"&amp;E68</f>
        <v>2（含）-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6"/>
      <c r="B68" s="478"/>
      <c r="C68" s="479">
        <v>0</v>
      </c>
      <c r="D68" s="479">
        <v>2</v>
      </c>
      <c r="E68" s="479"/>
      <c r="F68" s="479"/>
      <c r="G68" s="479"/>
      <c r="H68" s="479"/>
      <c r="I68" s="479"/>
      <c r="J68" s="479"/>
      <c r="K68" s="480"/>
      <c r="L68" s="481"/>
      <c r="M68" s="482"/>
      <c r="N68" s="2519"/>
      <c r="O68" s="2519"/>
      <c r="P68" s="2511"/>
      <c r="Q68" s="2506"/>
      <c r="R68" s="2485"/>
      <c r="S68" s="2485"/>
      <c r="T68" s="2485"/>
      <c r="U68" s="2485"/>
      <c r="V68" s="2485"/>
      <c r="W68" s="2485"/>
      <c r="X68" s="2485"/>
      <c r="Y68" s="2485"/>
      <c r="Z68" s="2485"/>
      <c r="AA68" s="2485"/>
      <c r="AB68" s="2485"/>
      <c r="AC68" s="2485"/>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0"/>
      <c r="O69" s="2520"/>
      <c r="P69" s="2511"/>
      <c r="Q69" s="2506"/>
      <c r="R69" s="2485"/>
      <c r="S69" s="2485"/>
      <c r="T69" s="2485"/>
      <c r="U69" s="2485"/>
      <c r="V69" s="2485"/>
      <c r="W69" s="2485"/>
      <c r="X69" s="2485"/>
      <c r="Y69" s="2485"/>
      <c r="Z69" s="2485"/>
      <c r="AA69" s="2485"/>
      <c r="AB69" s="2485"/>
      <c r="AC69" s="2485"/>
    </row>
    <row r="70" spans="1:29" s="407" customFormat="1" ht="15.75" thickTop="1">
      <c r="A70" s="483"/>
      <c r="B70" s="468">
        <f>B12</f>
        <v>111</v>
      </c>
      <c r="C70" s="484"/>
      <c r="D70" s="484"/>
      <c r="E70" s="484"/>
      <c r="F70" s="484"/>
      <c r="G70" s="484"/>
      <c r="H70" s="485"/>
      <c r="I70" s="485"/>
      <c r="J70" s="485"/>
      <c r="K70" s="485"/>
      <c r="L70" s="486"/>
      <c r="M70" s="487"/>
      <c r="N70" s="2521"/>
      <c r="O70" s="2521"/>
      <c r="P70" s="2512"/>
      <c r="Q70" s="2513"/>
      <c r="R70" s="2491"/>
      <c r="S70" s="2491"/>
      <c r="T70" s="2491"/>
      <c r="U70" s="2491"/>
      <c r="V70" s="2491"/>
      <c r="W70" s="2491"/>
      <c r="X70" s="2491"/>
      <c r="Y70" s="2491"/>
      <c r="Z70" s="2491"/>
      <c r="AA70" s="2491"/>
      <c r="AB70" s="2491"/>
      <c r="AC70" s="2491"/>
    </row>
    <row r="71" spans="1:29" s="407" customFormat="1" ht="15.75" thickBot="1">
      <c r="A71" s="483"/>
      <c r="B71" s="473"/>
      <c r="C71" s="490"/>
      <c r="D71" s="466"/>
      <c r="E71" s="466"/>
      <c r="F71" s="466"/>
      <c r="G71" s="466"/>
      <c r="H71" s="466"/>
      <c r="I71" s="466"/>
      <c r="J71" s="466"/>
      <c r="K71" s="466"/>
      <c r="L71" s="466"/>
      <c r="M71" s="467"/>
      <c r="N71" s="2520"/>
      <c r="O71" s="2520"/>
      <c r="P71" s="2512"/>
      <c r="Q71" s="2513"/>
      <c r="R71" s="2491"/>
      <c r="S71" s="2491"/>
      <c r="T71" s="2491"/>
      <c r="U71" s="2491"/>
      <c r="V71" s="2491"/>
      <c r="W71" s="2491"/>
      <c r="X71" s="2491"/>
      <c r="Y71" s="2491"/>
      <c r="Z71" s="2491"/>
      <c r="AA71" s="2491"/>
      <c r="AB71" s="2491"/>
      <c r="AC71" s="2491"/>
    </row>
    <row r="72" spans="1:29" s="407" customFormat="1" ht="15.75" thickTop="1">
      <c r="A72" s="483"/>
      <c r="B72" s="468">
        <f>B13</f>
        <v>111</v>
      </c>
      <c r="C72" s="484"/>
      <c r="D72" s="484"/>
      <c r="E72" s="484"/>
      <c r="F72" s="484"/>
      <c r="G72" s="484"/>
      <c r="H72" s="485"/>
      <c r="I72" s="485"/>
      <c r="J72" s="485"/>
      <c r="K72" s="485"/>
      <c r="L72" s="486"/>
      <c r="M72" s="487"/>
      <c r="N72" s="2521"/>
      <c r="O72" s="2521"/>
      <c r="P72" s="2514"/>
      <c r="Q72" s="2515"/>
      <c r="R72" s="2491"/>
      <c r="S72" s="2491"/>
      <c r="T72" s="2491"/>
      <c r="U72" s="2491"/>
      <c r="V72" s="2491"/>
      <c r="W72" s="2491"/>
      <c r="X72" s="2491"/>
      <c r="Y72" s="2491"/>
      <c r="Z72" s="2491"/>
      <c r="AA72" s="2491"/>
      <c r="AB72" s="2491"/>
      <c r="AC72" s="2491"/>
    </row>
    <row r="73" spans="1:29" s="407" customFormat="1" ht="15.75" thickBot="1">
      <c r="A73" s="483"/>
      <c r="B73" s="473"/>
      <c r="C73" s="490"/>
      <c r="D73" s="466"/>
      <c r="E73" s="466"/>
      <c r="F73" s="466"/>
      <c r="G73" s="490"/>
      <c r="H73" s="492"/>
      <c r="I73" s="492"/>
      <c r="J73" s="492"/>
      <c r="K73" s="492"/>
      <c r="L73" s="492"/>
      <c r="M73" s="493"/>
      <c r="N73" s="2521"/>
      <c r="O73" s="2521"/>
      <c r="P73" s="2512"/>
      <c r="Q73" s="2513"/>
      <c r="R73" s="2491"/>
      <c r="S73" s="2491"/>
      <c r="T73" s="2491"/>
      <c r="U73" s="2491"/>
      <c r="V73" s="2491"/>
      <c r="W73" s="2491"/>
      <c r="X73" s="2491"/>
      <c r="Y73" s="2491"/>
      <c r="Z73" s="2491"/>
      <c r="AA73" s="2491"/>
      <c r="AB73" s="2491"/>
      <c r="AC73" s="2491"/>
    </row>
    <row r="74" spans="1:29" s="407" customFormat="1" ht="15.75" thickTop="1">
      <c r="A74" s="483"/>
      <c r="B74" s="476">
        <f>B14</f>
        <v>111</v>
      </c>
      <c r="C74" s="484"/>
      <c r="D74" s="484"/>
      <c r="E74" s="484"/>
      <c r="F74" s="484"/>
      <c r="G74" s="31"/>
      <c r="H74" s="494"/>
      <c r="I74" s="494"/>
      <c r="J74" s="494"/>
      <c r="K74" s="494"/>
      <c r="L74" s="495"/>
      <c r="M74" s="496"/>
      <c r="N74" s="2521"/>
      <c r="O74" s="2521"/>
      <c r="P74" s="2516"/>
      <c r="Q74" s="2513"/>
      <c r="R74" s="2491"/>
      <c r="S74" s="2491"/>
      <c r="T74" s="2491"/>
      <c r="U74" s="2491"/>
      <c r="V74" s="2491"/>
      <c r="W74" s="2491"/>
      <c r="X74" s="2491"/>
      <c r="Y74" s="2491"/>
      <c r="Z74" s="2491"/>
      <c r="AA74" s="2491"/>
      <c r="AB74" s="2491"/>
      <c r="AC74" s="2491"/>
    </row>
    <row r="75" spans="1:29" s="407" customFormat="1" ht="15.75" thickBot="1">
      <c r="A75" s="498"/>
      <c r="B75" s="499"/>
      <c r="C75" s="500"/>
      <c r="D75" s="500"/>
      <c r="E75" s="500"/>
      <c r="F75" s="500"/>
      <c r="G75" s="500"/>
      <c r="H75" s="501"/>
      <c r="I75" s="501"/>
      <c r="J75" s="501"/>
      <c r="K75" s="501"/>
      <c r="L75" s="501"/>
      <c r="M75" s="502"/>
      <c r="N75" s="2521"/>
      <c r="O75" s="2521"/>
      <c r="P75" s="2512"/>
      <c r="Q75" s="2513"/>
      <c r="R75" s="2491"/>
      <c r="S75" s="2491"/>
      <c r="T75" s="2491"/>
      <c r="U75" s="2491"/>
      <c r="V75" s="2491"/>
      <c r="W75" s="2491"/>
      <c r="X75" s="2491"/>
      <c r="Y75" s="2491"/>
      <c r="Z75" s="2491"/>
      <c r="AA75" s="2491"/>
      <c r="AB75" s="2491"/>
      <c r="AC75" s="2491"/>
    </row>
    <row r="76" spans="1:29">
      <c r="A76" s="378" t="s">
        <v>1690</v>
      </c>
      <c r="B76" s="459" t="s">
        <v>1720</v>
      </c>
      <c r="C76" s="503" t="s">
        <v>1721</v>
      </c>
      <c r="D76" s="503" t="s">
        <v>1722</v>
      </c>
      <c r="E76" s="503" t="s">
        <v>1723</v>
      </c>
      <c r="F76" s="503" t="s">
        <v>1724</v>
      </c>
      <c r="G76" s="503" t="s">
        <v>1725</v>
      </c>
      <c r="H76" s="460"/>
      <c r="I76" s="460"/>
      <c r="J76" s="460"/>
      <c r="K76" s="504"/>
      <c r="L76" s="505"/>
      <c r="M76" s="506"/>
      <c r="N76" s="2519"/>
      <c r="O76" s="2519"/>
      <c r="P76" s="2517"/>
      <c r="Q76" s="2506"/>
      <c r="R76" s="2485"/>
      <c r="S76" s="2485"/>
      <c r="T76" s="2485"/>
      <c r="U76" s="2485"/>
      <c r="V76" s="2485"/>
      <c r="W76" s="2485"/>
      <c r="X76" s="2485"/>
      <c r="Y76" s="2485"/>
      <c r="Z76" s="2485"/>
      <c r="AA76" s="2485"/>
      <c r="AB76" s="2485"/>
      <c r="AC76" s="2485"/>
    </row>
    <row r="77" spans="1:29" ht="15.75" thickBot="1">
      <c r="A77" s="366"/>
      <c r="B77" s="473"/>
      <c r="C77" s="474">
        <v>100</v>
      </c>
      <c r="D77" s="474">
        <f>C77-$K15</f>
        <v>98</v>
      </c>
      <c r="E77" s="474">
        <f>D77-$K15</f>
        <v>96</v>
      </c>
      <c r="F77" s="474">
        <f>E77-$K15</f>
        <v>94</v>
      </c>
      <c r="G77" s="474">
        <f>F77-$K15</f>
        <v>92</v>
      </c>
      <c r="H77" s="474"/>
      <c r="I77" s="474"/>
      <c r="J77" s="474"/>
      <c r="K77" s="474"/>
      <c r="L77" s="474"/>
      <c r="M77" s="475"/>
      <c r="N77" s="2520"/>
      <c r="O77" s="2520"/>
      <c r="P77" s="2511"/>
      <c r="Q77" s="2506"/>
      <c r="R77" s="2485"/>
      <c r="S77" s="2485"/>
      <c r="T77" s="2485"/>
      <c r="U77" s="2485"/>
      <c r="V77" s="2485"/>
      <c r="W77" s="2485"/>
      <c r="X77" s="2485"/>
      <c r="Y77" s="2485"/>
      <c r="Z77" s="2485"/>
      <c r="AA77" s="2485"/>
      <c r="AB77" s="2485"/>
      <c r="AC77" s="2485"/>
    </row>
    <row r="78" spans="1:29" ht="15.75" thickTop="1">
      <c r="A78" s="366"/>
      <c r="B78" s="468" t="s">
        <v>1726</v>
      </c>
      <c r="C78" s="508" t="s">
        <v>1721</v>
      </c>
      <c r="D78" s="508" t="s">
        <v>1722</v>
      </c>
      <c r="E78" s="508" t="s">
        <v>1723</v>
      </c>
      <c r="F78" s="508" t="s">
        <v>1724</v>
      </c>
      <c r="G78" s="508" t="s">
        <v>1725</v>
      </c>
      <c r="H78" s="469"/>
      <c r="I78" s="469"/>
      <c r="J78" s="469"/>
      <c r="K78" s="470"/>
      <c r="L78" s="471"/>
      <c r="M78" s="472"/>
      <c r="N78" s="2519"/>
      <c r="O78" s="2519"/>
      <c r="P78" s="2511"/>
      <c r="Q78" s="2506"/>
      <c r="R78" s="2485"/>
      <c r="S78" s="2485"/>
      <c r="T78" s="2485"/>
      <c r="U78" s="2485"/>
      <c r="V78" s="2485"/>
      <c r="W78" s="2485"/>
      <c r="X78" s="2485"/>
      <c r="Y78" s="2485"/>
      <c r="Z78" s="2485"/>
      <c r="AA78" s="2485"/>
      <c r="AB78" s="2485"/>
      <c r="AC78" s="2485"/>
    </row>
    <row r="79" spans="1:29" ht="15.75" thickBot="1">
      <c r="A79" s="366"/>
      <c r="B79" s="473"/>
      <c r="C79" s="474">
        <v>100</v>
      </c>
      <c r="D79" s="474">
        <f>C79-$K17</f>
        <v>98</v>
      </c>
      <c r="E79" s="474">
        <f>D79-$K17</f>
        <v>96</v>
      </c>
      <c r="F79" s="474">
        <f>E79-$K17</f>
        <v>94</v>
      </c>
      <c r="G79" s="474">
        <f>F79-$K17</f>
        <v>92</v>
      </c>
      <c r="H79" s="474"/>
      <c r="I79" s="474"/>
      <c r="J79" s="474"/>
      <c r="K79" s="474"/>
      <c r="L79" s="474"/>
      <c r="M79" s="475"/>
      <c r="N79" s="2520"/>
      <c r="O79" s="2520"/>
      <c r="P79" s="2511"/>
      <c r="Q79" s="2506"/>
      <c r="R79" s="2485"/>
      <c r="S79" s="2485"/>
      <c r="T79" s="2485"/>
      <c r="U79" s="2485"/>
      <c r="V79" s="2485"/>
      <c r="W79" s="2485"/>
      <c r="X79" s="2485"/>
      <c r="Y79" s="2485"/>
      <c r="Z79" s="2485"/>
      <c r="AA79" s="2485"/>
      <c r="AB79" s="2485"/>
      <c r="AC79" s="2485"/>
    </row>
    <row r="80" spans="1:29" ht="15.75" thickTop="1">
      <c r="A80" s="366"/>
      <c r="B80" s="468" t="s">
        <v>1727</v>
      </c>
      <c r="C80" s="508" t="s">
        <v>1721</v>
      </c>
      <c r="D80" s="508" t="s">
        <v>1722</v>
      </c>
      <c r="E80" s="508" t="s">
        <v>1723</v>
      </c>
      <c r="F80" s="508" t="s">
        <v>1724</v>
      </c>
      <c r="G80" s="508" t="s">
        <v>1725</v>
      </c>
      <c r="H80" s="469"/>
      <c r="I80" s="469"/>
      <c r="J80" s="469"/>
      <c r="K80" s="470"/>
      <c r="L80" s="471"/>
      <c r="M80" s="472"/>
      <c r="N80" s="2519"/>
      <c r="O80" s="2519"/>
      <c r="P80" s="2511"/>
      <c r="Q80" s="2506"/>
      <c r="R80" s="2485"/>
      <c r="S80" s="2485"/>
      <c r="T80" s="2485"/>
      <c r="U80" s="2485"/>
      <c r="V80" s="2485"/>
      <c r="W80" s="2485"/>
      <c r="X80" s="2485"/>
      <c r="Y80" s="2485"/>
      <c r="Z80" s="2485"/>
      <c r="AA80" s="2485"/>
      <c r="AB80" s="2485"/>
      <c r="AC80" s="2485"/>
    </row>
    <row r="81" spans="1:29" ht="15.75" thickBot="1">
      <c r="A81" s="366"/>
      <c r="B81" s="473"/>
      <c r="C81" s="474">
        <v>100</v>
      </c>
      <c r="D81" s="474">
        <f>C81-$K19</f>
        <v>98</v>
      </c>
      <c r="E81" s="474">
        <f>D81-$K19</f>
        <v>96</v>
      </c>
      <c r="F81" s="474">
        <f>E81-$K19</f>
        <v>94</v>
      </c>
      <c r="G81" s="474">
        <f>F81-$K19</f>
        <v>92</v>
      </c>
      <c r="H81" s="474"/>
      <c r="I81" s="474"/>
      <c r="J81" s="474"/>
      <c r="K81" s="474"/>
      <c r="L81" s="474"/>
      <c r="M81" s="475"/>
      <c r="N81" s="2520"/>
      <c r="O81" s="2520"/>
      <c r="P81" s="2511"/>
      <c r="Q81" s="2506"/>
      <c r="R81" s="2485"/>
      <c r="S81" s="2485"/>
      <c r="T81" s="2485"/>
      <c r="U81" s="2485"/>
      <c r="V81" s="2485"/>
      <c r="W81" s="2485"/>
      <c r="X81" s="2485"/>
      <c r="Y81" s="2485"/>
      <c r="Z81" s="2485"/>
      <c r="AA81" s="2485"/>
      <c r="AB81" s="2485"/>
      <c r="AC81" s="2485"/>
    </row>
    <row r="82" spans="1:29" ht="15.75" thickTop="1">
      <c r="A82" s="366"/>
      <c r="B82" s="476" t="s">
        <v>1779</v>
      </c>
      <c r="C82" s="580" t="s">
        <v>1799</v>
      </c>
      <c r="D82" s="580" t="s">
        <v>1800</v>
      </c>
      <c r="E82" s="580" t="s">
        <v>1801</v>
      </c>
      <c r="F82" s="580" t="s">
        <v>1802</v>
      </c>
      <c r="G82" s="580" t="s">
        <v>1803</v>
      </c>
      <c r="H82" s="469"/>
      <c r="I82" s="469"/>
      <c r="J82" s="469"/>
      <c r="K82" s="469"/>
      <c r="L82" s="469"/>
      <c r="M82" s="1062"/>
      <c r="N82" s="2520"/>
      <c r="O82" s="2520"/>
      <c r="P82" s="2511"/>
      <c r="Q82" s="2506"/>
      <c r="R82" s="2485"/>
      <c r="S82" s="2485"/>
      <c r="T82" s="2485"/>
      <c r="U82" s="2485"/>
      <c r="V82" s="2485"/>
      <c r="W82" s="2485"/>
      <c r="X82" s="2485"/>
      <c r="Y82" s="2485"/>
      <c r="Z82" s="2485"/>
      <c r="AA82" s="2485"/>
      <c r="AB82" s="2485"/>
      <c r="AC82" s="2485"/>
    </row>
    <row r="83" spans="1:29" ht="15.75" thickBot="1">
      <c r="A83" s="366"/>
      <c r="B83" s="476"/>
      <c r="C83" s="474">
        <v>100</v>
      </c>
      <c r="D83" s="474">
        <f>C83-$K21</f>
        <v>99</v>
      </c>
      <c r="E83" s="474">
        <f t="shared" ref="E83:G83" si="19">D83-$K21</f>
        <v>98</v>
      </c>
      <c r="F83" s="474">
        <f t="shared" si="19"/>
        <v>97</v>
      </c>
      <c r="G83" s="474">
        <f t="shared" si="19"/>
        <v>96</v>
      </c>
      <c r="H83" s="580"/>
      <c r="I83" s="580"/>
      <c r="J83" s="580"/>
      <c r="K83" s="580"/>
      <c r="L83" s="580"/>
      <c r="M83" s="388"/>
      <c r="N83" s="2520"/>
      <c r="O83" s="2520"/>
      <c r="P83" s="2511"/>
      <c r="Q83" s="2506"/>
      <c r="R83" s="2485"/>
      <c r="S83" s="2485"/>
      <c r="T83" s="2485"/>
      <c r="U83" s="2485"/>
      <c r="V83" s="2485"/>
      <c r="W83" s="2485"/>
      <c r="X83" s="2485"/>
      <c r="Y83" s="2485"/>
      <c r="Z83" s="2485"/>
      <c r="AA83" s="2485"/>
      <c r="AB83" s="2485"/>
      <c r="AC83" s="2485"/>
    </row>
    <row r="84" spans="1:29" ht="15.75" thickTop="1">
      <c r="A84" s="366"/>
      <c r="B84" s="468" t="s">
        <v>1733</v>
      </c>
      <c r="C84" s="508" t="s">
        <v>1721</v>
      </c>
      <c r="D84" s="508" t="s">
        <v>1722</v>
      </c>
      <c r="E84" s="508" t="s">
        <v>1723</v>
      </c>
      <c r="F84" s="508" t="s">
        <v>1724</v>
      </c>
      <c r="G84" s="508" t="s">
        <v>1725</v>
      </c>
      <c r="H84" s="469"/>
      <c r="I84" s="469"/>
      <c r="J84" s="469"/>
      <c r="K84" s="470"/>
      <c r="L84" s="471"/>
      <c r="M84" s="472"/>
      <c r="N84" s="2519"/>
      <c r="O84" s="2519"/>
      <c r="P84" s="2511"/>
      <c r="Q84" s="2506"/>
      <c r="R84" s="2485"/>
      <c r="S84" s="2485"/>
      <c r="T84" s="2485"/>
      <c r="U84" s="2485"/>
      <c r="V84" s="2485"/>
      <c r="W84" s="2485"/>
      <c r="X84" s="2485"/>
      <c r="Y84" s="2485"/>
      <c r="Z84" s="2485"/>
      <c r="AA84" s="2485"/>
      <c r="AB84" s="2485"/>
      <c r="AC84" s="2485"/>
    </row>
    <row r="85" spans="1:29" ht="15.75" thickBot="1">
      <c r="A85" s="366"/>
      <c r="B85" s="473"/>
      <c r="C85" s="474">
        <v>100</v>
      </c>
      <c r="D85" s="474">
        <f>C85-$K23</f>
        <v>98</v>
      </c>
      <c r="E85" s="474">
        <f>D85-$K23</f>
        <v>96</v>
      </c>
      <c r="F85" s="474">
        <f>E85-$K23</f>
        <v>94</v>
      </c>
      <c r="G85" s="474">
        <f>F85-$K23</f>
        <v>92</v>
      </c>
      <c r="H85" s="474"/>
      <c r="I85" s="474"/>
      <c r="J85" s="474"/>
      <c r="K85" s="474"/>
      <c r="L85" s="474"/>
      <c r="M85" s="475"/>
      <c r="N85" s="2520"/>
      <c r="O85" s="2520"/>
      <c r="P85" s="2511"/>
      <c r="Q85" s="2506"/>
      <c r="R85" s="2485"/>
      <c r="S85" s="2485"/>
      <c r="T85" s="2485"/>
      <c r="U85" s="2485"/>
      <c r="V85" s="2485"/>
      <c r="W85" s="2485"/>
      <c r="X85" s="2485"/>
      <c r="Y85" s="2485"/>
      <c r="Z85" s="2485"/>
      <c r="AA85" s="2485"/>
      <c r="AB85" s="2485"/>
      <c r="AC85" s="2485"/>
    </row>
    <row r="86" spans="1:29" s="101" customFormat="1" ht="15.75" thickTop="1">
      <c r="A86" s="369"/>
      <c r="B86" s="468" t="s">
        <v>1804</v>
      </c>
      <c r="C86" s="3149" t="s">
        <v>3455</v>
      </c>
      <c r="D86" s="3149" t="s">
        <v>3457</v>
      </c>
      <c r="E86" s="484"/>
      <c r="F86" s="484"/>
      <c r="G86" s="484"/>
      <c r="H86" s="484"/>
      <c r="I86" s="484"/>
      <c r="J86" s="484"/>
      <c r="K86" s="484"/>
      <c r="L86" s="509"/>
      <c r="M86" s="510"/>
      <c r="N86" s="2518"/>
      <c r="O86" s="2518"/>
      <c r="P86" s="2511"/>
      <c r="Q86" s="2506"/>
      <c r="R86" s="2438"/>
      <c r="S86" s="2438"/>
      <c r="T86" s="2438"/>
      <c r="U86" s="2438"/>
      <c r="V86" s="2438"/>
      <c r="W86" s="2438"/>
      <c r="X86" s="2438"/>
      <c r="Y86" s="2438"/>
      <c r="Z86" s="2438"/>
      <c r="AA86" s="2438"/>
      <c r="AB86" s="2438"/>
      <c r="AC86" s="2438"/>
    </row>
    <row r="87" spans="1:29" s="101" customFormat="1" ht="15.75" thickBot="1">
      <c r="A87" s="369"/>
      <c r="B87" s="473"/>
      <c r="C87" s="511">
        <v>100</v>
      </c>
      <c r="D87" s="474">
        <f t="shared" ref="D87:M87" si="20">C87-$K25</f>
        <v>95</v>
      </c>
      <c r="E87" s="474">
        <f t="shared" si="20"/>
        <v>90</v>
      </c>
      <c r="F87" s="474">
        <f t="shared" si="20"/>
        <v>85</v>
      </c>
      <c r="G87" s="474">
        <f t="shared" si="20"/>
        <v>80</v>
      </c>
      <c r="H87" s="474">
        <f t="shared" si="20"/>
        <v>75</v>
      </c>
      <c r="I87" s="474">
        <f t="shared" si="20"/>
        <v>70</v>
      </c>
      <c r="J87" s="474">
        <f t="shared" si="20"/>
        <v>65</v>
      </c>
      <c r="K87" s="474">
        <f t="shared" si="20"/>
        <v>60</v>
      </c>
      <c r="L87" s="474">
        <f t="shared" si="20"/>
        <v>55</v>
      </c>
      <c r="M87" s="474">
        <f t="shared" si="20"/>
        <v>50</v>
      </c>
      <c r="N87" s="2520"/>
      <c r="O87" s="2520"/>
      <c r="P87" s="2511"/>
      <c r="Q87" s="2506"/>
      <c r="R87" s="2438"/>
      <c r="S87" s="2438"/>
      <c r="T87" s="2438"/>
      <c r="U87" s="2438"/>
      <c r="V87" s="2438"/>
      <c r="W87" s="2438"/>
      <c r="X87" s="2438"/>
      <c r="Y87" s="2438"/>
      <c r="Z87" s="2438"/>
      <c r="AA87" s="2438"/>
      <c r="AB87" s="2438"/>
      <c r="AC87" s="2438"/>
    </row>
    <row r="88" spans="1:29" s="101" customFormat="1" ht="15.75" thickTop="1">
      <c r="A88" s="369"/>
      <c r="B88" s="468" t="str">
        <f>B26</f>
        <v>平面位置/可视性</v>
      </c>
      <c r="C88" s="3149" t="s">
        <v>3425</v>
      </c>
      <c r="D88" s="484"/>
      <c r="E88" s="484"/>
      <c r="F88" s="1779"/>
      <c r="G88" s="484"/>
      <c r="H88" s="484"/>
      <c r="I88" s="484"/>
      <c r="J88" s="484"/>
      <c r="K88" s="484"/>
      <c r="L88" s="484"/>
      <c r="M88" s="510"/>
      <c r="N88" s="2518"/>
      <c r="O88" s="2518"/>
      <c r="P88" s="2511"/>
      <c r="Q88" s="2506"/>
      <c r="R88" s="2438"/>
      <c r="S88" s="2438"/>
      <c r="T88" s="2438"/>
      <c r="U88" s="2438"/>
      <c r="V88" s="2438"/>
      <c r="W88" s="2438"/>
      <c r="X88" s="2438"/>
      <c r="Y88" s="2438"/>
      <c r="Z88" s="2438"/>
      <c r="AA88" s="2438"/>
      <c r="AB88" s="2438"/>
      <c r="AC88" s="2438"/>
    </row>
    <row r="89" spans="1:29" s="101" customFormat="1" ht="15.75" thickBot="1">
      <c r="A89" s="369"/>
      <c r="B89" s="473"/>
      <c r="C89" s="490">
        <v>100</v>
      </c>
      <c r="D89" s="466"/>
      <c r="E89" s="466"/>
      <c r="F89" s="466"/>
      <c r="G89" s="466"/>
      <c r="H89" s="466"/>
      <c r="I89" s="466"/>
      <c r="J89" s="466"/>
      <c r="K89" s="466"/>
      <c r="L89" s="466"/>
      <c r="M89" s="466"/>
      <c r="N89" s="2520"/>
      <c r="O89" s="2520"/>
      <c r="P89" s="2511"/>
      <c r="Q89" s="2506"/>
      <c r="R89" s="2438"/>
      <c r="S89" s="2438"/>
      <c r="T89" s="2438"/>
      <c r="U89" s="2438"/>
      <c r="V89" s="2438"/>
      <c r="W89" s="2438"/>
      <c r="X89" s="2438"/>
      <c r="Y89" s="2438"/>
      <c r="Z89" s="2438"/>
      <c r="AA89" s="2438"/>
      <c r="AB89" s="2438"/>
      <c r="AC89" s="2438"/>
    </row>
    <row r="90" spans="1:29" s="407" customFormat="1" ht="15.75" thickTop="1">
      <c r="A90" s="483"/>
      <c r="B90" s="468" t="str">
        <f>B27</f>
        <v>人流量</v>
      </c>
      <c r="C90" s="3149" t="s">
        <v>3428</v>
      </c>
      <c r="D90" s="3149" t="s">
        <v>3429</v>
      </c>
      <c r="E90" s="3149" t="s">
        <v>3430</v>
      </c>
      <c r="F90" s="484"/>
      <c r="G90" s="484"/>
      <c r="H90" s="485"/>
      <c r="I90" s="485"/>
      <c r="J90" s="485"/>
      <c r="K90" s="485"/>
      <c r="L90" s="486"/>
      <c r="M90" s="487"/>
      <c r="N90" s="2521"/>
      <c r="O90" s="2521"/>
      <c r="P90" s="2512"/>
      <c r="Q90" s="2513"/>
      <c r="R90" s="2491"/>
      <c r="S90" s="2491"/>
      <c r="T90" s="2491"/>
      <c r="U90" s="2491"/>
      <c r="V90" s="2491"/>
      <c r="W90" s="2491"/>
      <c r="X90" s="2491"/>
      <c r="Y90" s="2491"/>
      <c r="Z90" s="2491"/>
      <c r="AA90" s="2491"/>
      <c r="AB90" s="2491"/>
      <c r="AC90" s="2491"/>
    </row>
    <row r="91" spans="1:29" s="407" customFormat="1" ht="15.75" thickBot="1">
      <c r="A91" s="483"/>
      <c r="B91" s="473"/>
      <c r="C91" s="511">
        <v>100</v>
      </c>
      <c r="D91" s="474">
        <f>C91-$K27</f>
        <v>95</v>
      </c>
      <c r="E91" s="474">
        <f t="shared" ref="E91:M91" si="21">D91-$K27</f>
        <v>90</v>
      </c>
      <c r="F91" s="474">
        <f t="shared" si="21"/>
        <v>85</v>
      </c>
      <c r="G91" s="474">
        <f t="shared" si="21"/>
        <v>80</v>
      </c>
      <c r="H91" s="474">
        <f t="shared" si="21"/>
        <v>75</v>
      </c>
      <c r="I91" s="474">
        <f t="shared" si="21"/>
        <v>70</v>
      </c>
      <c r="J91" s="474">
        <f t="shared" si="21"/>
        <v>65</v>
      </c>
      <c r="K91" s="474">
        <f t="shared" si="21"/>
        <v>60</v>
      </c>
      <c r="L91" s="474">
        <f t="shared" si="21"/>
        <v>55</v>
      </c>
      <c r="M91" s="474">
        <f t="shared" si="21"/>
        <v>50</v>
      </c>
      <c r="N91" s="2521"/>
      <c r="O91" s="2521"/>
      <c r="P91" s="2512"/>
      <c r="Q91" s="2513"/>
      <c r="R91" s="2491"/>
      <c r="S91" s="2491"/>
      <c r="T91" s="2491"/>
      <c r="U91" s="2491"/>
      <c r="V91" s="2491"/>
      <c r="W91" s="2491"/>
      <c r="X91" s="2491"/>
      <c r="Y91" s="2491"/>
      <c r="Z91" s="2491"/>
      <c r="AA91" s="2491"/>
      <c r="AB91" s="2491"/>
      <c r="AC91" s="2491"/>
    </row>
    <row r="92" spans="1:29" ht="15.75" thickTop="1">
      <c r="A92" s="366"/>
      <c r="B92" s="468" t="str">
        <f>B28</f>
        <v>楼层</v>
      </c>
      <c r="C92" s="484" t="s">
        <v>3431</v>
      </c>
      <c r="D92" s="484" t="s">
        <v>3432</v>
      </c>
      <c r="E92" s="484" t="s">
        <v>3433</v>
      </c>
      <c r="F92" s="484"/>
      <c r="G92" s="484"/>
      <c r="H92" s="484"/>
      <c r="I92" s="484"/>
      <c r="J92" s="484"/>
      <c r="K92" s="484"/>
      <c r="L92" s="509"/>
      <c r="M92" s="510"/>
      <c r="N92" s="2521" t="s">
        <v>3434</v>
      </c>
      <c r="O92" s="2521">
        <v>100</v>
      </c>
      <c r="P92" s="2512">
        <f>ROUND(O92*P94/O94,0)</f>
        <v>118</v>
      </c>
      <c r="Q92" s="2506"/>
      <c r="R92" s="2485"/>
      <c r="S92" s="2485"/>
      <c r="T92" s="2485"/>
      <c r="U92" s="2485"/>
      <c r="V92" s="2485"/>
      <c r="W92" s="2485"/>
      <c r="X92" s="2485"/>
      <c r="Y92" s="2485"/>
      <c r="Z92" s="2485"/>
      <c r="AA92" s="2485"/>
      <c r="AB92" s="2485"/>
      <c r="AC92" s="2485"/>
    </row>
    <row r="93" spans="1:29" ht="15.75" thickBot="1">
      <c r="A93" s="366"/>
      <c r="B93" s="473"/>
      <c r="C93" s="466">
        <f>P92</f>
        <v>118</v>
      </c>
      <c r="D93" s="466"/>
      <c r="E93" s="466">
        <f>P94</f>
        <v>100</v>
      </c>
      <c r="F93" s="466"/>
      <c r="G93" s="466"/>
      <c r="H93" s="466"/>
      <c r="I93" s="466"/>
      <c r="J93" s="466"/>
      <c r="K93" s="466"/>
      <c r="L93" s="466"/>
      <c r="M93" s="467"/>
      <c r="N93" s="2519" t="s">
        <v>3435</v>
      </c>
      <c r="O93" s="2519">
        <v>70</v>
      </c>
      <c r="P93" s="2511"/>
      <c r="Q93" s="2506"/>
      <c r="R93" s="2485"/>
      <c r="S93" s="2485"/>
      <c r="T93" s="2485"/>
      <c r="U93" s="2485"/>
      <c r="V93" s="2485"/>
      <c r="W93" s="2485"/>
      <c r="X93" s="2485"/>
      <c r="Y93" s="2485"/>
      <c r="Z93" s="2485"/>
      <c r="AA93" s="2485"/>
      <c r="AB93" s="2485"/>
      <c r="AC93" s="2485"/>
    </row>
    <row r="94" spans="1:29" ht="15.75" thickTop="1">
      <c r="A94" s="366"/>
      <c r="B94" s="468">
        <f>B29</f>
        <v>111</v>
      </c>
      <c r="C94" s="3149" t="s">
        <v>3426</v>
      </c>
      <c r="D94" s="3149" t="s">
        <v>3427</v>
      </c>
      <c r="E94" s="484"/>
      <c r="F94" s="484"/>
      <c r="G94" s="512"/>
      <c r="H94" s="512"/>
      <c r="I94" s="512"/>
      <c r="J94" s="512"/>
      <c r="K94" s="513"/>
      <c r="L94" s="514"/>
      <c r="M94" s="515"/>
      <c r="N94" s="2520" t="s">
        <v>3436</v>
      </c>
      <c r="O94" s="2520">
        <f>(O92+O93)/2</f>
        <v>85</v>
      </c>
      <c r="P94" s="2511">
        <v>100</v>
      </c>
      <c r="Q94" s="2506"/>
      <c r="R94" s="2485"/>
      <c r="S94" s="2485"/>
      <c r="T94" s="2485"/>
      <c r="U94" s="2485"/>
      <c r="V94" s="2485"/>
      <c r="W94" s="2485"/>
      <c r="X94" s="2485"/>
      <c r="Y94" s="2485"/>
      <c r="Z94" s="2485"/>
      <c r="AA94" s="2485"/>
      <c r="AB94" s="2485"/>
      <c r="AC94" s="2485"/>
    </row>
    <row r="95" spans="1:29" ht="15.75" thickBot="1">
      <c r="A95" s="366"/>
      <c r="B95" s="473"/>
      <c r="C95" s="490"/>
      <c r="D95" s="466"/>
      <c r="E95" s="466"/>
      <c r="F95" s="466"/>
      <c r="G95" s="466"/>
      <c r="H95" s="466"/>
      <c r="I95" s="466"/>
      <c r="J95" s="466"/>
      <c r="K95" s="466"/>
      <c r="L95" s="466"/>
      <c r="M95" s="467"/>
      <c r="N95" s="2520"/>
      <c r="O95" s="2520"/>
      <c r="P95" s="2511"/>
      <c r="Q95" s="2506"/>
      <c r="R95" s="2485"/>
      <c r="S95" s="2485"/>
      <c r="T95" s="2485"/>
      <c r="U95" s="2485"/>
      <c r="V95" s="2485"/>
      <c r="W95" s="2485"/>
      <c r="X95" s="2485"/>
      <c r="Y95" s="2485"/>
      <c r="Z95" s="2485"/>
      <c r="AA95" s="2485"/>
      <c r="AB95" s="2485"/>
      <c r="AC95" s="2485"/>
    </row>
    <row r="96" spans="1:29" ht="15.75" thickTop="1">
      <c r="A96" s="366"/>
      <c r="B96" s="468">
        <f>B30</f>
        <v>111</v>
      </c>
      <c r="C96" s="484"/>
      <c r="D96" s="484"/>
      <c r="E96" s="484"/>
      <c r="F96" s="484"/>
      <c r="G96" s="512"/>
      <c r="H96" s="512"/>
      <c r="I96" s="512"/>
      <c r="J96" s="512"/>
      <c r="K96" s="513"/>
      <c r="L96" s="514"/>
      <c r="M96" s="515"/>
      <c r="N96" s="2519"/>
      <c r="O96" s="2519"/>
      <c r="P96" s="2511"/>
      <c r="Q96" s="2506"/>
      <c r="R96" s="2485"/>
      <c r="S96" s="2485"/>
      <c r="T96" s="2485"/>
      <c r="U96" s="2485"/>
      <c r="V96" s="2485"/>
      <c r="W96" s="2485"/>
      <c r="X96" s="2485"/>
      <c r="Y96" s="2485"/>
      <c r="Z96" s="2485"/>
      <c r="AA96" s="2485"/>
      <c r="AB96" s="2485"/>
      <c r="AC96" s="2485"/>
    </row>
    <row r="97" spans="1:29" ht="15.75" thickBot="1">
      <c r="A97" s="366"/>
      <c r="B97" s="473"/>
      <c r="C97" s="490"/>
      <c r="D97" s="466"/>
      <c r="E97" s="466"/>
      <c r="F97" s="466"/>
      <c r="G97" s="466"/>
      <c r="H97" s="466"/>
      <c r="I97" s="466"/>
      <c r="J97" s="466"/>
      <c r="K97" s="466"/>
      <c r="L97" s="466"/>
      <c r="M97" s="467"/>
      <c r="N97" s="2520"/>
      <c r="O97" s="2520"/>
      <c r="P97" s="2511"/>
      <c r="Q97" s="2506"/>
      <c r="R97" s="2485"/>
      <c r="S97" s="2485"/>
      <c r="T97" s="2485"/>
      <c r="U97" s="2485"/>
      <c r="V97" s="2485"/>
      <c r="W97" s="2485"/>
      <c r="X97" s="2485"/>
      <c r="Y97" s="2485"/>
      <c r="Z97" s="2485"/>
      <c r="AA97" s="2485"/>
      <c r="AB97" s="2485"/>
      <c r="AC97" s="2485"/>
    </row>
    <row r="98" spans="1:29" ht="15.75" thickTop="1">
      <c r="A98" s="366"/>
      <c r="B98" s="476">
        <f>B31</f>
        <v>111</v>
      </c>
      <c r="C98" s="484"/>
      <c r="D98" s="484"/>
      <c r="E98" s="484"/>
      <c r="F98" s="484"/>
      <c r="G98" s="516"/>
      <c r="H98" s="516"/>
      <c r="I98" s="516"/>
      <c r="J98" s="516"/>
      <c r="K98" s="517"/>
      <c r="L98" s="518"/>
      <c r="M98" s="519"/>
      <c r="N98" s="2519"/>
      <c r="O98" s="2519"/>
      <c r="P98" s="2511"/>
      <c r="Q98" s="2506"/>
      <c r="R98" s="2485"/>
      <c r="S98" s="2485"/>
      <c r="T98" s="2485"/>
      <c r="U98" s="2485"/>
      <c r="V98" s="2485"/>
      <c r="W98" s="2485"/>
      <c r="X98" s="2485"/>
      <c r="Y98" s="2485"/>
      <c r="Z98" s="2485"/>
      <c r="AA98" s="2485"/>
      <c r="AB98" s="2485"/>
      <c r="AC98" s="2485"/>
    </row>
    <row r="99" spans="1:29" ht="15.75" thickBot="1">
      <c r="A99" s="374"/>
      <c r="B99" s="499"/>
      <c r="C99" s="500"/>
      <c r="D99" s="500"/>
      <c r="E99" s="500"/>
      <c r="F99" s="500"/>
      <c r="G99" s="520"/>
      <c r="H99" s="520"/>
      <c r="I99" s="520"/>
      <c r="J99" s="520"/>
      <c r="K99" s="520"/>
      <c r="L99" s="520"/>
      <c r="M99" s="521"/>
      <c r="N99" s="2520"/>
      <c r="O99" s="2520"/>
      <c r="P99" s="2511"/>
      <c r="Q99" s="2506"/>
      <c r="R99" s="2485"/>
      <c r="S99" s="2485"/>
      <c r="T99" s="2485"/>
      <c r="U99" s="2485"/>
      <c r="V99" s="2485"/>
      <c r="W99" s="2485"/>
      <c r="X99" s="2485"/>
      <c r="Y99" s="2485"/>
      <c r="Z99" s="2485"/>
      <c r="AA99" s="2485"/>
      <c r="AB99" s="2485"/>
      <c r="AC99" s="2485"/>
    </row>
    <row r="100" spans="1:29">
      <c r="A100" s="378" t="s">
        <v>1694</v>
      </c>
      <c r="B100" s="459" t="s">
        <v>1805</v>
      </c>
      <c r="C100" s="3150" t="s">
        <v>2784</v>
      </c>
      <c r="D100" s="3150" t="s">
        <v>3437</v>
      </c>
      <c r="E100" s="3150" t="s">
        <v>3438</v>
      </c>
      <c r="F100" s="461"/>
      <c r="G100" s="461"/>
      <c r="H100" s="461"/>
      <c r="I100" s="461"/>
      <c r="J100" s="461"/>
      <c r="K100" s="462"/>
      <c r="L100" s="463"/>
      <c r="M100" s="464"/>
      <c r="N100" s="2519"/>
      <c r="O100" s="2519"/>
      <c r="P100" s="2511"/>
      <c r="Q100" s="2506"/>
      <c r="R100" s="2485"/>
      <c r="S100" s="2485"/>
      <c r="T100" s="2485"/>
      <c r="U100" s="2485"/>
      <c r="V100" s="2485"/>
      <c r="W100" s="2485"/>
      <c r="X100" s="2485"/>
      <c r="Y100" s="2485"/>
      <c r="Z100" s="2485"/>
      <c r="AA100" s="2485"/>
      <c r="AB100" s="2485"/>
      <c r="AC100" s="2485"/>
    </row>
    <row r="101" spans="1:29" ht="15.75" thickBot="1">
      <c r="A101" s="366"/>
      <c r="B101" s="473"/>
      <c r="C101" s="474">
        <v>100</v>
      </c>
      <c r="D101" s="474">
        <f t="shared" ref="D101:M101" si="22">C101-$K32</f>
        <v>97</v>
      </c>
      <c r="E101" s="474">
        <f t="shared" si="22"/>
        <v>94</v>
      </c>
      <c r="F101" s="474">
        <f t="shared" si="22"/>
        <v>91</v>
      </c>
      <c r="G101" s="474">
        <f t="shared" si="22"/>
        <v>88</v>
      </c>
      <c r="H101" s="474">
        <f t="shared" si="22"/>
        <v>85</v>
      </c>
      <c r="I101" s="474">
        <f t="shared" si="22"/>
        <v>82</v>
      </c>
      <c r="J101" s="474">
        <f t="shared" si="22"/>
        <v>79</v>
      </c>
      <c r="K101" s="474">
        <f t="shared" si="22"/>
        <v>76</v>
      </c>
      <c r="L101" s="474">
        <f t="shared" si="22"/>
        <v>73</v>
      </c>
      <c r="M101" s="475">
        <f t="shared" si="22"/>
        <v>70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6"/>
      <c r="B102" s="468" t="s">
        <v>1737</v>
      </c>
      <c r="C102" s="508" t="str">
        <f>C103&amp;"(含)"&amp;"-"&amp;D103</f>
        <v>0(含)-100</v>
      </c>
      <c r="D102" s="508" t="str">
        <f t="shared" ref="D102:L102" si="23">D103&amp;"(含)"&amp;"-"&amp;E103</f>
        <v>100(含)-200</v>
      </c>
      <c r="E102" s="508" t="str">
        <f t="shared" si="23"/>
        <v>200(含)-400</v>
      </c>
      <c r="F102" s="508" t="str">
        <f t="shared" si="23"/>
        <v>400(含)-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7" customFormat="1">
      <c r="A103" s="405"/>
      <c r="B103" s="522"/>
      <c r="C103" s="6">
        <v>0</v>
      </c>
      <c r="D103" s="6">
        <v>100</v>
      </c>
      <c r="E103" s="6">
        <v>200</v>
      </c>
      <c r="F103" s="6">
        <v>400</v>
      </c>
      <c r="G103" s="6"/>
      <c r="H103" s="6"/>
      <c r="I103" s="6"/>
      <c r="J103" s="523"/>
      <c r="K103" s="523"/>
      <c r="L103" s="524"/>
      <c r="M103" s="525"/>
      <c r="N103" s="2521"/>
      <c r="O103" s="2521"/>
      <c r="P103" s="2512"/>
      <c r="Q103" s="2513"/>
      <c r="R103" s="2491"/>
      <c r="S103" s="2491"/>
      <c r="T103" s="2491"/>
      <c r="U103" s="2491"/>
      <c r="V103" s="2491"/>
      <c r="W103" s="2491"/>
      <c r="X103" s="2491"/>
      <c r="Y103" s="2491"/>
      <c r="Z103" s="2491"/>
      <c r="AA103" s="2491"/>
      <c r="AB103" s="2491"/>
      <c r="AC103" s="2491"/>
    </row>
    <row r="104" spans="1:29" s="407" customFormat="1" ht="15.75" thickBot="1">
      <c r="A104" s="483"/>
      <c r="B104" s="473"/>
      <c r="C104" s="490">
        <v>100</v>
      </c>
      <c r="D104" s="466">
        <v>99</v>
      </c>
      <c r="E104" s="466">
        <v>98</v>
      </c>
      <c r="F104" s="466">
        <v>97</v>
      </c>
      <c r="G104" s="466"/>
      <c r="H104" s="466"/>
      <c r="I104" s="466"/>
      <c r="J104" s="466"/>
      <c r="K104" s="466"/>
      <c r="L104" s="466"/>
      <c r="M104" s="467"/>
      <c r="N104" s="2520"/>
      <c r="O104" s="2520"/>
      <c r="P104" s="2512"/>
      <c r="Q104" s="2513"/>
      <c r="R104" s="2491"/>
      <c r="S104" s="2491"/>
      <c r="T104" s="2491"/>
      <c r="U104" s="2491"/>
      <c r="V104" s="2491"/>
      <c r="W104" s="2491"/>
      <c r="X104" s="2491"/>
      <c r="Y104" s="2491"/>
      <c r="Z104" s="2491"/>
      <c r="AA104" s="2491"/>
      <c r="AB104" s="2491"/>
      <c r="AC104" s="2491"/>
    </row>
    <row r="105" spans="1:29" ht="15" thickTop="1">
      <c r="A105" s="408"/>
      <c r="B105" s="468" t="s">
        <v>1738</v>
      </c>
      <c r="C105" s="3149" t="s">
        <v>3439</v>
      </c>
      <c r="D105" s="484"/>
      <c r="E105" s="512"/>
      <c r="F105" s="512"/>
      <c r="G105" s="512"/>
      <c r="H105" s="512"/>
      <c r="I105" s="512"/>
      <c r="J105" s="512"/>
      <c r="K105" s="513"/>
      <c r="L105" s="514"/>
      <c r="M105" s="515"/>
      <c r="N105" s="2519"/>
      <c r="O105" s="2519"/>
      <c r="P105" s="2511"/>
      <c r="Q105" s="2506"/>
      <c r="R105" s="2485"/>
      <c r="S105" s="2485"/>
      <c r="T105" s="2485"/>
      <c r="U105" s="2485"/>
      <c r="V105" s="2485"/>
      <c r="W105" s="2485"/>
      <c r="X105" s="2485"/>
      <c r="Y105" s="2485"/>
      <c r="Z105" s="2485"/>
      <c r="AA105" s="2485"/>
      <c r="AB105" s="2485"/>
      <c r="AC105" s="2485"/>
    </row>
    <row r="106" spans="1:29" ht="15.75" thickBot="1">
      <c r="A106" s="366"/>
      <c r="B106" s="473"/>
      <c r="C106" s="474">
        <v>100</v>
      </c>
      <c r="D106" s="474">
        <f t="shared" ref="D106:M106" si="24">C106-$K34</f>
        <v>99</v>
      </c>
      <c r="E106" s="474">
        <f t="shared" si="24"/>
        <v>98</v>
      </c>
      <c r="F106" s="474">
        <f t="shared" si="24"/>
        <v>97</v>
      </c>
      <c r="G106" s="474">
        <f t="shared" si="24"/>
        <v>96</v>
      </c>
      <c r="H106" s="474">
        <f t="shared" si="24"/>
        <v>95</v>
      </c>
      <c r="I106" s="474">
        <f t="shared" si="24"/>
        <v>94</v>
      </c>
      <c r="J106" s="474">
        <f t="shared" si="24"/>
        <v>93</v>
      </c>
      <c r="K106" s="474">
        <f t="shared" si="24"/>
        <v>92</v>
      </c>
      <c r="L106" s="474">
        <f t="shared" si="24"/>
        <v>91</v>
      </c>
      <c r="M106" s="475">
        <f t="shared" si="24"/>
        <v>90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8"/>
      <c r="B107" s="468" t="s">
        <v>1740</v>
      </c>
      <c r="C107" s="484"/>
      <c r="D107" s="484"/>
      <c r="E107" s="484"/>
      <c r="F107" s="512"/>
      <c r="G107" s="512"/>
      <c r="H107" s="512"/>
      <c r="I107" s="512"/>
      <c r="J107" s="512"/>
      <c r="K107" s="513"/>
      <c r="L107" s="514"/>
      <c r="M107" s="515"/>
      <c r="N107" s="2519"/>
      <c r="O107" s="2519"/>
      <c r="P107" s="2511"/>
      <c r="Q107" s="2506"/>
      <c r="R107" s="2485"/>
      <c r="S107" s="2485"/>
      <c r="T107" s="2485"/>
      <c r="U107" s="2485"/>
      <c r="V107" s="2485"/>
      <c r="W107" s="2485"/>
      <c r="X107" s="2485"/>
      <c r="Y107" s="2485"/>
      <c r="Z107" s="2485"/>
      <c r="AA107" s="2485"/>
      <c r="AB107" s="2485"/>
      <c r="AC107" s="2485"/>
    </row>
    <row r="108" spans="1:29" ht="15.75"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9"/>
      <c r="O109" s="2519"/>
      <c r="P109" s="2511"/>
      <c r="Q109" s="2506"/>
      <c r="R109" s="2485"/>
      <c r="S109" s="2485"/>
      <c r="T109" s="2485"/>
      <c r="U109" s="2485"/>
      <c r="V109" s="2485"/>
      <c r="W109" s="2485"/>
      <c r="X109" s="2485"/>
      <c r="Y109" s="2485"/>
      <c r="Z109" s="2485"/>
      <c r="AA109" s="2485"/>
      <c r="AB109" s="2485"/>
      <c r="AC109" s="2485"/>
    </row>
    <row r="110" spans="1:29">
      <c r="A110" s="408"/>
      <c r="B110" s="476"/>
      <c r="C110" s="529">
        <v>0.5</v>
      </c>
      <c r="D110" s="529">
        <v>0.6</v>
      </c>
      <c r="E110" s="529">
        <v>0.7</v>
      </c>
      <c r="F110" s="529">
        <v>0.8</v>
      </c>
      <c r="G110" s="529">
        <v>0.9</v>
      </c>
      <c r="H110" s="529">
        <v>1.0001</v>
      </c>
      <c r="I110" s="547"/>
      <c r="J110" s="547"/>
      <c r="K110" s="548"/>
      <c r="L110" s="549"/>
      <c r="M110" s="550"/>
      <c r="N110" s="2519"/>
      <c r="O110" s="2519"/>
      <c r="P110" s="2511"/>
      <c r="Q110" s="2506"/>
      <c r="R110" s="2485"/>
      <c r="S110" s="2485"/>
      <c r="T110" s="2485"/>
      <c r="U110" s="2485"/>
      <c r="V110" s="2485"/>
      <c r="W110" s="2485"/>
      <c r="X110" s="2485"/>
      <c r="Y110" s="2485"/>
      <c r="Z110" s="2485"/>
      <c r="AA110" s="2485"/>
      <c r="AB110" s="2485"/>
      <c r="AC110" s="2485"/>
    </row>
    <row r="111" spans="1:29" ht="15.75" thickBot="1">
      <c r="A111" s="366"/>
      <c r="B111" s="473"/>
      <c r="C111" s="511">
        <v>100</v>
      </c>
      <c r="D111" s="474">
        <f>C111+$K36</f>
        <v>101</v>
      </c>
      <c r="E111" s="474">
        <f t="shared" ref="E111:M111" si="26">D111+$K36</f>
        <v>102</v>
      </c>
      <c r="F111" s="474">
        <f t="shared" si="26"/>
        <v>103</v>
      </c>
      <c r="G111" s="474">
        <f t="shared" si="26"/>
        <v>104</v>
      </c>
      <c r="H111" s="474">
        <f t="shared" si="26"/>
        <v>105</v>
      </c>
      <c r="I111" s="474">
        <f t="shared" si="26"/>
        <v>106</v>
      </c>
      <c r="J111" s="474">
        <f t="shared" si="26"/>
        <v>107</v>
      </c>
      <c r="K111" s="474">
        <f t="shared" si="26"/>
        <v>108</v>
      </c>
      <c r="L111" s="474">
        <f t="shared" si="26"/>
        <v>109</v>
      </c>
      <c r="M111" s="474">
        <f t="shared" si="26"/>
        <v>110</v>
      </c>
      <c r="N111" s="2520"/>
      <c r="O111" s="2520"/>
      <c r="P111" s="2511"/>
      <c r="Q111" s="2506"/>
      <c r="R111" s="2485"/>
      <c r="S111" s="2485"/>
      <c r="T111" s="2485"/>
      <c r="U111" s="2485"/>
      <c r="V111" s="2485"/>
      <c r="W111" s="2485"/>
      <c r="X111" s="2485"/>
      <c r="Y111" s="2485"/>
      <c r="Z111" s="2485"/>
      <c r="AA111" s="2485"/>
      <c r="AB111" s="2485"/>
      <c r="AC111" s="2485"/>
    </row>
    <row r="112" spans="1:29" s="407" customFormat="1" ht="15" thickTop="1">
      <c r="A112" s="405"/>
      <c r="B112" s="468" t="s">
        <v>1742</v>
      </c>
      <c r="C112" s="484"/>
      <c r="D112" s="484"/>
      <c r="E112" s="484"/>
      <c r="F112" s="484"/>
      <c r="G112" s="484"/>
      <c r="H112" s="512"/>
      <c r="I112" s="512"/>
      <c r="J112" s="512"/>
      <c r="K112" s="513"/>
      <c r="L112" s="514"/>
      <c r="M112" s="515"/>
      <c r="N112" s="2521"/>
      <c r="O112" s="2521"/>
      <c r="P112" s="2512"/>
      <c r="Q112" s="2513"/>
      <c r="R112" s="2491"/>
      <c r="S112" s="2491"/>
      <c r="T112" s="2491"/>
      <c r="U112" s="2491"/>
      <c r="V112" s="2491"/>
      <c r="W112" s="2491"/>
      <c r="X112" s="2491"/>
      <c r="Y112" s="2491"/>
      <c r="Z112" s="2491"/>
      <c r="AA112" s="2491"/>
      <c r="AB112" s="2491"/>
      <c r="AC112" s="2491"/>
    </row>
    <row r="113" spans="1:29" s="407" customFormat="1" ht="15.7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8"/>
      <c r="B114" s="468" t="s">
        <v>1806</v>
      </c>
      <c r="C114" s="3149" t="s">
        <v>3440</v>
      </c>
      <c r="D114" s="3149" t="s">
        <v>3441</v>
      </c>
      <c r="E114" s="512"/>
      <c r="F114" s="512"/>
      <c r="G114" s="512"/>
      <c r="H114" s="512"/>
      <c r="I114" s="512"/>
      <c r="J114" s="512"/>
      <c r="K114" s="513"/>
      <c r="L114" s="514"/>
      <c r="M114" s="515"/>
      <c r="N114" s="2519"/>
      <c r="O114" s="2519"/>
      <c r="P114" s="2511"/>
      <c r="Q114" s="2506"/>
      <c r="R114" s="2485"/>
      <c r="S114" s="2485"/>
      <c r="T114" s="2485"/>
      <c r="U114" s="2485"/>
      <c r="V114" s="2485"/>
      <c r="W114" s="2485"/>
      <c r="X114" s="2485"/>
      <c r="Y114" s="2485"/>
      <c r="Z114" s="2485"/>
      <c r="AA114" s="2485"/>
      <c r="AB114" s="2485"/>
      <c r="AC114" s="2485"/>
    </row>
    <row r="115" spans="1:29" ht="15.75" thickBot="1">
      <c r="A115" s="366"/>
      <c r="B115" s="473"/>
      <c r="C115" s="474">
        <v>100</v>
      </c>
      <c r="D115" s="474">
        <f t="shared" ref="D115:M115" si="28">C115-$K38</f>
        <v>97</v>
      </c>
      <c r="E115" s="474">
        <f t="shared" si="28"/>
        <v>94</v>
      </c>
      <c r="F115" s="474">
        <f t="shared" si="28"/>
        <v>91</v>
      </c>
      <c r="G115" s="474">
        <f t="shared" si="28"/>
        <v>88</v>
      </c>
      <c r="H115" s="474">
        <f t="shared" si="28"/>
        <v>85</v>
      </c>
      <c r="I115" s="474">
        <f t="shared" si="28"/>
        <v>82</v>
      </c>
      <c r="J115" s="474">
        <f t="shared" si="28"/>
        <v>79</v>
      </c>
      <c r="K115" s="474">
        <f t="shared" si="28"/>
        <v>76</v>
      </c>
      <c r="L115" s="474">
        <f t="shared" si="28"/>
        <v>73</v>
      </c>
      <c r="M115" s="475">
        <f t="shared" si="28"/>
        <v>70</v>
      </c>
      <c r="N115" s="2520"/>
      <c r="O115" s="2520"/>
      <c r="P115" s="2511"/>
      <c r="Q115" s="2506"/>
      <c r="R115" s="2485"/>
      <c r="S115" s="2485"/>
      <c r="T115" s="2485"/>
      <c r="U115" s="2485"/>
      <c r="V115" s="2485"/>
      <c r="W115" s="2485"/>
      <c r="X115" s="2485"/>
      <c r="Y115" s="2485"/>
      <c r="Z115" s="2485"/>
      <c r="AA115" s="2485"/>
      <c r="AB115" s="2485"/>
      <c r="AC115" s="2485"/>
    </row>
    <row r="116" spans="1:29" ht="28.5" thickTop="1">
      <c r="A116" s="408"/>
      <c r="B116" s="468" t="s">
        <v>1807</v>
      </c>
      <c r="C116" s="3153" t="s">
        <v>3464</v>
      </c>
      <c r="D116" s="3153" t="s">
        <v>3465</v>
      </c>
      <c r="E116" s="484"/>
      <c r="F116" s="484"/>
      <c r="G116" s="484"/>
      <c r="H116" s="512"/>
      <c r="I116" s="512"/>
      <c r="J116" s="512"/>
      <c r="K116" s="513"/>
      <c r="L116" s="514"/>
      <c r="M116" s="515"/>
      <c r="N116" s="2519"/>
      <c r="O116" s="2519"/>
      <c r="P116" s="2511"/>
      <c r="Q116" s="2506"/>
      <c r="R116" s="2485"/>
      <c r="S116" s="2485"/>
      <c r="T116" s="2485"/>
      <c r="U116" s="2485"/>
      <c r="V116" s="2485"/>
      <c r="W116" s="2485"/>
      <c r="X116" s="2485"/>
      <c r="Y116" s="2485"/>
      <c r="Z116" s="2485"/>
      <c r="AA116" s="2485"/>
      <c r="AB116" s="2485"/>
      <c r="AC116" s="2485"/>
    </row>
    <row r="117" spans="1:29" ht="15.75" thickBot="1">
      <c r="A117" s="366"/>
      <c r="B117" s="473"/>
      <c r="C117" s="474">
        <v>100</v>
      </c>
      <c r="D117" s="474">
        <f>C117-$K39</f>
        <v>90</v>
      </c>
      <c r="E117" s="474">
        <f>D117-$K39</f>
        <v>80</v>
      </c>
      <c r="F117" s="474">
        <f>E117-$K39</f>
        <v>70</v>
      </c>
      <c r="G117" s="474">
        <f>F117-$K39</f>
        <v>60</v>
      </c>
      <c r="H117" s="474"/>
      <c r="I117" s="474"/>
      <c r="J117" s="474"/>
      <c r="K117" s="474"/>
      <c r="L117" s="474"/>
      <c r="M117" s="475"/>
      <c r="N117" s="2520"/>
      <c r="O117" s="2520"/>
      <c r="P117" s="2511"/>
      <c r="Q117" s="2506"/>
      <c r="R117" s="2485"/>
      <c r="S117" s="2485"/>
      <c r="T117" s="2485"/>
      <c r="U117" s="2485"/>
      <c r="V117" s="2485"/>
      <c r="W117" s="2485"/>
      <c r="X117" s="2485"/>
      <c r="Y117" s="2485"/>
      <c r="Z117" s="2485"/>
      <c r="AA117" s="2485"/>
      <c r="AB117" s="2485"/>
      <c r="AC117" s="2485"/>
    </row>
    <row r="118" spans="1:29" ht="15" thickTop="1">
      <c r="A118" s="408"/>
      <c r="B118" s="468" t="s">
        <v>1808</v>
      </c>
      <c r="C118" s="551"/>
      <c r="D118" s="551"/>
      <c r="E118" s="551"/>
      <c r="F118" s="551"/>
      <c r="G118" s="551"/>
      <c r="H118" s="485"/>
      <c r="I118" s="485"/>
      <c r="J118" s="485"/>
      <c r="K118" s="485"/>
      <c r="L118" s="486"/>
      <c r="M118" s="487"/>
      <c r="N118" s="2519"/>
      <c r="O118" s="2519"/>
      <c r="P118" s="2511"/>
      <c r="Q118" s="2506"/>
      <c r="R118" s="2485"/>
      <c r="S118" s="2485"/>
      <c r="T118" s="2485"/>
      <c r="U118" s="2485"/>
      <c r="V118" s="2485"/>
      <c r="W118" s="2485"/>
      <c r="X118" s="2485"/>
      <c r="Y118" s="2485"/>
      <c r="Z118" s="2485"/>
      <c r="AA118" s="2485"/>
      <c r="AB118" s="2485"/>
      <c r="AC118" s="2485"/>
    </row>
    <row r="119" spans="1:29" ht="15.75" thickBot="1">
      <c r="A119" s="366"/>
      <c r="B119" s="473"/>
      <c r="C119" s="490"/>
      <c r="D119" s="466"/>
      <c r="E119" s="466"/>
      <c r="F119" s="466"/>
      <c r="G119" s="466"/>
      <c r="H119" s="466"/>
      <c r="I119" s="466"/>
      <c r="J119" s="466"/>
      <c r="K119" s="466"/>
      <c r="L119" s="466"/>
      <c r="M119" s="467"/>
      <c r="N119" s="2520"/>
      <c r="O119" s="2520"/>
      <c r="P119" s="2511"/>
      <c r="Q119" s="2506"/>
      <c r="R119" s="2485"/>
      <c r="S119" s="2485"/>
      <c r="T119" s="2485"/>
      <c r="U119" s="2485"/>
      <c r="V119" s="2485"/>
      <c r="W119" s="2485"/>
      <c r="X119" s="2485"/>
      <c r="Y119" s="2485"/>
      <c r="Z119" s="2485"/>
      <c r="AA119" s="2485"/>
      <c r="AB119" s="2485"/>
      <c r="AC119" s="2485"/>
    </row>
    <row r="120" spans="1:29" s="407" customFormat="1" ht="15" thickTop="1">
      <c r="A120" s="405"/>
      <c r="B120" s="468" t="s">
        <v>1809</v>
      </c>
      <c r="C120" s="512"/>
      <c r="D120" s="512"/>
      <c r="E120" s="512"/>
      <c r="F120" s="512"/>
      <c r="G120" s="485"/>
      <c r="H120" s="485"/>
      <c r="I120" s="485"/>
      <c r="J120" s="485"/>
      <c r="K120" s="485"/>
      <c r="L120" s="486"/>
      <c r="M120" s="487"/>
      <c r="N120" s="2521"/>
      <c r="O120" s="2521"/>
      <c r="P120" s="2512"/>
      <c r="Q120" s="2513"/>
      <c r="R120" s="2491"/>
      <c r="S120" s="2491"/>
      <c r="T120" s="2491"/>
      <c r="U120" s="2491"/>
      <c r="V120" s="2491"/>
      <c r="W120" s="2491"/>
      <c r="X120" s="2491"/>
      <c r="Y120" s="2491"/>
      <c r="Z120" s="2491"/>
      <c r="AA120" s="2491"/>
      <c r="AB120" s="2491"/>
      <c r="AC120" s="2491"/>
    </row>
    <row r="121" spans="1:29" s="407" customFormat="1" ht="15.7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8"/>
      <c r="B122" s="468" t="s">
        <v>1744</v>
      </c>
      <c r="C122" s="3149" t="s">
        <v>3442</v>
      </c>
      <c r="D122" s="3149" t="s">
        <v>3444</v>
      </c>
      <c r="E122" s="3149" t="s">
        <v>3446</v>
      </c>
      <c r="F122" s="3151" t="s">
        <v>3447</v>
      </c>
      <c r="G122" s="512"/>
      <c r="H122" s="512"/>
      <c r="I122" s="512"/>
      <c r="J122" s="512"/>
      <c r="K122" s="513"/>
      <c r="L122" s="514"/>
      <c r="M122" s="515"/>
      <c r="N122" s="2519"/>
      <c r="O122" s="2519"/>
      <c r="P122" s="2511"/>
      <c r="Q122" s="2506"/>
      <c r="R122" s="2485"/>
      <c r="S122" s="2485"/>
      <c r="T122" s="2485"/>
      <c r="U122" s="2485"/>
      <c r="V122" s="2485"/>
      <c r="W122" s="2485"/>
      <c r="X122" s="2485"/>
      <c r="Y122" s="2485"/>
      <c r="Z122" s="2485"/>
      <c r="AA122" s="2485"/>
      <c r="AB122" s="2485"/>
      <c r="AC122" s="2485"/>
    </row>
    <row r="123" spans="1:29" ht="15.75" thickBot="1">
      <c r="A123" s="366"/>
      <c r="B123" s="473"/>
      <c r="C123" s="474">
        <v>100</v>
      </c>
      <c r="D123" s="474">
        <f t="shared" ref="D123:M123" si="30">C123-$K42</f>
        <v>98</v>
      </c>
      <c r="E123" s="474">
        <f t="shared" si="30"/>
        <v>96</v>
      </c>
      <c r="F123" s="474">
        <f t="shared" si="30"/>
        <v>94</v>
      </c>
      <c r="G123" s="474">
        <f t="shared" si="30"/>
        <v>92</v>
      </c>
      <c r="H123" s="474">
        <f t="shared" si="30"/>
        <v>90</v>
      </c>
      <c r="I123" s="474">
        <f t="shared" si="30"/>
        <v>88</v>
      </c>
      <c r="J123" s="474">
        <f t="shared" si="30"/>
        <v>86</v>
      </c>
      <c r="K123" s="474">
        <f t="shared" si="30"/>
        <v>84</v>
      </c>
      <c r="L123" s="474">
        <f t="shared" si="30"/>
        <v>82</v>
      </c>
      <c r="M123" s="475">
        <f t="shared" si="30"/>
        <v>80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19"/>
      <c r="O124" s="2519"/>
      <c r="P124" s="2512"/>
      <c r="Q124" s="2506"/>
      <c r="R124" s="2485"/>
      <c r="S124" s="2485"/>
      <c r="T124" s="2485"/>
      <c r="U124" s="2485"/>
      <c r="V124" s="2485"/>
      <c r="W124" s="2485"/>
      <c r="X124" s="2485"/>
      <c r="Y124" s="2485"/>
      <c r="Z124" s="2485"/>
      <c r="AA124" s="2485"/>
      <c r="AB124" s="2485"/>
      <c r="AC124" s="2485"/>
    </row>
    <row r="125" spans="1:29" ht="15.75" thickBot="1">
      <c r="A125" s="366"/>
      <c r="B125" s="473"/>
      <c r="C125" s="474">
        <v>100</v>
      </c>
      <c r="D125" s="474">
        <f>C125-$K43</f>
        <v>98</v>
      </c>
      <c r="E125" s="474">
        <f>D125-$K43</f>
        <v>96</v>
      </c>
      <c r="F125" s="474">
        <f>E125-$K43</f>
        <v>94</v>
      </c>
      <c r="G125" s="474">
        <f>F125-$K43</f>
        <v>92</v>
      </c>
      <c r="H125" s="474"/>
      <c r="I125" s="474"/>
      <c r="J125" s="474"/>
      <c r="K125" s="474"/>
      <c r="L125" s="474"/>
      <c r="M125" s="475"/>
      <c r="N125" s="2520"/>
      <c r="O125" s="2520"/>
      <c r="P125" s="2511"/>
      <c r="Q125" s="2506"/>
      <c r="R125" s="2485"/>
      <c r="S125" s="2485"/>
      <c r="T125" s="2485"/>
      <c r="U125" s="2485"/>
      <c r="V125" s="2485"/>
      <c r="W125" s="2485"/>
      <c r="X125" s="2485"/>
      <c r="Y125" s="2485"/>
      <c r="Z125" s="2485"/>
      <c r="AA125" s="2485"/>
      <c r="AB125" s="2485"/>
      <c r="AC125" s="2485"/>
    </row>
    <row r="126" spans="1:29" s="407" customFormat="1" ht="15" thickTop="1">
      <c r="A126" s="405"/>
      <c r="B126" s="468">
        <f>B44</f>
        <v>111</v>
      </c>
      <c r="C126" s="484"/>
      <c r="D126" s="484"/>
      <c r="E126" s="484"/>
      <c r="F126" s="484"/>
      <c r="G126" s="484"/>
      <c r="H126" s="485"/>
      <c r="I126" s="485"/>
      <c r="J126" s="485"/>
      <c r="K126" s="485"/>
      <c r="L126" s="486"/>
      <c r="M126" s="487"/>
      <c r="N126" s="2521"/>
      <c r="O126" s="2521"/>
      <c r="P126" s="2512"/>
      <c r="Q126" s="2513"/>
      <c r="R126" s="2491"/>
      <c r="S126" s="2491"/>
      <c r="T126" s="2491"/>
      <c r="U126" s="2491"/>
      <c r="V126" s="2491"/>
      <c r="W126" s="2491"/>
      <c r="X126" s="2491"/>
      <c r="Y126" s="2491"/>
      <c r="Z126" s="2491"/>
      <c r="AA126" s="2491"/>
      <c r="AB126" s="2491"/>
      <c r="AC126" s="2491"/>
    </row>
    <row r="127" spans="1:29" s="407" customFormat="1" ht="15.75" thickBot="1">
      <c r="A127" s="483"/>
      <c r="B127" s="473"/>
      <c r="C127" s="490"/>
      <c r="D127" s="466"/>
      <c r="E127" s="466"/>
      <c r="F127" s="466"/>
      <c r="G127" s="490"/>
      <c r="H127" s="492"/>
      <c r="I127" s="492"/>
      <c r="J127" s="492"/>
      <c r="K127" s="492"/>
      <c r="L127" s="492"/>
      <c r="M127" s="493"/>
      <c r="N127" s="2521"/>
      <c r="O127" s="2521"/>
      <c r="P127" s="2512"/>
      <c r="Q127" s="2513"/>
      <c r="R127" s="2491"/>
      <c r="S127" s="2491"/>
      <c r="T127" s="2491"/>
      <c r="U127" s="2491"/>
      <c r="V127" s="2491"/>
      <c r="W127" s="2491"/>
      <c r="X127" s="2491"/>
      <c r="Y127" s="2491"/>
      <c r="Z127" s="2491"/>
      <c r="AA127" s="2491"/>
      <c r="AB127" s="2491"/>
      <c r="AC127" s="2491"/>
    </row>
    <row r="128" spans="1:29" ht="15" thickTop="1">
      <c r="A128" s="408"/>
      <c r="B128" s="468">
        <f>B45</f>
        <v>111</v>
      </c>
      <c r="C128" s="484"/>
      <c r="D128" s="484"/>
      <c r="E128" s="484"/>
      <c r="F128" s="484"/>
      <c r="G128" s="512"/>
      <c r="H128" s="512"/>
      <c r="I128" s="512"/>
      <c r="J128" s="512"/>
      <c r="K128" s="513"/>
      <c r="L128" s="514"/>
      <c r="M128" s="515"/>
      <c r="N128" s="2519"/>
      <c r="O128" s="2519"/>
      <c r="P128" s="2511"/>
      <c r="Q128" s="2506"/>
      <c r="R128" s="2485"/>
      <c r="S128" s="2485"/>
      <c r="T128" s="2485"/>
      <c r="U128" s="2485"/>
      <c r="V128" s="2485"/>
      <c r="W128" s="2485"/>
      <c r="X128" s="2485"/>
      <c r="Y128" s="2485"/>
      <c r="Z128" s="2485"/>
      <c r="AA128" s="2485"/>
      <c r="AB128" s="2485"/>
      <c r="AC128" s="2485"/>
    </row>
    <row r="129" spans="1:29" ht="15.75" thickBot="1">
      <c r="A129" s="366"/>
      <c r="B129" s="473"/>
      <c r="C129" s="490"/>
      <c r="D129" s="466"/>
      <c r="E129" s="466"/>
      <c r="F129" s="466"/>
      <c r="G129" s="466"/>
      <c r="H129" s="466"/>
      <c r="I129" s="466"/>
      <c r="J129" s="466"/>
      <c r="K129" s="466"/>
      <c r="L129" s="466"/>
      <c r="M129" s="467"/>
      <c r="N129" s="2520"/>
      <c r="O129" s="2520"/>
      <c r="P129" s="2511"/>
      <c r="Q129" s="2506"/>
      <c r="R129" s="2485"/>
      <c r="S129" s="2485"/>
      <c r="T129" s="2485"/>
      <c r="U129" s="2485"/>
      <c r="V129" s="2485"/>
      <c r="W129" s="2485"/>
      <c r="X129" s="2485"/>
      <c r="Y129" s="2485"/>
      <c r="Z129" s="2485"/>
      <c r="AA129" s="2485"/>
      <c r="AB129" s="2485"/>
      <c r="AC129" s="2485"/>
    </row>
    <row r="130" spans="1:29" ht="15" thickTop="1">
      <c r="A130" s="408"/>
      <c r="B130" s="476">
        <f>B46</f>
        <v>111</v>
      </c>
      <c r="C130" s="484"/>
      <c r="D130" s="484"/>
      <c r="E130" s="484"/>
      <c r="F130" s="484"/>
      <c r="G130" s="516"/>
      <c r="H130" s="516"/>
      <c r="I130" s="516"/>
      <c r="J130" s="516"/>
      <c r="K130" s="31"/>
      <c r="L130" s="456"/>
      <c r="M130" s="519"/>
      <c r="N130" s="2519"/>
      <c r="O130" s="2519"/>
      <c r="P130" s="2511"/>
      <c r="Q130" s="2506"/>
      <c r="R130" s="2485"/>
      <c r="S130" s="2485"/>
      <c r="T130" s="2485"/>
      <c r="U130" s="2485"/>
      <c r="V130" s="2485"/>
      <c r="W130" s="2485"/>
      <c r="X130" s="2485"/>
      <c r="Y130" s="2485"/>
      <c r="Z130" s="2485"/>
      <c r="AA130" s="2485"/>
      <c r="AB130" s="2485"/>
      <c r="AC130" s="2485"/>
    </row>
    <row r="131" spans="1:29" ht="15.75" thickBot="1">
      <c r="A131" s="374"/>
      <c r="B131" s="499"/>
      <c r="C131" s="500"/>
      <c r="D131" s="500"/>
      <c r="E131" s="500"/>
      <c r="F131" s="500"/>
      <c r="G131" s="520"/>
      <c r="H131" s="520"/>
      <c r="I131" s="520"/>
      <c r="J131" s="520"/>
      <c r="K131" s="520"/>
      <c r="L131" s="520"/>
      <c r="M131" s="521"/>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41" priority="16" stopIfTrue="1">
      <formula>$F$52="超过30%"</formula>
    </cfRule>
  </conditionalFormatting>
  <conditionalFormatting sqref="E53">
    <cfRule type="expression" dxfId="140" priority="15" stopIfTrue="1">
      <formula>$F$53="超过20%"</formula>
    </cfRule>
  </conditionalFormatting>
  <conditionalFormatting sqref="E54">
    <cfRule type="expression" dxfId="139" priority="14" stopIfTrue="1">
      <formula>$F$54="超过30%"</formula>
    </cfRule>
  </conditionalFormatting>
  <conditionalFormatting sqref="F7:F46 H7:H46 J7:J46">
    <cfRule type="cellIs" dxfId="138" priority="1" operator="notEqual">
      <formula>100</formula>
    </cfRule>
  </conditionalFormatting>
  <conditionalFormatting sqref="F48">
    <cfRule type="expression" dxfId="137" priority="4">
      <formula>$D$48="简单平均"</formula>
    </cfRule>
  </conditionalFormatting>
  <conditionalFormatting sqref="F52:F54 H52:H54">
    <cfRule type="containsText" dxfId="136" priority="17" stopIfTrue="1" operator="containsText" text="超过">
      <formula>NOT(ISERROR(SEARCH("超过",F52)))</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G54">
    <cfRule type="expression" dxfId="133" priority="13" stopIfTrue="1">
      <formula>$H$54="超过30%"</formula>
    </cfRule>
  </conditionalFormatting>
  <conditionalFormatting sqref="H48">
    <cfRule type="expression" dxfId="132" priority="3">
      <formula>$D$48="简单平均"</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J48">
    <cfRule type="expression" dxfId="128" priority="2">
      <formula>$D$48="简单平均"</formula>
    </cfRule>
  </conditionalFormatting>
  <conditionalFormatting sqref="J52:J54">
    <cfRule type="containsText" dxfId="12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K39" sqref="K39"/>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673</v>
      </c>
      <c r="D1" s="1270" t="s">
        <v>43</v>
      </c>
      <c r="E1" s="1271" t="s">
        <v>678</v>
      </c>
      <c r="F1" s="998">
        <f ca="1">J53</f>
        <v>16.95</v>
      </c>
      <c r="G1" s="1285">
        <f>MATCH(C1,'数据-取费表'!A6:A16,0)+5</f>
        <v>6</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1">
        <f ca="1">ROUND(D2/10000,4)</f>
        <v>237.73509999999999</v>
      </c>
      <c r="C2" s="1288" t="s">
        <v>879</v>
      </c>
      <c r="D2" s="1374">
        <f ca="1">C40+J29+L46</f>
        <v>2377351</v>
      </c>
      <c r="E2" s="1294" t="s">
        <v>880</v>
      </c>
      <c r="F2" s="1295"/>
      <c r="G2" s="2476"/>
      <c r="H2" s="2466"/>
      <c r="I2" s="2466"/>
      <c r="J2" s="2466"/>
      <c r="K2" s="2467"/>
      <c r="L2" s="2466"/>
      <c r="M2" s="2466"/>
    </row>
    <row r="3" spans="1:37" ht="18" customHeight="1" thickBot="1">
      <c r="A3" s="1296" t="s">
        <v>881</v>
      </c>
      <c r="B3" s="1297">
        <f ca="1">IF(ISERROR(D2/F43),0,ROUND(D2/F43,0))</f>
        <v>10461</v>
      </c>
      <c r="C3" s="1288" t="s">
        <v>882</v>
      </c>
      <c r="D3" s="1288"/>
      <c r="E3" s="1294"/>
      <c r="F3" s="1295"/>
      <c r="G3" s="2476"/>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201811</v>
      </c>
      <c r="D5" s="1272" t="s">
        <v>889</v>
      </c>
      <c r="E5" s="1007"/>
      <c r="F5" s="1008"/>
      <c r="G5" s="1291"/>
      <c r="H5" s="290">
        <v>1</v>
      </c>
      <c r="I5" s="291" t="s">
        <v>888</v>
      </c>
      <c r="J5" s="1006">
        <f ca="1">J6+J10+J12</f>
        <v>0</v>
      </c>
      <c r="K5" s="1272" t="s">
        <v>889</v>
      </c>
      <c r="L5" s="1007"/>
      <c r="M5" s="1008"/>
    </row>
    <row r="6" spans="1:37" ht="18" customHeight="1">
      <c r="A6" s="1005" t="s">
        <v>398</v>
      </c>
      <c r="B6" s="3344" t="s">
        <v>694</v>
      </c>
      <c r="C6" s="1010">
        <f ca="1">ROUND(F6*F8*F7*(1-F9),0)</f>
        <v>201559</v>
      </c>
      <c r="D6" s="146" t="s">
        <v>2106</v>
      </c>
      <c r="E6" s="293" t="s">
        <v>696</v>
      </c>
      <c r="F6" s="294">
        <f ca="1">INDIRECT("'数据-取费表'!u"&amp;$G$1)</f>
        <v>2.7</v>
      </c>
      <c r="G6" s="1291"/>
      <c r="H6" s="1005" t="s">
        <v>398</v>
      </c>
      <c r="I6" s="3344" t="s">
        <v>694</v>
      </c>
      <c r="J6" s="292">
        <f ca="1">ROUND(M6*M8*M7*(1-M9),0)</f>
        <v>0</v>
      </c>
      <c r="K6" s="1283" t="s">
        <v>2107</v>
      </c>
      <c r="L6" s="293" t="s">
        <v>696</v>
      </c>
      <c r="M6" s="294">
        <f ca="1">INDIRECT("'数据-取费表'!z"&amp;$G$1)</f>
        <v>0</v>
      </c>
    </row>
    <row r="7" spans="1:37" ht="18" customHeight="1">
      <c r="A7" s="1009"/>
      <c r="B7" s="3345"/>
      <c r="C7" s="1011"/>
      <c r="D7" s="298"/>
      <c r="E7" s="1012" t="s">
        <v>697</v>
      </c>
      <c r="F7" s="294">
        <f ca="1">IF(INDIRECT("'数据-取费表'!ah"&amp;$G$1)="",INDIRECT("'数据-取费表'!k"&amp;$G$1),INDIRECT("'数据-取费表'!ah"&amp;$G$1))</f>
        <v>227.25</v>
      </c>
      <c r="G7" s="1291"/>
      <c r="H7" s="295"/>
      <c r="I7" s="3345"/>
      <c r="J7" s="297"/>
      <c r="K7" s="298"/>
      <c r="L7" s="293" t="s">
        <v>697</v>
      </c>
      <c r="M7" s="294">
        <f ca="1">F7</f>
        <v>227.25</v>
      </c>
    </row>
    <row r="8" spans="1:37" ht="18" customHeight="1">
      <c r="A8" s="295"/>
      <c r="B8" s="3345"/>
      <c r="C8" s="297"/>
      <c r="D8" s="298"/>
      <c r="E8" s="293" t="s">
        <v>698</v>
      </c>
      <c r="F8" s="294">
        <f ca="1">INDIRECT("'数据-取费表'!ai"&amp;$G$1)</f>
        <v>365</v>
      </c>
      <c r="G8" s="1291"/>
      <c r="H8" s="295"/>
      <c r="I8" s="3345"/>
      <c r="J8" s="297"/>
      <c r="K8" s="298"/>
      <c r="L8" s="293" t="s">
        <v>698</v>
      </c>
      <c r="M8" s="294">
        <f ca="1">INDIRECT("'数据-取费表'!ai"&amp;$G$1)</f>
        <v>365</v>
      </c>
    </row>
    <row r="9" spans="1:37" ht="18" customHeight="1">
      <c r="A9" s="295"/>
      <c r="B9" s="3346"/>
      <c r="C9" s="297"/>
      <c r="D9" s="298"/>
      <c r="E9" s="293" t="s">
        <v>699</v>
      </c>
      <c r="F9" s="303">
        <f ca="1">INDIRECT("'数据-取费表'!w"&amp;$G$1)</f>
        <v>0.1</v>
      </c>
      <c r="G9" s="1291"/>
      <c r="H9" s="295"/>
      <c r="I9" s="3346"/>
      <c r="J9" s="297"/>
      <c r="K9" s="298"/>
      <c r="L9" s="304" t="s">
        <v>699</v>
      </c>
      <c r="M9" s="305">
        <f ca="1">INDIRECT("'数据-取费表'!ab"&amp;$G$1)</f>
        <v>0</v>
      </c>
    </row>
    <row r="10" spans="1:37" ht="18" customHeight="1">
      <c r="A10" s="1005" t="s">
        <v>402</v>
      </c>
      <c r="B10" s="1273" t="s">
        <v>700</v>
      </c>
      <c r="C10" s="307">
        <f ca="1">ROUND(IF(F10="押一",C6/12*F11,IF(F10="押二",C6/12*2*F11,IF(F10="押三",C6/12*3*F11,C11*F11))),0)</f>
        <v>252</v>
      </c>
      <c r="D10" s="149" t="s">
        <v>2116</v>
      </c>
      <c r="E10" s="304" t="s">
        <v>701</v>
      </c>
      <c r="F10" s="1052" t="s">
        <v>3468</v>
      </c>
      <c r="G10" s="1291"/>
      <c r="H10" s="1005" t="s">
        <v>402</v>
      </c>
      <c r="I10" s="1273" t="s">
        <v>700</v>
      </c>
      <c r="J10" s="292">
        <f ca="1">ROUND(IF(M10="押一",J6/12*M11,IF(M10="押二",J6/12*2*M11,IF(M10="押三",J6/12*3*M11,J11*M11))),0)</f>
        <v>0</v>
      </c>
      <c r="K10" s="1284" t="s">
        <v>2118</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726132</v>
      </c>
      <c r="D13" s="1017" t="s">
        <v>705</v>
      </c>
      <c r="E13" s="1017" t="s">
        <v>706</v>
      </c>
      <c r="F13" s="1018">
        <f ca="1">INDIRECT("'数据-取费表'!y"&amp;$G$1)</f>
        <v>0.73</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681750</v>
      </c>
      <c r="D14" s="1256" t="s">
        <v>708</v>
      </c>
      <c r="E14" s="1254"/>
      <c r="F14" s="310"/>
      <c r="G14" s="1291"/>
      <c r="H14" s="927" t="s">
        <v>398</v>
      </c>
      <c r="I14" s="293" t="s">
        <v>709</v>
      </c>
      <c r="J14" s="21">
        <f ca="1">C29</f>
        <v>994701</v>
      </c>
      <c r="K14" s="12"/>
      <c r="L14" s="758"/>
      <c r="M14" s="759"/>
    </row>
    <row r="15" spans="1:37" s="1303" customFormat="1" ht="18" customHeight="1" thickBot="1">
      <c r="A15" s="927" t="s">
        <v>399</v>
      </c>
      <c r="B15" s="293" t="s">
        <v>710</v>
      </c>
      <c r="C15" s="21">
        <f ca="1">ROUND(C14*F15,0)</f>
        <v>20453</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4974</v>
      </c>
      <c r="K16" s="1023" t="s">
        <v>715</v>
      </c>
      <c r="L16" s="1024"/>
      <c r="M16" s="1008"/>
    </row>
    <row r="17" spans="1:37" s="1303" customFormat="1" ht="18" customHeight="1">
      <c r="A17" s="927" t="s">
        <v>681</v>
      </c>
      <c r="B17" s="293" t="s">
        <v>716</v>
      </c>
      <c r="C17" s="21">
        <f ca="1">ROUND(F17*(F43+INDIRECT("'数据-取费表'!S"&amp;$G$1)),0)</f>
        <v>45450</v>
      </c>
      <c r="D17" s="293" t="s">
        <v>717</v>
      </c>
      <c r="E17" s="293" t="s">
        <v>718</v>
      </c>
      <c r="F17" s="23">
        <f>'数据-取费表'!B35</f>
        <v>200</v>
      </c>
      <c r="G17" s="1302"/>
      <c r="H17" s="927" t="s">
        <v>398</v>
      </c>
      <c r="I17" s="293"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13635</v>
      </c>
      <c r="D18" s="293" t="s">
        <v>711</v>
      </c>
      <c r="E18" s="293" t="s">
        <v>712</v>
      </c>
      <c r="F18" s="313">
        <f>'数据-取费表'!B36</f>
        <v>0.02</v>
      </c>
      <c r="G18" s="1302"/>
      <c r="H18" s="927" t="s">
        <v>397</v>
      </c>
      <c r="I18" s="293" t="s">
        <v>723</v>
      </c>
      <c r="J18" s="21">
        <f ca="1">ROUND(J6*M18/(1+'数据-取费表'!C42),0)</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761288</v>
      </c>
      <c r="D19" s="122" t="s">
        <v>726</v>
      </c>
      <c r="E19" s="1268"/>
      <c r="F19" s="23"/>
      <c r="G19" s="1291"/>
      <c r="H19" s="927" t="s">
        <v>399</v>
      </c>
      <c r="I19" s="293" t="s">
        <v>727</v>
      </c>
      <c r="J19" s="21">
        <f ca="1">IF(K19="按租金收入计税",ROUND(J6*M19/(1+'数据-取费表'!C42),0),ROUND(C29*M19*0.7,0))</f>
        <v>0</v>
      </c>
      <c r="K19" s="1277" t="s">
        <v>3338</v>
      </c>
      <c r="L19" s="293" t="s">
        <v>712</v>
      </c>
      <c r="M19" s="313">
        <f>IF(K19="按租金收入计税",'数据-取费表'!B51,'数据-取费表'!B50)</f>
        <v>0.12</v>
      </c>
    </row>
    <row r="20" spans="1:37" s="1303" customFormat="1" ht="18" customHeight="1">
      <c r="A20" s="927" t="s">
        <v>402</v>
      </c>
      <c r="B20" s="293" t="s">
        <v>728</v>
      </c>
      <c r="C20" s="21">
        <f ca="1">ROUND(C19*F20,0)</f>
        <v>15226</v>
      </c>
      <c r="D20" s="314" t="s">
        <v>729</v>
      </c>
      <c r="E20" s="293" t="s">
        <v>712</v>
      </c>
      <c r="F20" s="313">
        <f>'数据-取费表'!B37</f>
        <v>0.02</v>
      </c>
      <c r="G20" s="1302"/>
      <c r="H20" s="927" t="s">
        <v>680</v>
      </c>
      <c r="I20" s="146" t="s">
        <v>730</v>
      </c>
      <c r="J20" s="22">
        <f ca="1">ROUND(M20*M21,0)</f>
        <v>0</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ROUND(J14*M22,0)</f>
        <v>4974</v>
      </c>
      <c r="K22" s="1255" t="s">
        <v>739</v>
      </c>
      <c r="L22" s="293" t="s">
        <v>712</v>
      </c>
      <c r="M22" s="319">
        <f ca="1">INDIRECT("'数据-取费表'!Ak"&amp;$G$1)</f>
        <v>5.0000000000000001E-3</v>
      </c>
    </row>
    <row r="23" spans="1:37" s="1303" customFormat="1" ht="18" customHeight="1">
      <c r="A23" s="927" t="s">
        <v>397</v>
      </c>
      <c r="B23" s="293" t="s">
        <v>740</v>
      </c>
      <c r="C23" s="21">
        <f ca="1">IF('数据-取费表'!B22&lt;=1,ROUND(C19*F24*F23/2,0)+ROUND(C20*F24*F23/2,0),ROUND(C19*(POWER((1+F24),F23/2)-1),0)+ROUND(C20*(POWER((1+F24),F23/2)-1),0))</f>
        <v>26013</v>
      </c>
      <c r="D23" s="137" t="str">
        <f>IF(F23&lt;=1,"(建造成本+管理费用)×利率×(建设周期÷2)","(建造成本+管理费用)×((1+利率)^(建设周期÷2)-1)")</f>
        <v>(建造成本+管理费用)×((1+利率)^(建设周期÷2)-1)</v>
      </c>
      <c r="E23" s="293" t="s">
        <v>741</v>
      </c>
      <c r="F23" s="316">
        <f>'数据-取费表'!B20</f>
        <v>2</v>
      </c>
      <c r="G23" s="1302"/>
      <c r="H23" s="927" t="s">
        <v>437</v>
      </c>
      <c r="I23" s="293" t="s">
        <v>742</v>
      </c>
      <c r="J23" s="21">
        <f ca="1">ROUND(J13*M23,0)</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6.9999999999999999E-4</v>
      </c>
      <c r="D24" s="137" t="str">
        <f>IF(F23&lt;=1,"销售费用×利率×(建设周期÷2)","销售费用×((1+利率)^(建设周期÷2)-1)")</f>
        <v>销售费用×((1+利率)^(建设周期÷2)-1)</v>
      </c>
      <c r="E24" s="293" t="s">
        <v>747</v>
      </c>
      <c r="F24" s="321">
        <f ca="1">'数据-取费表'!B40</f>
        <v>3.3500000000000002E-2</v>
      </c>
      <c r="G24" s="1302"/>
      <c r="H24" s="1025" t="s">
        <v>684</v>
      </c>
      <c r="I24" s="1026" t="s">
        <v>728</v>
      </c>
      <c r="J24" s="1027">
        <f ca="1">ROUND(J5*M24,0)</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-4974</v>
      </c>
      <c r="K25" s="1031" t="s">
        <v>753</v>
      </c>
      <c r="L25" s="1032"/>
      <c r="M25" s="1033"/>
    </row>
    <row r="26" spans="1:37" ht="18" customHeight="1">
      <c r="A26" s="927" t="s">
        <v>397</v>
      </c>
      <c r="B26" s="293" t="s">
        <v>754</v>
      </c>
      <c r="C26" s="21">
        <f ca="1">ROUND((C19+C20)*F26,0)</f>
        <v>116477</v>
      </c>
      <c r="D26" s="314" t="s">
        <v>755</v>
      </c>
      <c r="E26" s="304" t="s">
        <v>756</v>
      </c>
      <c r="F26" s="303">
        <f ca="1">INDIRECT("'数据-取费表'!q"&amp;$G$1)</f>
        <v>0.15</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3.0000000000000001E-3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994701</v>
      </c>
      <c r="D29" s="1028"/>
      <c r="E29" s="1026"/>
      <c r="F29" s="1029"/>
      <c r="G29" s="1302"/>
      <c r="H29" s="324" t="s">
        <v>396</v>
      </c>
      <c r="I29" s="325" t="s">
        <v>768</v>
      </c>
      <c r="J29" s="326">
        <f ca="1">ROUND(J26/(1+F40)^F41,0)</f>
        <v>0</v>
      </c>
      <c r="K29" s="327" t="s">
        <v>769</v>
      </c>
      <c r="L29" s="328"/>
      <c r="M29" s="329">
        <f ca="1">INDIRECT("'数据-取费表'!k"&amp;$G$1)</f>
        <v>227.25</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20146</v>
      </c>
      <c r="D30" s="1023" t="s">
        <v>715</v>
      </c>
      <c r="E30" s="1024"/>
      <c r="F30" s="1008"/>
      <c r="G30" s="1291"/>
      <c r="H30" s="2468"/>
      <c r="I30" s="1304"/>
      <c r="J30" s="1305"/>
      <c r="K30" s="120"/>
      <c r="L30" s="2469"/>
      <c r="M30" s="2470"/>
    </row>
    <row r="31" spans="1:37" ht="18" customHeight="1">
      <c r="A31" s="927" t="s">
        <v>398</v>
      </c>
      <c r="B31" s="293" t="s">
        <v>719</v>
      </c>
      <c r="C31" s="2139">
        <f ca="1">ROUND(IF(AND(项目基本情况!B11="自然人",项目基本情况!B10="北京市"),C6*F31/(1+'数据-取费表'!C42),C32+C33+C34),0)</f>
        <v>13437</v>
      </c>
      <c r="D31" s="1256" t="s">
        <v>720</v>
      </c>
      <c r="E31" s="1255" t="s">
        <v>770</v>
      </c>
      <c r="F31" s="2138">
        <f ca="1">IF(项目基本情况!B11="企业","——",IF(M47="住宅",IF(F6*F7*F8/12/(1+'数据-取费表'!F30)&gt;100000,4%,2.5%),IF(F6*F7*F8/12/(1+'数据-取费表'!F30)&gt;100000,12%,7%)))</f>
        <v>7.0000000000000007E-2</v>
      </c>
      <c r="G31" s="1291"/>
      <c r="H31" s="2567" t="s">
        <v>2308</v>
      </c>
      <c r="I31" s="1304"/>
      <c r="J31" s="1305"/>
      <c r="K31" s="120"/>
      <c r="L31" s="2469"/>
      <c r="M31" s="2470"/>
    </row>
    <row r="32" spans="1:37" ht="18" customHeight="1">
      <c r="A32" s="927" t="s">
        <v>397</v>
      </c>
      <c r="B32" s="293" t="s">
        <v>723</v>
      </c>
      <c r="C32" s="21" t="str">
        <f>IF(项目基本情况!B11="自然人","——",ROUND(C6*F32/(1+'数据-取费表'!C42),0))</f>
        <v>——</v>
      </c>
      <c r="D32" s="1255" t="s">
        <v>724</v>
      </c>
      <c r="E32" s="293" t="s">
        <v>712</v>
      </c>
      <c r="F32" s="321">
        <f>'数据-取费表'!B41</f>
        <v>5.5000000000000007E-2</v>
      </c>
      <c r="G32" s="1291"/>
      <c r="H32" s="2468"/>
      <c r="I32" s="1304"/>
      <c r="J32" s="1305"/>
      <c r="K32" s="120"/>
      <c r="L32" s="2469"/>
      <c r="M32" s="2470"/>
    </row>
    <row r="33" spans="1:18" ht="18" customHeight="1">
      <c r="A33" s="927" t="s">
        <v>399</v>
      </c>
      <c r="B33" s="293" t="s">
        <v>727</v>
      </c>
      <c r="C33" s="21" t="str">
        <f ca="1">IF(项目基本情况!B11="自然人","——",IF(D33="按租金收入计税",ROUND(C6*F33/(1+'数据-取费表'!C42),0),IF(D33="按房产原值计税",ROUND(C29*F33*0.7,0),INDIRECT("'数据-取费表'!Aj"&amp;$G$1))))</f>
        <v>——</v>
      </c>
      <c r="D33" s="1277" t="s">
        <v>3338</v>
      </c>
      <c r="E33" s="293" t="s">
        <v>712</v>
      </c>
      <c r="F33" s="313">
        <f>IF(D33="按票据","——",IF(D33="按租金收入计税",'数据-取费表'!B51,'数据-取费表'!B50))</f>
        <v>0.12</v>
      </c>
      <c r="G33" s="1291"/>
      <c r="H33" s="2471"/>
      <c r="I33" s="1304"/>
      <c r="J33" s="1305"/>
      <c r="K33" s="2472"/>
      <c r="L33" s="2471"/>
      <c r="M33" s="2471"/>
    </row>
    <row r="34" spans="1:18" ht="18" customHeight="1">
      <c r="A34" s="1005" t="s">
        <v>680</v>
      </c>
      <c r="B34" s="146" t="s">
        <v>730</v>
      </c>
      <c r="C34" s="22" t="str">
        <f>IF(项目基本情况!B11="自然人","——",ROUND(F34*F35,0))</f>
        <v>——</v>
      </c>
      <c r="D34" s="315" t="s">
        <v>731</v>
      </c>
      <c r="E34" s="293" t="s">
        <v>732</v>
      </c>
      <c r="F34" s="316">
        <f>'数据-取费表'!B52</f>
        <v>1.5</v>
      </c>
      <c r="G34" s="1291"/>
      <c r="H34" s="2468"/>
      <c r="I34" s="1304"/>
      <c r="J34" s="1305"/>
      <c r="K34" s="2473"/>
      <c r="L34" s="2474"/>
      <c r="M34" s="2474"/>
    </row>
    <row r="35" spans="1:18" ht="18" customHeight="1">
      <c r="A35" s="1039"/>
      <c r="B35" s="1037"/>
      <c r="C35" s="26"/>
      <c r="D35" s="318"/>
      <c r="E35" s="293" t="s">
        <v>736</v>
      </c>
      <c r="F35" s="294">
        <f ca="1">INDIRECT("'数据-取费表'!r"&amp;$G$1)</f>
        <v>0</v>
      </c>
      <c r="G35" s="1291"/>
      <c r="H35" s="2468"/>
      <c r="I35" s="1304"/>
      <c r="J35" s="1305"/>
      <c r="K35" s="2472"/>
      <c r="L35" s="2471"/>
      <c r="M35" s="2471"/>
    </row>
    <row r="36" spans="1:18" ht="18" customHeight="1">
      <c r="A36" s="1038" t="s">
        <v>402</v>
      </c>
      <c r="B36" s="293" t="s">
        <v>738</v>
      </c>
      <c r="C36" s="21">
        <f ca="1">ROUND(C29*F36,0)</f>
        <v>4974</v>
      </c>
      <c r="D36" s="1255" t="s">
        <v>771</v>
      </c>
      <c r="E36" s="293" t="s">
        <v>712</v>
      </c>
      <c r="F36" s="319">
        <f ca="1">INDIRECT("'数据-取费表'!Ak"&amp;$G$1)</f>
        <v>5.0000000000000001E-3</v>
      </c>
      <c r="G36" s="1291"/>
      <c r="H36" s="2471"/>
      <c r="I36" s="1304"/>
      <c r="J36" s="1305"/>
      <c r="K36" s="2329"/>
      <c r="L36" s="2471"/>
      <c r="M36" s="2471"/>
    </row>
    <row r="37" spans="1:18" ht="18" customHeight="1">
      <c r="A37" s="927" t="s">
        <v>437</v>
      </c>
      <c r="B37" s="293" t="s">
        <v>742</v>
      </c>
      <c r="C37" s="21">
        <f ca="1">ROUND(C13*F37,0)</f>
        <v>726</v>
      </c>
      <c r="D37" s="1255" t="s">
        <v>743</v>
      </c>
      <c r="E37" s="293" t="s">
        <v>744</v>
      </c>
      <c r="F37" s="320">
        <f ca="1">INDIRECT("'数据-取费表'!Al"&amp;$G$1)</f>
        <v>1E-3</v>
      </c>
      <c r="G37" s="1291"/>
      <c r="H37" s="2471"/>
      <c r="I37" s="1304"/>
      <c r="J37" s="1305"/>
      <c r="K37" s="2329"/>
      <c r="L37" s="2471"/>
      <c r="M37" s="2471"/>
    </row>
    <row r="38" spans="1:18" ht="18" customHeight="1" thickBot="1">
      <c r="A38" s="1025" t="s">
        <v>684</v>
      </c>
      <c r="B38" s="1026" t="s">
        <v>728</v>
      </c>
      <c r="C38" s="1027">
        <f ca="1">ROUND(C5*F38,0)</f>
        <v>1009</v>
      </c>
      <c r="D38" s="1028" t="s">
        <v>748</v>
      </c>
      <c r="E38" s="1026" t="s">
        <v>744</v>
      </c>
      <c r="F38" s="1022">
        <f ca="1">INDIRECT("'数据-取费表'!Am"&amp;$G$1)</f>
        <v>5.0000000000000001E-3</v>
      </c>
      <c r="G38" s="1291"/>
      <c r="H38" s="2471">
        <f ca="1">C39/C5</f>
        <v>0.90017392510814576</v>
      </c>
      <c r="I38" s="1304"/>
      <c r="J38" s="1305"/>
      <c r="K38" s="2469"/>
      <c r="L38" s="2471"/>
      <c r="M38" s="2471"/>
    </row>
    <row r="39" spans="1:18" ht="24.6" customHeight="1" thickTop="1">
      <c r="A39" s="1015" t="s">
        <v>394</v>
      </c>
      <c r="B39" s="1030" t="s">
        <v>772</v>
      </c>
      <c r="C39" s="301">
        <f ca="1">C5-C30</f>
        <v>181665</v>
      </c>
      <c r="D39" s="1031" t="s">
        <v>773</v>
      </c>
      <c r="E39" s="1032"/>
      <c r="F39" s="1033"/>
      <c r="G39" s="1291"/>
      <c r="H39" s="2471"/>
      <c r="I39" s="1304"/>
      <c r="J39" s="1305"/>
      <c r="K39" s="2469"/>
      <c r="L39" s="2471"/>
      <c r="M39" s="2471"/>
    </row>
    <row r="40" spans="1:18" ht="18" customHeight="1">
      <c r="A40" s="290" t="s">
        <v>395</v>
      </c>
      <c r="B40" s="291" t="s">
        <v>774</v>
      </c>
      <c r="C40" s="292">
        <f ca="1">ROUND(C39*(1-((1+F42)/(1+F40))^F41)/(F40-F42),0)</f>
        <v>2260568</v>
      </c>
      <c r="D40" s="315" t="s">
        <v>758</v>
      </c>
      <c r="E40" s="293" t="s">
        <v>759</v>
      </c>
      <c r="F40" s="303">
        <f ca="1">INDIRECT("'数据-取费表'!I"&amp;$G$1)</f>
        <v>5.5E-2</v>
      </c>
      <c r="G40" s="1291"/>
      <c r="H40" s="1365"/>
      <c r="I40" s="1304"/>
      <c r="J40" s="1305"/>
      <c r="K40" s="2469"/>
      <c r="L40" s="1365"/>
      <c r="M40" s="1365"/>
    </row>
    <row r="41" spans="1:18" ht="18" customHeight="1">
      <c r="A41" s="295"/>
      <c r="B41" s="296"/>
      <c r="C41" s="297"/>
      <c r="D41" s="322" t="s">
        <v>775</v>
      </c>
      <c r="E41" s="293" t="s">
        <v>763</v>
      </c>
      <c r="F41" s="323">
        <f ca="1">IF(INDIRECT("'数据-取费表'!af"&amp;$G$1)=0,INDIRECT("'数据-取费表'!ae"&amp;$G$1),INDIRECT("'数据-取费表'!af"&amp;$G$1))</f>
        <v>16.95</v>
      </c>
      <c r="G41" s="1291"/>
      <c r="H41" s="120"/>
      <c r="I41" s="1304"/>
      <c r="J41" s="1305"/>
      <c r="K41" s="2329"/>
      <c r="L41" s="120"/>
      <c r="M41" s="120"/>
    </row>
    <row r="42" spans="1:18" ht="18" customHeight="1">
      <c r="A42" s="299"/>
      <c r="B42" s="300"/>
      <c r="C42" s="301"/>
      <c r="D42" s="318"/>
      <c r="E42" s="293" t="s">
        <v>766</v>
      </c>
      <c r="F42" s="303">
        <f ca="1">INDIRECT("'数据-取费表'!v"&amp;$G$1)</f>
        <v>0.02</v>
      </c>
      <c r="G42" s="1291"/>
      <c r="H42" s="120"/>
      <c r="I42" s="1304"/>
      <c r="J42" s="1305"/>
      <c r="K42" s="2329"/>
      <c r="L42" s="120"/>
      <c r="M42" s="120"/>
    </row>
    <row r="43" spans="1:18" ht="18" customHeight="1" thickBot="1">
      <c r="A43" s="324" t="s">
        <v>396</v>
      </c>
      <c r="B43" s="325" t="s">
        <v>776</v>
      </c>
      <c r="C43" s="326">
        <f ca="1">ROUND(C40/F43,0)</f>
        <v>9947</v>
      </c>
      <c r="D43" s="327" t="s">
        <v>777</v>
      </c>
      <c r="E43" s="328" t="s">
        <v>778</v>
      </c>
      <c r="F43" s="329">
        <f ca="1">INDIRECT("'数据-取费表'!k"&amp;$G$1)</f>
        <v>227.25</v>
      </c>
      <c r="G43" s="1291"/>
      <c r="H43" s="120"/>
      <c r="I43" s="120"/>
      <c r="J43" s="120"/>
      <c r="K43" s="2329"/>
      <c r="L43" s="120"/>
      <c r="M43" s="120"/>
    </row>
    <row r="44" spans="1:18" s="1291" customFormat="1" ht="18" customHeight="1">
      <c r="A44" s="1306"/>
      <c r="B44" s="1306"/>
      <c r="C44" s="1307"/>
      <c r="D44" s="1306"/>
      <c r="E44" s="1306"/>
      <c r="F44" s="1306"/>
      <c r="K44" s="1308"/>
    </row>
    <row r="45" spans="1:18" s="1291" customFormat="1" ht="18" customHeight="1" thickBot="1">
      <c r="A45" s="3127" t="s">
        <v>3354</v>
      </c>
      <c r="B45" s="1306"/>
      <c r="C45" s="1375">
        <f ca="1">ROUND((C68-C40)/10000,4)</f>
        <v>-232.23840000000001</v>
      </c>
      <c r="D45" s="3128" t="s">
        <v>3355</v>
      </c>
      <c r="E45" s="1306"/>
      <c r="F45" s="1306"/>
      <c r="O45" s="1309" t="s">
        <v>808</v>
      </c>
      <c r="P45" s="1365"/>
      <c r="Q45" s="1365"/>
      <c r="R45" s="1365"/>
    </row>
    <row r="46" spans="1:18" s="1291" customFormat="1" ht="13.5" thickBot="1">
      <c r="A46" s="1310" t="s">
        <v>809</v>
      </c>
      <c r="C46" s="1311">
        <f ca="1">ROUND(C45,0)</f>
        <v>-232</v>
      </c>
      <c r="D46" s="1312" t="str">
        <f>C2</f>
        <v>万元</v>
      </c>
      <c r="I46" s="1313" t="s">
        <v>810</v>
      </c>
      <c r="J46" s="1314"/>
      <c r="K46" s="1315"/>
      <c r="L46" s="1316">
        <f ca="1">IF(M47="住宅",0,IF(L48&gt;J51,L60,J60))</f>
        <v>116783</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t="s">
        <v>3469</v>
      </c>
      <c r="K47" s="1322" t="s">
        <v>816</v>
      </c>
      <c r="L47" s="1323">
        <f ca="1">INDIRECT("'数据-取费表'!d"&amp;$G$1)</f>
        <v>40</v>
      </c>
      <c r="M47" s="1287" t="str">
        <f>IF(ISNUMBER(FIND("住宅",C1)),"住宅","非住宅")</f>
        <v>非住宅</v>
      </c>
      <c r="O47" s="1324" t="s">
        <v>403</v>
      </c>
      <c r="P47" s="1325" t="s">
        <v>817</v>
      </c>
      <c r="Q47" s="1326">
        <f ca="1">C40+J29</f>
        <v>2260568</v>
      </c>
      <c r="R47" s="1326" t="s">
        <v>818</v>
      </c>
    </row>
    <row r="48" spans="1:18" s="1291" customFormat="1" ht="28.5" thickBot="1">
      <c r="A48" s="1046" t="s">
        <v>438</v>
      </c>
      <c r="B48" s="291" t="s">
        <v>692</v>
      </c>
      <c r="C48" s="1267">
        <f ca="1">C49+C53+C55</f>
        <v>0</v>
      </c>
      <c r="D48" s="1048"/>
      <c r="E48" s="1049"/>
      <c r="F48" s="907"/>
      <c r="G48" s="680"/>
      <c r="H48" s="681"/>
      <c r="I48" s="1327" t="s">
        <v>819</v>
      </c>
      <c r="J48" s="1328" t="s">
        <v>3470</v>
      </c>
      <c r="K48" s="1329" t="s">
        <v>820</v>
      </c>
      <c r="L48" s="1330">
        <f ca="1">INDIRECT("'数据-取费表'!f"&amp;$G$1)</f>
        <v>16.95</v>
      </c>
      <c r="O48" s="1324" t="s">
        <v>404</v>
      </c>
      <c r="P48" s="1325" t="s">
        <v>821</v>
      </c>
      <c r="Q48" s="1326">
        <f ca="1">J60</f>
        <v>116783</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3495">
        <f>'数据-取费表'!L20</f>
        <v>2002</v>
      </c>
      <c r="K49" s="1329" t="s">
        <v>824</v>
      </c>
      <c r="L49" s="1332"/>
      <c r="O49" s="1333" t="s">
        <v>405</v>
      </c>
      <c r="P49" s="1325" t="s">
        <v>825</v>
      </c>
      <c r="Q49" s="1326">
        <f ca="1">C29</f>
        <v>994701</v>
      </c>
      <c r="R49" s="1326" t="s">
        <v>818</v>
      </c>
    </row>
    <row r="50" spans="1:18" s="1291" customFormat="1" ht="13.5" thickBot="1">
      <c r="A50" s="921"/>
      <c r="B50" s="924"/>
      <c r="C50" s="925"/>
      <c r="D50" s="898"/>
      <c r="E50" s="992" t="s">
        <v>697</v>
      </c>
      <c r="F50" s="993">
        <f ca="1">F7</f>
        <v>227.25</v>
      </c>
      <c r="H50" s="681"/>
      <c r="I50" s="1327" t="s">
        <v>826</v>
      </c>
      <c r="J50" s="1334">
        <f>SUMPRODUCT((I63:I65=J47)*(J62:L62=J48)*(J63:L65))</f>
        <v>50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4">
        <f ca="1">F8</f>
        <v>365</v>
      </c>
      <c r="I51" s="1337" t="s">
        <v>829</v>
      </c>
      <c r="J51" s="1330">
        <f>IF(J49="",J50,J49+J50-YEAR('数据-取费表'!B2))</f>
        <v>28</v>
      </c>
      <c r="K51" s="1338" t="s">
        <v>830</v>
      </c>
      <c r="L51" s="1339">
        <f ca="1">ROUND(-PV(INDIRECT("'数据-取费表'!h"&amp;$G$1),J51,(C39-C13*C76),0),0)</f>
        <v>1949208</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16.95</v>
      </c>
      <c r="R52" s="1326" t="s">
        <v>835</v>
      </c>
    </row>
    <row r="53" spans="1:18" s="1291" customFormat="1" ht="30.75" customHeight="1" thickBot="1">
      <c r="A53" s="1047" t="s">
        <v>440</v>
      </c>
      <c r="B53" s="314" t="s">
        <v>700</v>
      </c>
      <c r="C53" s="307">
        <f ca="1">ROUND(IF(F53="押一",C49/12*F11,IF(F53="押二",C49/12*2*F11,IF(F53="押三",C49/12*3*F11,C54*F11))),0)</f>
        <v>0</v>
      </c>
      <c r="D53" s="149" t="s">
        <v>2119</v>
      </c>
      <c r="E53" s="304" t="s">
        <v>701</v>
      </c>
      <c r="F53" s="1052"/>
      <c r="I53" s="1343" t="s">
        <v>836</v>
      </c>
      <c r="J53" s="2005">
        <f ca="1">IF(M47="住宅",IF(D1="——",MAX(J51,L48),MAX(J51,L48-'数据-取费表'!B24)),IF(D1="——",MIN(J51,L48),MIN(J51,L48-'数据-取费表'!B24)))</f>
        <v>16.95</v>
      </c>
      <c r="K53" s="3342" t="s">
        <v>837</v>
      </c>
      <c r="L53" s="3343"/>
      <c r="O53" s="1324" t="s">
        <v>409</v>
      </c>
      <c r="P53" s="1325" t="s">
        <v>838</v>
      </c>
      <c r="Q53" s="1326">
        <f ca="1">Q47+Q48</f>
        <v>2377351</v>
      </c>
      <c r="R53" s="1326" t="s">
        <v>410</v>
      </c>
    </row>
    <row r="54" spans="1:18" s="1291" customFormat="1" ht="13.5"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f ca="1">ROUND(IF(J47="钢混",J57/J50,1-(1-2%)*(J50-J57)/J50),3)</f>
        <v>0.23699999999999999</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726132</v>
      </c>
      <c r="D56" s="1351"/>
      <c r="E56" s="1352"/>
      <c r="F56" s="1344"/>
      <c r="I56" s="1353" t="s">
        <v>842</v>
      </c>
      <c r="J56" s="1354" t="s">
        <v>3400</v>
      </c>
      <c r="K56" s="1327" t="s">
        <v>843</v>
      </c>
      <c r="L56" s="1330" t="str">
        <f ca="1">IF(L48&lt;J51,"——",L48-J51)</f>
        <v>——</v>
      </c>
      <c r="O56" s="1324" t="s">
        <v>403</v>
      </c>
      <c r="P56" s="1325" t="s">
        <v>817</v>
      </c>
      <c r="Q56" s="1326">
        <f ca="1">C40+J29</f>
        <v>2260568</v>
      </c>
      <c r="R56" s="1326" t="s">
        <v>818</v>
      </c>
    </row>
    <row r="57" spans="1:18" s="1291" customFormat="1" ht="24.75" thickBot="1">
      <c r="A57" s="1355"/>
      <c r="B57" s="895" t="s">
        <v>767</v>
      </c>
      <c r="C57" s="229">
        <f ca="1">C29</f>
        <v>994701</v>
      </c>
      <c r="D57" s="1356"/>
      <c r="E57" s="1357"/>
      <c r="F57" s="1358"/>
      <c r="I57" s="1359" t="s">
        <v>844</v>
      </c>
      <c r="J57" s="1360">
        <f ca="1">IF(OR(M47="住宅",J51&lt;L48,J56="是"),"——",J51-L48)</f>
        <v>11.05</v>
      </c>
      <c r="K57" s="1327" t="s">
        <v>892</v>
      </c>
      <c r="L57" s="1330" t="str">
        <f ca="1">IF(L48&lt;J51,"——",IF(L55="比较法",L49,IF(L55="基准地价",L50,L51)))</f>
        <v>——</v>
      </c>
      <c r="O57" s="1324" t="s">
        <v>404</v>
      </c>
      <c r="P57" s="1325" t="s">
        <v>893</v>
      </c>
      <c r="Q57" s="1326">
        <f ca="1">L60</f>
        <v>0</v>
      </c>
      <c r="R57" s="1326" t="s">
        <v>894</v>
      </c>
    </row>
    <row r="58" spans="1:18" s="1291" customFormat="1" ht="24.75" thickBot="1">
      <c r="A58" s="306" t="s">
        <v>393</v>
      </c>
      <c r="B58" s="903" t="s">
        <v>714</v>
      </c>
      <c r="C58" s="307">
        <f ca="1">ROUND(C59+C64+C65+C66,0)</f>
        <v>5700</v>
      </c>
      <c r="D58" s="905" t="s">
        <v>715</v>
      </c>
      <c r="E58" s="906"/>
      <c r="F58" s="907"/>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f ca="1">IF(OR(M47="住宅",J51&lt;L48,J56="是"),"——",ROUND(C29*J58,0))</f>
        <v>397880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t="str">
        <f>IF(项目基本情况!B11="自然人","——",ROUND(C48*F60/(1+'数据-取费表'!C42),0))</f>
        <v>——</v>
      </c>
      <c r="D60" s="909" t="s">
        <v>724</v>
      </c>
      <c r="E60" s="895" t="s">
        <v>712</v>
      </c>
      <c r="F60" s="321">
        <f t="shared" ref="F60:F66" si="0">F32</f>
        <v>5.5000000000000007E-2</v>
      </c>
      <c r="I60" s="1362" t="s">
        <v>853</v>
      </c>
      <c r="J60" s="1363">
        <f ca="1">IF(OR(M47="住宅",J51&lt;L48,J56="是"),"0",ROUND(J59/(1+J52)^J53,0))</f>
        <v>116783</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t="str">
        <f ca="1">IF(项目基本情况!B11="自然人","——",IF(D61="按租金收入计税",ROUND(C49*F61/(1+'数据-取费表'!C42),0),IF(D61="按房产原值计税",ROUND(C57*F61*0.7,0),INDIRECT("'数据-取费表'!Aj"&amp;$G$1))))</f>
        <v>——</v>
      </c>
      <c r="D61" s="1277" t="s">
        <v>3338</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t="str">
        <f>IF(项目基本情况!B11="自然人","——",ROUND(F62*F63,0))</f>
        <v>——</v>
      </c>
      <c r="D62" s="910" t="s">
        <v>786</v>
      </c>
      <c r="E62" s="895" t="s">
        <v>787</v>
      </c>
      <c r="F62" s="316">
        <f t="shared" si="0"/>
        <v>1.5</v>
      </c>
      <c r="I62" s="1366" t="s">
        <v>858</v>
      </c>
      <c r="J62" s="609" t="s">
        <v>859</v>
      </c>
      <c r="K62" s="609" t="s">
        <v>860</v>
      </c>
      <c r="L62" s="609" t="s">
        <v>861</v>
      </c>
      <c r="M62" s="1367" t="s">
        <v>862</v>
      </c>
      <c r="O62" s="1324" t="s">
        <v>409</v>
      </c>
      <c r="P62" s="1325" t="s">
        <v>863</v>
      </c>
      <c r="Q62" s="1326">
        <f ca="1">Q56+Q57</f>
        <v>2260568</v>
      </c>
      <c r="R62" s="1326" t="s">
        <v>410</v>
      </c>
    </row>
    <row r="63" spans="1:18" s="1291" customFormat="1" ht="13.5"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ROUND(C57*F64,0)</f>
        <v>4974</v>
      </c>
      <c r="D64" s="909" t="s">
        <v>791</v>
      </c>
      <c r="E64" s="895" t="s">
        <v>783</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ROUND(C56*F65,0)</f>
        <v>726</v>
      </c>
      <c r="D65" s="909" t="s">
        <v>743</v>
      </c>
      <c r="E65" s="895" t="s">
        <v>744</v>
      </c>
      <c r="F65" s="320">
        <f t="shared" ca="1" si="0"/>
        <v>1E-3</v>
      </c>
      <c r="I65" s="1366" t="s">
        <v>867</v>
      </c>
      <c r="J65" s="609">
        <v>40</v>
      </c>
      <c r="K65" s="609">
        <v>30</v>
      </c>
      <c r="L65" s="609">
        <v>50</v>
      </c>
      <c r="M65" s="1368">
        <v>0.02</v>
      </c>
      <c r="O65" s="1324" t="s">
        <v>403</v>
      </c>
      <c r="P65" s="1325" t="s">
        <v>868</v>
      </c>
      <c r="Q65" s="1326">
        <f ca="1">C40+J29</f>
        <v>2260568</v>
      </c>
      <c r="R65" s="1326" t="s">
        <v>818</v>
      </c>
    </row>
    <row r="66" spans="1:18" s="1291" customFormat="1" ht="16.5" thickBot="1">
      <c r="A66" s="927" t="s">
        <v>793</v>
      </c>
      <c r="B66" s="895" t="s">
        <v>728</v>
      </c>
      <c r="C66" s="21">
        <f ca="1">ROUND(C48*F66,0)</f>
        <v>0</v>
      </c>
      <c r="D66" s="909" t="s">
        <v>794</v>
      </c>
      <c r="E66" s="895" t="s">
        <v>712</v>
      </c>
      <c r="F66" s="303">
        <f t="shared" ca="1" si="0"/>
        <v>5.0000000000000001E-3</v>
      </c>
      <c r="O66" s="1324" t="s">
        <v>404</v>
      </c>
      <c r="P66" s="1325" t="s">
        <v>846</v>
      </c>
      <c r="Q66" s="1326">
        <f ca="1">L60</f>
        <v>0</v>
      </c>
      <c r="R66" s="1326" t="s">
        <v>869</v>
      </c>
    </row>
    <row r="67" spans="1:18" s="1291" customFormat="1" ht="16.5" thickBot="1">
      <c r="A67" s="902" t="s">
        <v>394</v>
      </c>
      <c r="B67" s="912" t="s">
        <v>752</v>
      </c>
      <c r="C67" s="307">
        <f ca="1">C48-C58</f>
        <v>-5700</v>
      </c>
      <c r="D67" s="908" t="s">
        <v>753</v>
      </c>
      <c r="E67" s="913"/>
      <c r="F67" s="914"/>
      <c r="O67" s="1333" t="s">
        <v>405</v>
      </c>
      <c r="P67" s="1325" t="s">
        <v>850</v>
      </c>
      <c r="Q67" s="1369">
        <f ca="1">L51</f>
        <v>1949208</v>
      </c>
      <c r="R67" s="1326" t="s">
        <v>870</v>
      </c>
    </row>
    <row r="68" spans="1:18" s="1291" customFormat="1" ht="16.5" thickBot="1">
      <c r="A68" s="892" t="s">
        <v>395</v>
      </c>
      <c r="B68" s="893" t="s">
        <v>774</v>
      </c>
      <c r="C68" s="292">
        <f ca="1">ROUND(C67*(1-((1+F70)/(1+F68))^F69)/(F68-F70),0)</f>
        <v>-61816</v>
      </c>
      <c r="D68" s="910" t="s">
        <v>758</v>
      </c>
      <c r="E68" s="895" t="s">
        <v>759</v>
      </c>
      <c r="F68" s="303">
        <f ca="1">F40</f>
        <v>5.5E-2</v>
      </c>
      <c r="O68" s="1333" t="s">
        <v>406</v>
      </c>
      <c r="P68" s="1370" t="s">
        <v>871</v>
      </c>
      <c r="Q68" s="1326">
        <f ca="1">ROUND(Q69-Q70*Q71,0)</f>
        <v>130836</v>
      </c>
      <c r="R68" s="1326" t="s">
        <v>414</v>
      </c>
    </row>
    <row r="69" spans="1:18" s="1291" customFormat="1" ht="13.5" thickBot="1">
      <c r="A69" s="896"/>
      <c r="B69" s="897"/>
      <c r="C69" s="297"/>
      <c r="D69" s="915" t="s">
        <v>762</v>
      </c>
      <c r="E69" s="895" t="s">
        <v>763</v>
      </c>
      <c r="F69" s="323">
        <f ca="1">F41</f>
        <v>16.95</v>
      </c>
      <c r="O69" s="1333" t="s">
        <v>411</v>
      </c>
      <c r="P69" s="1370" t="s">
        <v>872</v>
      </c>
      <c r="Q69" s="1326">
        <f ca="1">C39</f>
        <v>181665</v>
      </c>
      <c r="R69" s="1326" t="s">
        <v>818</v>
      </c>
    </row>
    <row r="70" spans="1:18" s="1291" customFormat="1" ht="13.5" thickBot="1">
      <c r="A70" s="899"/>
      <c r="B70" s="900"/>
      <c r="C70" s="301"/>
      <c r="D70" s="911"/>
      <c r="E70" s="895" t="s">
        <v>766</v>
      </c>
      <c r="F70" s="990"/>
      <c r="O70" s="1333" t="s">
        <v>412</v>
      </c>
      <c r="P70" s="1370" t="s">
        <v>873</v>
      </c>
      <c r="Q70" s="1326">
        <f ca="1">C13</f>
        <v>726132</v>
      </c>
      <c r="R70" s="1326" t="s">
        <v>818</v>
      </c>
    </row>
    <row r="71" spans="1:18" s="1291" customFormat="1" ht="13.5" thickBot="1">
      <c r="A71" s="916" t="s">
        <v>396</v>
      </c>
      <c r="B71" s="917" t="s">
        <v>776</v>
      </c>
      <c r="C71" s="326">
        <f ca="1">ROUND(C68/F71,0)</f>
        <v>-272</v>
      </c>
      <c r="D71" s="918" t="s">
        <v>777</v>
      </c>
      <c r="E71" s="919" t="s">
        <v>778</v>
      </c>
      <c r="F71" s="329">
        <f ca="1">F43</f>
        <v>227.25</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50829</v>
      </c>
      <c r="D75" s="1291"/>
      <c r="E75" s="1291"/>
      <c r="F75" s="1291"/>
      <c r="K75" s="1308"/>
      <c r="L75" s="1291"/>
      <c r="O75" s="1324" t="s">
        <v>409</v>
      </c>
      <c r="P75" s="1325" t="s">
        <v>838</v>
      </c>
      <c r="Q75" s="1326">
        <f ca="1">Q65+Q66</f>
        <v>2260568</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0.72</v>
      </c>
    </row>
    <row r="80" spans="1:18">
      <c r="B80" s="330" t="s">
        <v>800</v>
      </c>
      <c r="C80" s="265">
        <f ca="1">ROUND(C75/C39,3)</f>
        <v>0.28000000000000003</v>
      </c>
    </row>
    <row r="81" spans="2:3">
      <c r="B81" s="261" t="s">
        <v>801</v>
      </c>
      <c r="C81" s="229"/>
    </row>
    <row r="82" spans="2:3">
      <c r="B82" s="264" t="s">
        <v>802</v>
      </c>
      <c r="C82" s="266">
        <f ca="1">1-C83</f>
        <v>0.67900000000000005</v>
      </c>
    </row>
    <row r="83" spans="2:3">
      <c r="B83" s="264" t="s">
        <v>803</v>
      </c>
      <c r="C83" s="265">
        <f ca="1">ROUND(C13/C40,3)</f>
        <v>0.32100000000000001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15" zoomScale="85" zoomScaleNormal="70" zoomScaleSheetLayoutView="85" workbookViewId="0">
      <selection activeCell="K39" sqref="K39"/>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1766</v>
      </c>
      <c r="C1" s="1154" t="s">
        <v>1662</v>
      </c>
      <c r="D1" s="1141" t="s">
        <v>673</v>
      </c>
      <c r="E1" s="3122" t="s">
        <v>3412</v>
      </c>
      <c r="F1" s="1734" t="s">
        <v>3472</v>
      </c>
      <c r="G1" s="1151" t="s">
        <v>1663</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685</v>
      </c>
      <c r="B2" s="1084">
        <f>IF(E1="项目模式",IF(C2="——",ROUND(C49*D3/10000,0),ROUND(C49*D3/10000,0)-D2),IF(E1="单套模式",IF(C2="——",ROUND(C49*D3/10000,4),ROUND(C49*D3/10000,4)-D2)))</f>
        <v>6.1400000000000003E-2</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1"/>
      <c r="M2" s="2502"/>
      <c r="N2" s="2502"/>
      <c r="O2" s="2502"/>
      <c r="P2" s="1803"/>
      <c r="Q2" s="858"/>
      <c r="R2" s="858"/>
      <c r="S2" s="858"/>
      <c r="T2" s="858"/>
      <c r="U2" s="858"/>
      <c r="V2" s="858"/>
      <c r="W2" s="858"/>
      <c r="X2" s="858"/>
      <c r="Y2" s="858"/>
      <c r="Z2" s="858"/>
      <c r="AA2" s="858"/>
      <c r="AB2" s="858"/>
      <c r="AC2" s="1804"/>
    </row>
    <row r="3" spans="1:29" s="341" customFormat="1" ht="28.5" customHeight="1" thickBot="1">
      <c r="A3" s="194" t="s">
        <v>686</v>
      </c>
      <c r="B3" s="535">
        <f>IF(C2="——",C49,ROUND(B2*10000/D3,0))</f>
        <v>2.7</v>
      </c>
      <c r="C3" s="343" t="s">
        <v>1665</v>
      </c>
      <c r="D3" s="342">
        <f>IF(D1="",'数据-汇总表'!E3,SUMIF('数据-汇总表'!$C19:$C33,D1,'数据-汇总表'!$E19:$E33))</f>
        <v>227.25</v>
      </c>
      <c r="E3" s="1804"/>
      <c r="F3" s="855"/>
      <c r="G3" s="854"/>
      <c r="H3" s="854"/>
      <c r="I3" s="854"/>
      <c r="J3" s="854"/>
      <c r="K3" s="856"/>
      <c r="L3" s="2501"/>
      <c r="M3" s="2502"/>
      <c r="N3" s="2502"/>
      <c r="O3" s="2502"/>
      <c r="P3" s="1803"/>
      <c r="Q3" s="858"/>
      <c r="R3" s="858"/>
      <c r="S3" s="858"/>
      <c r="T3" s="858"/>
      <c r="U3" s="858"/>
      <c r="V3" s="858"/>
      <c r="W3" s="858"/>
      <c r="X3" s="858"/>
      <c r="Y3" s="858"/>
      <c r="Z3" s="858"/>
      <c r="AA3" s="858"/>
      <c r="AB3" s="858"/>
      <c r="AC3" s="1804"/>
    </row>
    <row r="4" spans="1:29" ht="15">
      <c r="A4" s="344" t="s">
        <v>1666</v>
      </c>
      <c r="B4" s="345"/>
      <c r="C4" s="3365" t="s">
        <v>1667</v>
      </c>
      <c r="D4" s="3366"/>
      <c r="E4" s="3367" t="s">
        <v>1668</v>
      </c>
      <c r="F4" s="3368"/>
      <c r="G4" s="3365" t="s">
        <v>1669</v>
      </c>
      <c r="H4" s="3366"/>
      <c r="I4" s="3365" t="s">
        <v>1670</v>
      </c>
      <c r="J4" s="3366"/>
      <c r="K4" s="536" t="s">
        <v>1671</v>
      </c>
      <c r="L4" s="2484"/>
      <c r="M4" s="2485"/>
      <c r="N4" s="2485"/>
      <c r="O4" s="2485"/>
      <c r="P4" s="3369" t="s">
        <v>1672</v>
      </c>
      <c r="Q4" s="3370"/>
      <c r="R4" s="3375" t="s">
        <v>1668</v>
      </c>
      <c r="S4" s="3376"/>
      <c r="T4" s="3375" t="s">
        <v>1669</v>
      </c>
      <c r="U4" s="3376"/>
      <c r="V4" s="3348" t="s">
        <v>1670</v>
      </c>
      <c r="W4" s="3348"/>
      <c r="X4" s="1264"/>
      <c r="Y4" s="3375" t="s">
        <v>1672</v>
      </c>
      <c r="Z4" s="3376"/>
      <c r="AA4" s="3362" t="s">
        <v>1668</v>
      </c>
      <c r="AB4" s="3348" t="s">
        <v>1669</v>
      </c>
      <c r="AC4" s="3362" t="s">
        <v>1670</v>
      </c>
    </row>
    <row r="5" spans="1:29" ht="15">
      <c r="A5" s="347"/>
      <c r="B5" s="348"/>
      <c r="C5" s="3383" t="s">
        <v>1673</v>
      </c>
      <c r="D5" s="3384"/>
      <c r="E5" s="3392" t="s">
        <v>3473</v>
      </c>
      <c r="F5" s="3391"/>
      <c r="G5" s="3393" t="s">
        <v>3474</v>
      </c>
      <c r="H5" s="3384"/>
      <c r="I5" s="3393" t="s">
        <v>3475</v>
      </c>
      <c r="J5" s="3384"/>
      <c r="K5" s="536"/>
      <c r="L5" s="2484"/>
      <c r="M5" s="2485"/>
      <c r="N5" s="2485"/>
      <c r="O5" s="2485"/>
      <c r="P5" s="3371"/>
      <c r="Q5" s="3372"/>
      <c r="R5" s="3377"/>
      <c r="S5" s="3378"/>
      <c r="T5" s="3377"/>
      <c r="U5" s="3378"/>
      <c r="V5" s="3348"/>
      <c r="W5" s="3348"/>
      <c r="X5" s="1264"/>
      <c r="Y5" s="3377"/>
      <c r="Z5" s="3378"/>
      <c r="AA5" s="3363"/>
      <c r="AB5" s="3348"/>
      <c r="AC5" s="3363"/>
    </row>
    <row r="6" spans="1:29" ht="15.75" thickBot="1">
      <c r="A6" s="349"/>
      <c r="B6" s="350"/>
      <c r="C6" s="3381" t="s">
        <v>1677</v>
      </c>
      <c r="D6" s="3382"/>
      <c r="E6" s="3388" t="s">
        <v>1677</v>
      </c>
      <c r="F6" s="3389"/>
      <c r="G6" s="3381" t="s">
        <v>1677</v>
      </c>
      <c r="H6" s="3382"/>
      <c r="I6" s="3381" t="s">
        <v>1677</v>
      </c>
      <c r="J6" s="3382"/>
      <c r="K6" s="536" t="s">
        <v>1678</v>
      </c>
      <c r="L6" s="2484"/>
      <c r="M6" s="2485"/>
      <c r="N6" s="2485"/>
      <c r="O6" s="2485"/>
      <c r="P6" s="3373"/>
      <c r="Q6" s="3374"/>
      <c r="R6" s="3377"/>
      <c r="S6" s="3378"/>
      <c r="T6" s="3379"/>
      <c r="U6" s="3380"/>
      <c r="V6" s="3348"/>
      <c r="W6" s="3348"/>
      <c r="X6" s="1264"/>
      <c r="Y6" s="3379"/>
      <c r="Z6" s="3380"/>
      <c r="AA6" s="3364"/>
      <c r="AB6" s="3348"/>
      <c r="AC6" s="3364"/>
    </row>
    <row r="7" spans="1:29" s="101" customFormat="1" ht="15.75" thickBot="1">
      <c r="A7" s="351" t="s">
        <v>1679</v>
      </c>
      <c r="B7" s="352"/>
      <c r="C7" s="353">
        <f>'数据-取费表'!B2</f>
        <v>45580</v>
      </c>
      <c r="D7" s="354">
        <v>100</v>
      </c>
      <c r="E7" s="355">
        <v>45566</v>
      </c>
      <c r="F7" s="356">
        <f>SUMIF(58:58,YEAR(E7)&amp;"-"&amp;MONTH(E7),59:59)</f>
        <v>100</v>
      </c>
      <c r="G7" s="355">
        <v>45566</v>
      </c>
      <c r="H7" s="354">
        <f>SUMIF(58:58,YEAR(G7)&amp;"-"&amp;MONTH(G7),59:59)</f>
        <v>100</v>
      </c>
      <c r="I7" s="355">
        <v>45566</v>
      </c>
      <c r="J7" s="354">
        <f>SUMIF(58:58,YEAR(I7)&amp;"-"&amp;MONTH(I7),59:59)</f>
        <v>100</v>
      </c>
      <c r="K7" s="38"/>
      <c r="L7" s="2486"/>
      <c r="M7" s="2438"/>
      <c r="N7" s="2438"/>
      <c r="O7" s="2438"/>
      <c r="P7" s="3385" t="s">
        <v>1680</v>
      </c>
      <c r="Q7" s="3387"/>
      <c r="R7" s="663" t="s">
        <v>14</v>
      </c>
      <c r="S7" s="664">
        <f t="shared" ref="S7:S15" si="0">F7</f>
        <v>100</v>
      </c>
      <c r="T7" s="663" t="s">
        <v>14</v>
      </c>
      <c r="U7" s="664">
        <f t="shared" ref="U7:U15" si="1">H7</f>
        <v>100</v>
      </c>
      <c r="V7" s="663" t="s">
        <v>14</v>
      </c>
      <c r="W7" s="664">
        <f t="shared" ref="W7:W15" si="2">J7</f>
        <v>100</v>
      </c>
      <c r="X7" s="665"/>
      <c r="Y7" s="3385" t="s">
        <v>1680</v>
      </c>
      <c r="Z7" s="3386"/>
      <c r="AA7" s="50">
        <f>D7/F7</f>
        <v>1</v>
      </c>
      <c r="AB7" s="50">
        <f>D7/H7</f>
        <v>1</v>
      </c>
      <c r="AC7" s="50">
        <f>D7/J7</f>
        <v>1</v>
      </c>
    </row>
    <row r="8" spans="1:29" s="101" customFormat="1" ht="15.75" thickBot="1">
      <c r="A8" s="351" t="s">
        <v>1681</v>
      </c>
      <c r="B8" s="352"/>
      <c r="C8" s="357" t="s">
        <v>3419</v>
      </c>
      <c r="D8" s="354">
        <v>100</v>
      </c>
      <c r="E8" s="357" t="s">
        <v>3420</v>
      </c>
      <c r="F8" s="356">
        <f>SUMIF(61:61,E8,62:62)-SUMIF(61:61,C8,62:62)+100</f>
        <v>102</v>
      </c>
      <c r="G8" s="357" t="s">
        <v>3420</v>
      </c>
      <c r="H8" s="354">
        <f>SUMIF(61:61,G8,62:62)-SUMIF(61:61,C8,62:62)+100</f>
        <v>102</v>
      </c>
      <c r="I8" s="357" t="s">
        <v>3420</v>
      </c>
      <c r="J8" s="354">
        <f>SUMIF(61:61,I8,62:62)-SUMIF(61:61,C8,62:62)+100</f>
        <v>102</v>
      </c>
      <c r="K8" s="38"/>
      <c r="L8" s="2486"/>
      <c r="M8" s="2438"/>
      <c r="N8" s="2438"/>
      <c r="O8" s="2438"/>
      <c r="P8" s="3385" t="s">
        <v>1683</v>
      </c>
      <c r="Q8" s="3386"/>
      <c r="R8" s="663" t="s">
        <v>14</v>
      </c>
      <c r="S8" s="664">
        <f t="shared" si="0"/>
        <v>102</v>
      </c>
      <c r="T8" s="663" t="s">
        <v>14</v>
      </c>
      <c r="U8" s="664">
        <f t="shared" si="1"/>
        <v>102</v>
      </c>
      <c r="V8" s="663" t="s">
        <v>14</v>
      </c>
      <c r="W8" s="664">
        <f t="shared" si="2"/>
        <v>102</v>
      </c>
      <c r="X8" s="665"/>
      <c r="Y8" s="3385" t="s">
        <v>1683</v>
      </c>
      <c r="Z8" s="3386"/>
      <c r="AA8" s="50">
        <f t="shared" ref="AA8:AA46" si="3">D8/F8</f>
        <v>0.98039215686274506</v>
      </c>
      <c r="AB8" s="50">
        <f t="shared" ref="AB8:AB46" si="4">D8/H8</f>
        <v>0.98039215686274506</v>
      </c>
      <c r="AC8" s="50">
        <f t="shared" ref="AC8:AC46" si="5">D8/J8</f>
        <v>0.98039215686274506</v>
      </c>
    </row>
    <row r="9" spans="1:29" s="101" customFormat="1">
      <c r="A9" s="358" t="s">
        <v>1684</v>
      </c>
      <c r="B9" s="60" t="s">
        <v>1685</v>
      </c>
      <c r="C9" s="3147" t="s">
        <v>3422</v>
      </c>
      <c r="D9" s="59">
        <v>100</v>
      </c>
      <c r="E9" s="360" t="s">
        <v>673</v>
      </c>
      <c r="F9" s="60">
        <f>SUMIF(63:63,E9,64:64)-SUMIF(63:63,C9,64:64)+100</f>
        <v>100</v>
      </c>
      <c r="G9" s="360" t="s">
        <v>673</v>
      </c>
      <c r="H9" s="59">
        <f>SUMIF(63:63,G9,64:64)-SUMIF(63:63,C9,64:64)+100</f>
        <v>100</v>
      </c>
      <c r="I9" s="360" t="s">
        <v>673</v>
      </c>
      <c r="J9" s="59">
        <f>SUMIF(63:63,I9,64:64)-SUMIF(63:63,C9,64:64)+100</f>
        <v>100</v>
      </c>
      <c r="K9" s="38"/>
      <c r="L9" s="2486"/>
      <c r="M9" s="2438"/>
      <c r="N9" s="2438"/>
      <c r="O9" s="2438"/>
      <c r="P9" s="3361" t="s">
        <v>1686</v>
      </c>
      <c r="Q9" s="529" t="str">
        <f t="shared" ref="Q9:Q15" si="6">B9</f>
        <v>用途</v>
      </c>
      <c r="R9" s="663" t="s">
        <v>14</v>
      </c>
      <c r="S9" s="664">
        <f t="shared" si="0"/>
        <v>100</v>
      </c>
      <c r="T9" s="663" t="s">
        <v>14</v>
      </c>
      <c r="U9" s="664">
        <f t="shared" si="1"/>
        <v>100</v>
      </c>
      <c r="V9" s="663" t="s">
        <v>14</v>
      </c>
      <c r="W9" s="664">
        <f t="shared" si="2"/>
        <v>100</v>
      </c>
      <c r="X9" s="665"/>
      <c r="Y9" s="3246" t="s">
        <v>1687</v>
      </c>
      <c r="Z9" s="50" t="str">
        <f t="shared" ref="Z9:Z15" si="7">Q9</f>
        <v>用途</v>
      </c>
      <c r="AA9" s="50">
        <f t="shared" si="3"/>
        <v>1</v>
      </c>
      <c r="AB9" s="50">
        <f t="shared" si="4"/>
        <v>1</v>
      </c>
      <c r="AC9" s="50">
        <f t="shared" si="5"/>
        <v>1</v>
      </c>
    </row>
    <row r="10" spans="1:29" s="365" customFormat="1" ht="27">
      <c r="A10" s="362"/>
      <c r="B10" s="363" t="s">
        <v>1688</v>
      </c>
      <c r="C10" s="3130"/>
      <c r="D10" s="118">
        <v>100</v>
      </c>
      <c r="E10" s="3131"/>
      <c r="F10" s="363">
        <f>SUMIF(65:65,E10,66:66)-SUMIF(65:65,C10,66:66)+100</f>
        <v>100</v>
      </c>
      <c r="G10" s="3130"/>
      <c r="H10" s="118">
        <f>SUMIF(65:65,G10,66:66)-SUMIF(65:65,C10,66:66)+100</f>
        <v>100</v>
      </c>
      <c r="I10" s="3130"/>
      <c r="J10" s="118">
        <f>SUMIF(65:65,I10,66:66)-SUMIF(65:65,C10,66:66)+100</f>
        <v>100</v>
      </c>
      <c r="K10" s="38"/>
      <c r="L10" s="2487"/>
      <c r="M10" s="2488"/>
      <c r="N10" s="2488"/>
      <c r="O10" s="2488"/>
      <c r="P10" s="3361"/>
      <c r="Q10" s="529" t="str">
        <f t="shared" si="6"/>
        <v>土地使用年限（年）</v>
      </c>
      <c r="R10" s="663" t="s">
        <v>14</v>
      </c>
      <c r="S10" s="664">
        <f t="shared" si="0"/>
        <v>100</v>
      </c>
      <c r="T10" s="663" t="s">
        <v>14</v>
      </c>
      <c r="U10" s="664">
        <f t="shared" si="1"/>
        <v>100</v>
      </c>
      <c r="V10" s="663" t="s">
        <v>14</v>
      </c>
      <c r="W10" s="664">
        <f t="shared" si="2"/>
        <v>100</v>
      </c>
      <c r="X10" s="665"/>
      <c r="Y10" s="3246"/>
      <c r="Z10" s="50" t="str">
        <f t="shared" si="7"/>
        <v>土地使用年限（年）</v>
      </c>
      <c r="AA10" s="50">
        <f t="shared" si="3"/>
        <v>1</v>
      </c>
      <c r="AB10" s="50">
        <f t="shared" si="4"/>
        <v>1</v>
      </c>
      <c r="AC10" s="50">
        <f t="shared" si="5"/>
        <v>1</v>
      </c>
    </row>
    <row r="11" spans="1:29" ht="15">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537"/>
      <c r="L11" s="2489"/>
      <c r="M11" s="2485"/>
      <c r="N11" s="2485"/>
      <c r="O11" s="2485"/>
      <c r="P11" s="3361"/>
      <c r="Q11" s="529" t="str">
        <f t="shared" si="6"/>
        <v>容积率</v>
      </c>
      <c r="R11" s="663" t="s">
        <v>14</v>
      </c>
      <c r="S11" s="664">
        <f t="shared" si="0"/>
        <v>100</v>
      </c>
      <c r="T11" s="663" t="s">
        <v>14</v>
      </c>
      <c r="U11" s="664">
        <f t="shared" si="1"/>
        <v>100</v>
      </c>
      <c r="V11" s="663" t="s">
        <v>14</v>
      </c>
      <c r="W11" s="664">
        <f t="shared" si="2"/>
        <v>100</v>
      </c>
      <c r="X11" s="665"/>
      <c r="Y11" s="3246"/>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6"/>
      <c r="M12" s="2438"/>
      <c r="N12" s="2438"/>
      <c r="O12" s="2438"/>
      <c r="P12" s="3361"/>
      <c r="Q12" s="529">
        <f t="shared" si="6"/>
        <v>111</v>
      </c>
      <c r="R12" s="663" t="s">
        <v>14</v>
      </c>
      <c r="S12" s="664">
        <f t="shared" si="0"/>
        <v>100</v>
      </c>
      <c r="T12" s="663" t="s">
        <v>14</v>
      </c>
      <c r="U12" s="664">
        <f t="shared" si="1"/>
        <v>100</v>
      </c>
      <c r="V12" s="663" t="s">
        <v>14</v>
      </c>
      <c r="W12" s="664">
        <f t="shared" si="2"/>
        <v>100</v>
      </c>
      <c r="X12" s="665"/>
      <c r="Y12" s="3246"/>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0"/>
      <c r="M13" s="2485"/>
      <c r="N13" s="2485"/>
      <c r="O13" s="2485"/>
      <c r="P13" s="3361"/>
      <c r="Q13" s="529">
        <f t="shared" si="6"/>
        <v>111</v>
      </c>
      <c r="R13" s="663" t="s">
        <v>14</v>
      </c>
      <c r="S13" s="664">
        <f t="shared" si="0"/>
        <v>100</v>
      </c>
      <c r="T13" s="663" t="s">
        <v>14</v>
      </c>
      <c r="U13" s="664">
        <f t="shared" si="1"/>
        <v>100</v>
      </c>
      <c r="V13" s="663" t="s">
        <v>14</v>
      </c>
      <c r="W13" s="664">
        <f t="shared" si="2"/>
        <v>100</v>
      </c>
      <c r="X13" s="665"/>
      <c r="Y13" s="3246"/>
      <c r="Z13" s="50">
        <f t="shared" si="7"/>
        <v>111</v>
      </c>
      <c r="AA13" s="50">
        <f t="shared" si="3"/>
        <v>1</v>
      </c>
      <c r="AB13" s="50">
        <f t="shared" si="4"/>
        <v>1</v>
      </c>
      <c r="AC13" s="50">
        <f t="shared" si="5"/>
        <v>1</v>
      </c>
    </row>
    <row r="14" spans="1:29" ht="15.75"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90"/>
      <c r="M14" s="2485"/>
      <c r="N14" s="2485"/>
      <c r="O14" s="2485"/>
      <c r="P14" s="3361"/>
      <c r="Q14" s="529">
        <f t="shared" si="6"/>
        <v>111</v>
      </c>
      <c r="R14" s="663" t="s">
        <v>14</v>
      </c>
      <c r="S14" s="664">
        <f t="shared" si="0"/>
        <v>100</v>
      </c>
      <c r="T14" s="663" t="s">
        <v>14</v>
      </c>
      <c r="U14" s="664">
        <f t="shared" si="1"/>
        <v>100</v>
      </c>
      <c r="V14" s="663" t="s">
        <v>14</v>
      </c>
      <c r="W14" s="664">
        <f t="shared" si="2"/>
        <v>100</v>
      </c>
      <c r="X14" s="665"/>
      <c r="Y14" s="3246"/>
      <c r="Z14" s="50">
        <f t="shared" si="7"/>
        <v>111</v>
      </c>
      <c r="AA14" s="50">
        <f t="shared" si="3"/>
        <v>1</v>
      </c>
      <c r="AB14" s="50">
        <f t="shared" si="4"/>
        <v>1</v>
      </c>
      <c r="AC14" s="50">
        <f t="shared" si="5"/>
        <v>1</v>
      </c>
    </row>
    <row r="15" spans="1:29" ht="71.25">
      <c r="A15" s="378" t="s">
        <v>1690</v>
      </c>
      <c r="B15" s="58" t="s">
        <v>1777</v>
      </c>
      <c r="C15" s="1749" t="str">
        <f>估价对象房地状况!C4</f>
        <v>估价对象位于XX商圈，周边商业氛围成熟，人流量大，商业繁华度好</v>
      </c>
      <c r="D15" s="379">
        <v>100</v>
      </c>
      <c r="E15" s="380"/>
      <c r="F15" s="381">
        <f>SUMIF(76:76,E16,77:77)-SUMIF(76:76,C16,77:77)+100</f>
        <v>100</v>
      </c>
      <c r="G15" s="382"/>
      <c r="H15" s="379">
        <f>SUMIF(76:76,G16,77:77)-SUMIF(76:76,C16,77:77)+100</f>
        <v>98</v>
      </c>
      <c r="I15" s="380"/>
      <c r="J15" s="379">
        <f>SUMIF(76:76,I16,77:77)-SUMIF(76:76,C16,77:77)+100</f>
        <v>100</v>
      </c>
      <c r="K15" s="539">
        <v>2</v>
      </c>
      <c r="L15" s="2490"/>
      <c r="M15" s="2485"/>
      <c r="N15" s="2485"/>
      <c r="O15" s="2485"/>
      <c r="P15" s="3352" t="s">
        <v>1691</v>
      </c>
      <c r="Q15" s="1262" t="str">
        <f t="shared" si="6"/>
        <v>商业繁华度</v>
      </c>
      <c r="R15" s="666" t="s">
        <v>14</v>
      </c>
      <c r="S15" s="667">
        <f t="shared" si="0"/>
        <v>100</v>
      </c>
      <c r="T15" s="666" t="s">
        <v>14</v>
      </c>
      <c r="U15" s="667">
        <f t="shared" si="1"/>
        <v>98</v>
      </c>
      <c r="V15" s="666" t="s">
        <v>14</v>
      </c>
      <c r="W15" s="667">
        <f t="shared" si="2"/>
        <v>100</v>
      </c>
      <c r="X15" s="1264"/>
      <c r="Y15" s="3354" t="s">
        <v>1691</v>
      </c>
      <c r="Z15" s="1263" t="str">
        <f t="shared" si="7"/>
        <v>商业繁华度</v>
      </c>
      <c r="AA15" s="1263">
        <f t="shared" si="3"/>
        <v>1</v>
      </c>
      <c r="AB15" s="1263">
        <f t="shared" si="4"/>
        <v>1.0204081632653061</v>
      </c>
      <c r="AC15" s="1263">
        <f t="shared" si="5"/>
        <v>1</v>
      </c>
    </row>
    <row r="16" spans="1:29" ht="15">
      <c r="A16" s="366"/>
      <c r="B16" s="384"/>
      <c r="C16" s="385" t="s">
        <v>3423</v>
      </c>
      <c r="D16" s="386"/>
      <c r="E16" s="385" t="s">
        <v>3423</v>
      </c>
      <c r="F16" s="387"/>
      <c r="G16" s="385" t="s">
        <v>3460</v>
      </c>
      <c r="H16" s="388"/>
      <c r="I16" s="385" t="s">
        <v>3423</v>
      </c>
      <c r="J16" s="386"/>
      <c r="K16" s="540"/>
      <c r="L16" s="2490"/>
      <c r="M16" s="2485"/>
      <c r="N16" s="2485"/>
      <c r="O16" s="2485"/>
      <c r="P16" s="3353"/>
      <c r="Q16" s="1262"/>
      <c r="R16" s="666"/>
      <c r="S16" s="667"/>
      <c r="T16" s="666"/>
      <c r="U16" s="667"/>
      <c r="V16" s="666"/>
      <c r="W16" s="667"/>
      <c r="X16" s="1264"/>
      <c r="Y16" s="3355"/>
      <c r="Z16" s="1263"/>
      <c r="AA16" s="1263">
        <v>1</v>
      </c>
      <c r="AB16" s="1263">
        <v>1</v>
      </c>
      <c r="AC16" s="1263">
        <v>1</v>
      </c>
    </row>
    <row r="17" spans="1:29" ht="85.5">
      <c r="A17" s="366"/>
      <c r="B17" s="389" t="s">
        <v>1259</v>
      </c>
      <c r="C17" s="1753"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v>2</v>
      </c>
      <c r="L17" s="2490"/>
      <c r="M17" s="2485"/>
      <c r="N17" s="2485"/>
      <c r="O17" s="2485"/>
      <c r="P17" s="3353"/>
      <c r="Q17" s="1262" t="str">
        <f>B17</f>
        <v>交通便捷度</v>
      </c>
      <c r="R17" s="666" t="s">
        <v>14</v>
      </c>
      <c r="S17" s="667">
        <f>F17</f>
        <v>100</v>
      </c>
      <c r="T17" s="666" t="s">
        <v>14</v>
      </c>
      <c r="U17" s="667">
        <f>H17</f>
        <v>100</v>
      </c>
      <c r="V17" s="666" t="s">
        <v>14</v>
      </c>
      <c r="W17" s="667">
        <f>J17</f>
        <v>100</v>
      </c>
      <c r="X17" s="1264"/>
      <c r="Y17" s="3355"/>
      <c r="Z17" s="1263" t="str">
        <f>Q17</f>
        <v>交通便捷度</v>
      </c>
      <c r="AA17" s="1263">
        <f t="shared" si="3"/>
        <v>1</v>
      </c>
      <c r="AB17" s="1263">
        <f t="shared" si="4"/>
        <v>1</v>
      </c>
      <c r="AC17" s="1263">
        <f t="shared" si="5"/>
        <v>1</v>
      </c>
    </row>
    <row r="18" spans="1:29" ht="15">
      <c r="A18" s="366"/>
      <c r="B18" s="394"/>
      <c r="C18" s="1754" t="s">
        <v>3423</v>
      </c>
      <c r="D18" s="388"/>
      <c r="E18" s="1756" t="s">
        <v>3423</v>
      </c>
      <c r="F18" s="391"/>
      <c r="G18" s="1755" t="s">
        <v>3423</v>
      </c>
      <c r="H18" s="386"/>
      <c r="I18" s="1756" t="s">
        <v>3423</v>
      </c>
      <c r="J18" s="386"/>
      <c r="K18" s="540"/>
      <c r="L18" s="2490"/>
      <c r="M18" s="2485"/>
      <c r="N18" s="2485"/>
      <c r="O18" s="2485"/>
      <c r="P18" s="3353"/>
      <c r="Q18" s="1262"/>
      <c r="R18" s="666"/>
      <c r="S18" s="667"/>
      <c r="T18" s="666"/>
      <c r="U18" s="667"/>
      <c r="V18" s="666"/>
      <c r="W18" s="667"/>
      <c r="X18" s="1264"/>
      <c r="Y18" s="3355"/>
      <c r="Z18" s="1263"/>
      <c r="AA18" s="1263">
        <v>1</v>
      </c>
      <c r="AB18" s="1263">
        <v>1</v>
      </c>
      <c r="AC18" s="1263">
        <v>1</v>
      </c>
    </row>
    <row r="19" spans="1:29" ht="42.75">
      <c r="A19" s="366"/>
      <c r="B19" s="389" t="s">
        <v>1778</v>
      </c>
      <c r="C19" s="1753"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v>2</v>
      </c>
      <c r="L19" s="2490"/>
      <c r="M19" s="2485"/>
      <c r="N19" s="2485"/>
      <c r="O19" s="2485"/>
      <c r="P19" s="3353"/>
      <c r="Q19" s="1262" t="str">
        <f>B19</f>
        <v>公共配套设施</v>
      </c>
      <c r="R19" s="666" t="s">
        <v>14</v>
      </c>
      <c r="S19" s="667">
        <f>F19</f>
        <v>100</v>
      </c>
      <c r="T19" s="666" t="s">
        <v>14</v>
      </c>
      <c r="U19" s="667">
        <f>H19</f>
        <v>100</v>
      </c>
      <c r="V19" s="666" t="s">
        <v>14</v>
      </c>
      <c r="W19" s="667">
        <f>J19</f>
        <v>100</v>
      </c>
      <c r="X19" s="1264"/>
      <c r="Y19" s="3355"/>
      <c r="Z19" s="1263" t="str">
        <f>Q19</f>
        <v>公共配套设施</v>
      </c>
      <c r="AA19" s="1263">
        <f t="shared" si="3"/>
        <v>1</v>
      </c>
      <c r="AB19" s="1263">
        <f t="shared" si="4"/>
        <v>1</v>
      </c>
      <c r="AC19" s="1263">
        <f t="shared" si="5"/>
        <v>1</v>
      </c>
    </row>
    <row r="20" spans="1:29" ht="15">
      <c r="A20" s="366"/>
      <c r="B20" s="394"/>
      <c r="C20" s="385" t="s">
        <v>3423</v>
      </c>
      <c r="D20" s="386"/>
      <c r="E20" s="1751" t="s">
        <v>3423</v>
      </c>
      <c r="F20" s="387"/>
      <c r="G20" s="1750" t="s">
        <v>3423</v>
      </c>
      <c r="H20" s="386"/>
      <c r="I20" s="1751" t="s">
        <v>3423</v>
      </c>
      <c r="J20" s="386"/>
      <c r="K20" s="540"/>
      <c r="L20" s="2490"/>
      <c r="M20" s="2485"/>
      <c r="N20" s="2485"/>
      <c r="O20" s="2485"/>
      <c r="P20" s="3353"/>
      <c r="Q20" s="1262"/>
      <c r="R20" s="666"/>
      <c r="S20" s="667"/>
      <c r="T20" s="666"/>
      <c r="U20" s="667"/>
      <c r="V20" s="666"/>
      <c r="W20" s="667"/>
      <c r="X20" s="1264"/>
      <c r="Y20" s="3355"/>
      <c r="Z20" s="1263"/>
      <c r="AA20" s="1263">
        <v>1</v>
      </c>
      <c r="AB20" s="1263">
        <v>1</v>
      </c>
      <c r="AC20" s="1263">
        <v>1</v>
      </c>
    </row>
    <row r="21" spans="1:29" ht="28.5">
      <c r="A21" s="366"/>
      <c r="B21" s="585" t="s">
        <v>1779</v>
      </c>
      <c r="C21" s="1753"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v>1</v>
      </c>
      <c r="L21" s="2490"/>
      <c r="M21" s="2485"/>
      <c r="N21" s="2485"/>
      <c r="O21" s="2485"/>
      <c r="P21" s="3353"/>
      <c r="Q21" s="1262" t="str">
        <f>B21</f>
        <v>基础设施水平</v>
      </c>
      <c r="R21" s="666" t="s">
        <v>14</v>
      </c>
      <c r="S21" s="667">
        <f>F21</f>
        <v>100</v>
      </c>
      <c r="T21" s="666" t="s">
        <v>14</v>
      </c>
      <c r="U21" s="667">
        <f>H21</f>
        <v>100</v>
      </c>
      <c r="V21" s="666" t="s">
        <v>14</v>
      </c>
      <c r="W21" s="667">
        <f>J21</f>
        <v>100</v>
      </c>
      <c r="X21" s="1264"/>
      <c r="Y21" s="3355"/>
      <c r="Z21" s="1263" t="str">
        <f>Q21</f>
        <v>基础设施水平</v>
      </c>
      <c r="AA21" s="1263">
        <f t="shared" ref="AA21" si="8">D21/F21</f>
        <v>1</v>
      </c>
      <c r="AB21" s="1263">
        <f t="shared" ref="AB21" si="9">D21/H21</f>
        <v>1</v>
      </c>
      <c r="AC21" s="1263">
        <f t="shared" ref="AC21" si="10">D21/J21</f>
        <v>1</v>
      </c>
    </row>
    <row r="22" spans="1:29" ht="15">
      <c r="A22" s="366"/>
      <c r="B22" s="585"/>
      <c r="C22" s="1754" t="s">
        <v>3424</v>
      </c>
      <c r="D22" s="386"/>
      <c r="E22" s="385" t="s">
        <v>3424</v>
      </c>
      <c r="F22" s="387"/>
      <c r="G22" s="385" t="s">
        <v>3424</v>
      </c>
      <c r="H22" s="386"/>
      <c r="I22" s="385" t="s">
        <v>3424</v>
      </c>
      <c r="J22" s="386"/>
      <c r="K22" s="1063"/>
      <c r="L22" s="2490"/>
      <c r="M22" s="2485"/>
      <c r="N22" s="2485"/>
      <c r="O22" s="2485"/>
      <c r="P22" s="3353"/>
      <c r="Q22" s="1262"/>
      <c r="R22" s="666"/>
      <c r="S22" s="667"/>
      <c r="T22" s="666"/>
      <c r="U22" s="667"/>
      <c r="V22" s="666"/>
      <c r="W22" s="667"/>
      <c r="X22" s="1264"/>
      <c r="Y22" s="3355"/>
      <c r="Z22" s="1263"/>
      <c r="AA22" s="1263">
        <v>1</v>
      </c>
      <c r="AB22" s="1263">
        <v>1</v>
      </c>
      <c r="AC22" s="1263">
        <v>1</v>
      </c>
    </row>
    <row r="23" spans="1:29" ht="57">
      <c r="A23" s="366"/>
      <c r="B23" s="389" t="s">
        <v>1261</v>
      </c>
      <c r="C23" s="1805"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v>2</v>
      </c>
      <c r="L23" s="2490"/>
      <c r="M23" s="2485"/>
      <c r="N23" s="2485"/>
      <c r="O23" s="2485"/>
      <c r="P23" s="3353"/>
      <c r="Q23" s="1262" t="str">
        <f>B23</f>
        <v>自然及人文环境</v>
      </c>
      <c r="R23" s="666" t="s">
        <v>14</v>
      </c>
      <c r="S23" s="667">
        <f>F23</f>
        <v>100</v>
      </c>
      <c r="T23" s="666" t="s">
        <v>14</v>
      </c>
      <c r="U23" s="667">
        <f>H23</f>
        <v>100</v>
      </c>
      <c r="V23" s="666" t="s">
        <v>14</v>
      </c>
      <c r="W23" s="667">
        <f>J23</f>
        <v>100</v>
      </c>
      <c r="X23" s="1264"/>
      <c r="Y23" s="3355"/>
      <c r="Z23" s="1263" t="str">
        <f>Q23</f>
        <v>自然及人文环境</v>
      </c>
      <c r="AA23" s="1263">
        <f t="shared" si="3"/>
        <v>1</v>
      </c>
      <c r="AB23" s="1263">
        <f t="shared" si="4"/>
        <v>1</v>
      </c>
      <c r="AC23" s="1263">
        <f t="shared" si="5"/>
        <v>1</v>
      </c>
    </row>
    <row r="24" spans="1:29" ht="15">
      <c r="A24" s="366"/>
      <c r="B24" s="394"/>
      <c r="C24" s="385" t="s">
        <v>3423</v>
      </c>
      <c r="D24" s="386"/>
      <c r="E24" s="1751" t="s">
        <v>3423</v>
      </c>
      <c r="F24" s="387"/>
      <c r="G24" s="1750" t="s">
        <v>3423</v>
      </c>
      <c r="H24" s="386"/>
      <c r="I24" s="1751" t="s">
        <v>3423</v>
      </c>
      <c r="J24" s="386"/>
      <c r="K24" s="540"/>
      <c r="L24" s="2490"/>
      <c r="M24" s="2485"/>
      <c r="N24" s="2485"/>
      <c r="O24" s="2485"/>
      <c r="P24" s="3353"/>
      <c r="Q24" s="1262"/>
      <c r="R24" s="666"/>
      <c r="S24" s="667"/>
      <c r="T24" s="666"/>
      <c r="U24" s="667"/>
      <c r="V24" s="666"/>
      <c r="W24" s="667"/>
      <c r="X24" s="1264"/>
      <c r="Y24" s="3355"/>
      <c r="Z24" s="1263"/>
      <c r="AA24" s="1263">
        <v>1</v>
      </c>
      <c r="AB24" s="1263">
        <v>1</v>
      </c>
      <c r="AC24" s="1263">
        <v>1</v>
      </c>
    </row>
    <row r="25" spans="1:29" ht="15">
      <c r="A25" s="366"/>
      <c r="B25" s="363" t="s">
        <v>1780</v>
      </c>
      <c r="C25" s="541" t="s">
        <v>3456</v>
      </c>
      <c r="D25" s="373">
        <v>100</v>
      </c>
      <c r="E25" s="541" t="s">
        <v>3456</v>
      </c>
      <c r="F25" s="399">
        <f>SUMIF(86:86,E25,87:87)-SUMIF(86:86,C25,87:87)+100</f>
        <v>100</v>
      </c>
      <c r="G25" s="541" t="s">
        <v>3456</v>
      </c>
      <c r="H25" s="373">
        <f>SUMIF(86:86,G25,87:87)-SUMIF(86:86,C25,87:87)+100</f>
        <v>100</v>
      </c>
      <c r="I25" s="541" t="s">
        <v>3456</v>
      </c>
      <c r="J25" s="373">
        <f>SUMIF(86:86,I25,87:87)-SUMIF(86:86,C25,87:87)+100</f>
        <v>100</v>
      </c>
      <c r="K25" s="537">
        <v>5</v>
      </c>
      <c r="L25" s="2490"/>
      <c r="M25" s="2485"/>
      <c r="N25" s="2485"/>
      <c r="O25" s="2485"/>
      <c r="P25" s="3353"/>
      <c r="Q25" s="1262" t="str">
        <f t="shared" ref="Q25:Q46" si="11">B25</f>
        <v>临街状况</v>
      </c>
      <c r="R25" s="666" t="s">
        <v>14</v>
      </c>
      <c r="S25" s="667">
        <f>F25</f>
        <v>100</v>
      </c>
      <c r="T25" s="666" t="s">
        <v>14</v>
      </c>
      <c r="U25" s="667">
        <f>H25</f>
        <v>100</v>
      </c>
      <c r="V25" s="666" t="s">
        <v>14</v>
      </c>
      <c r="W25" s="667">
        <f>J25</f>
        <v>100</v>
      </c>
      <c r="X25" s="1264"/>
      <c r="Y25" s="3355"/>
      <c r="Z25" s="1263" t="str">
        <f>Q25</f>
        <v>临街状况</v>
      </c>
      <c r="AA25" s="1263">
        <f t="shared" si="3"/>
        <v>1</v>
      </c>
      <c r="AB25" s="1263">
        <f t="shared" si="4"/>
        <v>1</v>
      </c>
      <c r="AC25" s="1263">
        <f t="shared" si="5"/>
        <v>1</v>
      </c>
    </row>
    <row r="26" spans="1:29" ht="15">
      <c r="A26" s="366"/>
      <c r="B26" s="1065" t="s">
        <v>1781</v>
      </c>
      <c r="C26" s="3148" t="s">
        <v>3425</v>
      </c>
      <c r="D26" s="373">
        <v>100</v>
      </c>
      <c r="E26" s="3148" t="s">
        <v>3425</v>
      </c>
      <c r="F26" s="399">
        <f>SUMIF(88:88,E26,89:89)-SUMIF(88:88,C26,89:89)+100</f>
        <v>100</v>
      </c>
      <c r="G26" s="3148" t="s">
        <v>3425</v>
      </c>
      <c r="H26" s="373">
        <f>SUMIF(88:88,G26,89:89)-SUMIF(88:88,C26,89:89)+100</f>
        <v>100</v>
      </c>
      <c r="I26" s="3148" t="s">
        <v>3425</v>
      </c>
      <c r="J26" s="373">
        <f>SUMIF(88:88,I26,89:89)-SUMIF(88:88,C26,89:89)+100</f>
        <v>100</v>
      </c>
      <c r="K26" s="538"/>
      <c r="L26" s="2490"/>
      <c r="M26" s="3152"/>
      <c r="N26" s="2485"/>
      <c r="O26" s="2485"/>
      <c r="P26" s="3353"/>
      <c r="Q26" s="1262" t="str">
        <f t="shared" si="11"/>
        <v>平面位置/可视性</v>
      </c>
      <c r="R26" s="666" t="s">
        <v>14</v>
      </c>
      <c r="S26" s="667">
        <f>F26</f>
        <v>100</v>
      </c>
      <c r="T26" s="666" t="s">
        <v>14</v>
      </c>
      <c r="U26" s="667">
        <f>H26</f>
        <v>100</v>
      </c>
      <c r="V26" s="666" t="s">
        <v>14</v>
      </c>
      <c r="W26" s="667">
        <f>J26</f>
        <v>100</v>
      </c>
      <c r="X26" s="1264"/>
      <c r="Y26" s="3355"/>
      <c r="Z26" s="1263" t="str">
        <f>Q26</f>
        <v>平面位置/可视性</v>
      </c>
      <c r="AA26" s="1263">
        <f t="shared" si="3"/>
        <v>1</v>
      </c>
      <c r="AB26" s="1263">
        <f t="shared" si="4"/>
        <v>1</v>
      </c>
      <c r="AC26" s="1263">
        <f t="shared" si="5"/>
        <v>1</v>
      </c>
    </row>
    <row r="27" spans="1:29" s="101" customFormat="1" ht="15">
      <c r="A27" s="369"/>
      <c r="B27" s="389" t="s">
        <v>1782</v>
      </c>
      <c r="C27" s="1806" t="s">
        <v>3448</v>
      </c>
      <c r="D27" s="400">
        <v>100</v>
      </c>
      <c r="E27" s="1806" t="s">
        <v>3448</v>
      </c>
      <c r="F27" s="394">
        <f>SUMIF(90:90,E27,91:91)-SUMIF(90:90,C27,91:91)+100</f>
        <v>100</v>
      </c>
      <c r="G27" s="1806" t="s">
        <v>3460</v>
      </c>
      <c r="H27" s="400">
        <f>SUMIF(90:90,G27,91:91)-SUMIF(90:90,C27,91:91)+100</f>
        <v>95</v>
      </c>
      <c r="I27" s="1806" t="s">
        <v>3460</v>
      </c>
      <c r="J27" s="400">
        <f>SUMIF(90:90,I27,91:91)-SUMIF(90:90,C27,91:91)+100</f>
        <v>95</v>
      </c>
      <c r="K27" s="537">
        <v>5</v>
      </c>
      <c r="L27" s="2486"/>
      <c r="M27" s="2438"/>
      <c r="N27" s="2438"/>
      <c r="O27" s="2438"/>
      <c r="P27" s="3353"/>
      <c r="Q27" s="529" t="str">
        <f t="shared" si="11"/>
        <v>人流量</v>
      </c>
      <c r="R27" s="663" t="s">
        <v>14</v>
      </c>
      <c r="S27" s="664">
        <f>F27</f>
        <v>100</v>
      </c>
      <c r="T27" s="663" t="s">
        <v>14</v>
      </c>
      <c r="U27" s="664">
        <f>H27</f>
        <v>95</v>
      </c>
      <c r="V27" s="663" t="s">
        <v>14</v>
      </c>
      <c r="W27" s="664">
        <f>J27</f>
        <v>95</v>
      </c>
      <c r="X27" s="665"/>
      <c r="Y27" s="3355"/>
      <c r="Z27" s="50" t="str">
        <f>Q27</f>
        <v>人流量</v>
      </c>
      <c r="AA27" s="1263">
        <f>D27/F27</f>
        <v>1</v>
      </c>
      <c r="AB27" s="1263">
        <f>D27/H27</f>
        <v>1.0526315789473684</v>
      </c>
      <c r="AC27" s="1263">
        <f>D27/J27</f>
        <v>1.0526315789473684</v>
      </c>
    </row>
    <row r="28" spans="1:29" ht="15">
      <c r="A28" s="366"/>
      <c r="B28" s="363" t="s">
        <v>1783</v>
      </c>
      <c r="C28" s="541" t="s">
        <v>3449</v>
      </c>
      <c r="D28" s="373">
        <v>100</v>
      </c>
      <c r="E28" s="541" t="s">
        <v>3461</v>
      </c>
      <c r="F28" s="399">
        <f>SUMIF(92:92,E28,93:93)-SUMIF(92:92,C28,93:93)+100</f>
        <v>118</v>
      </c>
      <c r="G28" s="541" t="s">
        <v>3461</v>
      </c>
      <c r="H28" s="373">
        <f>SUMIF(92:92,G28,93:93)-SUMIF(92:92,C28,93:93)+100</f>
        <v>118</v>
      </c>
      <c r="I28" s="541" t="s">
        <v>3461</v>
      </c>
      <c r="J28" s="373">
        <f>SUMIF(92:92,I28,93:93)-SUMIF(92:92,C28,93:93)+100</f>
        <v>118</v>
      </c>
      <c r="K28" s="538"/>
      <c r="L28" s="2490"/>
      <c r="M28" s="2485"/>
      <c r="N28" s="2485"/>
      <c r="O28" s="2485"/>
      <c r="P28" s="3353"/>
      <c r="Q28" s="1262" t="str">
        <f t="shared" si="11"/>
        <v>楼层</v>
      </c>
      <c r="R28" s="666" t="s">
        <v>14</v>
      </c>
      <c r="S28" s="667">
        <f t="shared" ref="S28:S46" si="12">F28</f>
        <v>118</v>
      </c>
      <c r="T28" s="666" t="s">
        <v>14</v>
      </c>
      <c r="U28" s="667">
        <f t="shared" ref="U28:U46" si="13">H28</f>
        <v>118</v>
      </c>
      <c r="V28" s="666" t="s">
        <v>14</v>
      </c>
      <c r="W28" s="667">
        <f t="shared" ref="W28:W46" si="14">J28</f>
        <v>118</v>
      </c>
      <c r="X28" s="1264"/>
      <c r="Y28" s="3355"/>
      <c r="Z28" s="1263" t="str">
        <f t="shared" ref="Z28:Z46" si="15">Q28</f>
        <v>楼层</v>
      </c>
      <c r="AA28" s="1263">
        <f t="shared" si="3"/>
        <v>0.84745762711864403</v>
      </c>
      <c r="AB28" s="1263">
        <f t="shared" si="4"/>
        <v>0.84745762711864403</v>
      </c>
      <c r="AC28" s="1263">
        <f t="shared" si="5"/>
        <v>0.84745762711864403</v>
      </c>
    </row>
    <row r="29" spans="1:29" ht="15">
      <c r="A29" s="366"/>
      <c r="B29" s="1065">
        <v>111</v>
      </c>
      <c r="C29" s="3148"/>
      <c r="D29" s="373">
        <v>100</v>
      </c>
      <c r="E29" s="3148"/>
      <c r="F29" s="399">
        <f>SUMIF(94:94,E29,95:95)-SUMIF(94:94,C29,95:95)+100</f>
        <v>100</v>
      </c>
      <c r="G29" s="3148"/>
      <c r="H29" s="373">
        <f>SUMIF(94:94,G29,95:95)-SUMIF(94:94,C29,95:95)+100</f>
        <v>100</v>
      </c>
      <c r="I29" s="3148"/>
      <c r="J29" s="373">
        <f>SUMIF(94:94,I29,95:95)-SUMIF(94:94,C29,95:95)+100</f>
        <v>100</v>
      </c>
      <c r="K29" s="538"/>
      <c r="L29" s="2490"/>
      <c r="M29" s="2485"/>
      <c r="N29" s="2485"/>
      <c r="O29" s="2485"/>
      <c r="P29" s="3353"/>
      <c r="Q29" s="1262">
        <f t="shared" si="11"/>
        <v>111</v>
      </c>
      <c r="R29" s="666" t="s">
        <v>14</v>
      </c>
      <c r="S29" s="667">
        <f t="shared" si="12"/>
        <v>100</v>
      </c>
      <c r="T29" s="666" t="s">
        <v>14</v>
      </c>
      <c r="U29" s="667">
        <f t="shared" si="13"/>
        <v>100</v>
      </c>
      <c r="V29" s="666" t="s">
        <v>14</v>
      </c>
      <c r="W29" s="667">
        <f t="shared" si="14"/>
        <v>100</v>
      </c>
      <c r="X29" s="1264"/>
      <c r="Y29" s="3355"/>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90"/>
      <c r="M30" s="2485"/>
      <c r="N30" s="2485"/>
      <c r="O30" s="2485"/>
      <c r="P30" s="3353"/>
      <c r="Q30" s="1262">
        <f t="shared" si="11"/>
        <v>111</v>
      </c>
      <c r="R30" s="666" t="s">
        <v>14</v>
      </c>
      <c r="S30" s="667">
        <f t="shared" si="12"/>
        <v>100</v>
      </c>
      <c r="T30" s="666" t="s">
        <v>14</v>
      </c>
      <c r="U30" s="667">
        <f t="shared" si="13"/>
        <v>100</v>
      </c>
      <c r="V30" s="666" t="s">
        <v>14</v>
      </c>
      <c r="W30" s="667">
        <f t="shared" si="14"/>
        <v>100</v>
      </c>
      <c r="X30" s="1264"/>
      <c r="Y30" s="3355"/>
      <c r="Z30" s="1263">
        <f t="shared" si="15"/>
        <v>111</v>
      </c>
      <c r="AA30" s="1263">
        <f t="shared" si="3"/>
        <v>1</v>
      </c>
      <c r="AB30" s="1263">
        <f t="shared" si="4"/>
        <v>1</v>
      </c>
      <c r="AC30" s="1263">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90"/>
      <c r="M31" s="2485"/>
      <c r="N31" s="2485"/>
      <c r="O31" s="2485"/>
      <c r="P31" s="3353"/>
      <c r="Q31" s="1262">
        <f t="shared" si="11"/>
        <v>111</v>
      </c>
      <c r="R31" s="666" t="s">
        <v>14</v>
      </c>
      <c r="S31" s="667">
        <f t="shared" si="12"/>
        <v>100</v>
      </c>
      <c r="T31" s="666" t="s">
        <v>14</v>
      </c>
      <c r="U31" s="667">
        <f t="shared" si="13"/>
        <v>100</v>
      </c>
      <c r="V31" s="666" t="s">
        <v>14</v>
      </c>
      <c r="W31" s="667">
        <f t="shared" si="14"/>
        <v>100</v>
      </c>
      <c r="X31" s="1264"/>
      <c r="Y31" s="3355"/>
      <c r="Z31" s="1263">
        <f t="shared" si="15"/>
        <v>111</v>
      </c>
      <c r="AA31" s="1263">
        <f t="shared" si="3"/>
        <v>1</v>
      </c>
      <c r="AB31" s="1263">
        <f t="shared" si="4"/>
        <v>1</v>
      </c>
      <c r="AC31" s="1263">
        <f t="shared" si="5"/>
        <v>1</v>
      </c>
    </row>
    <row r="32" spans="1:29" ht="15">
      <c r="A32" s="378" t="s">
        <v>1694</v>
      </c>
      <c r="B32" s="60" t="s">
        <v>1784</v>
      </c>
      <c r="C32" s="1763" t="s">
        <v>3450</v>
      </c>
      <c r="D32" s="404">
        <v>100</v>
      </c>
      <c r="E32" s="1763" t="s">
        <v>3459</v>
      </c>
      <c r="F32" s="399">
        <f>SUMIF(100:100,E32,101:101)-SUMIF(100:100,C32,101:101)+100</f>
        <v>97</v>
      </c>
      <c r="G32" s="1763" t="s">
        <v>3450</v>
      </c>
      <c r="H32" s="373">
        <f>SUMIF(100:100,G32,101:101)-SUMIF(100:100,C32,101:101)+100</f>
        <v>100</v>
      </c>
      <c r="I32" s="1763" t="s">
        <v>3450</v>
      </c>
      <c r="J32" s="404">
        <f>SUMIF(100:100,I32,101:101)-SUMIF(100:100,C32,101:101)+100</f>
        <v>100</v>
      </c>
      <c r="K32" s="537">
        <v>3</v>
      </c>
      <c r="L32" s="2490"/>
      <c r="M32" s="2485"/>
      <c r="N32" s="2485"/>
      <c r="O32" s="2485"/>
      <c r="P32" s="3356" t="s">
        <v>1696</v>
      </c>
      <c r="Q32" s="1262" t="str">
        <f t="shared" si="11"/>
        <v>商业类型</v>
      </c>
      <c r="R32" s="666" t="s">
        <v>14</v>
      </c>
      <c r="S32" s="667">
        <f t="shared" si="12"/>
        <v>97</v>
      </c>
      <c r="T32" s="666" t="s">
        <v>14</v>
      </c>
      <c r="U32" s="667">
        <f t="shared" si="13"/>
        <v>100</v>
      </c>
      <c r="V32" s="666" t="s">
        <v>14</v>
      </c>
      <c r="W32" s="667">
        <f t="shared" si="14"/>
        <v>100</v>
      </c>
      <c r="X32" s="1264"/>
      <c r="Y32" s="3359" t="s">
        <v>1696</v>
      </c>
      <c r="Z32" s="1263" t="str">
        <f t="shared" si="15"/>
        <v>商业类型</v>
      </c>
      <c r="AA32" s="1263">
        <f t="shared" si="3"/>
        <v>1.0309278350515463</v>
      </c>
      <c r="AB32" s="1263">
        <f t="shared" si="4"/>
        <v>1</v>
      </c>
      <c r="AC32" s="1263">
        <f t="shared" si="5"/>
        <v>1</v>
      </c>
    </row>
    <row r="33" spans="1:29" s="407" customFormat="1" ht="15">
      <c r="A33" s="405"/>
      <c r="B33" s="363" t="s">
        <v>1697</v>
      </c>
      <c r="C33" s="406">
        <f>'数据-汇总表'!E19</f>
        <v>227.25</v>
      </c>
      <c r="D33" s="118">
        <v>100</v>
      </c>
      <c r="E33" s="368">
        <v>44</v>
      </c>
      <c r="F33" s="363">
        <f>LOOKUP(E33,103:103,104:104)-LOOKUP(C33,103:103,104:104)+100</f>
        <v>102</v>
      </c>
      <c r="G33" s="367">
        <v>110</v>
      </c>
      <c r="H33" s="118">
        <f>LOOKUP(G33,103:103,104:104)-LOOKUP(C33,103:103,104:104)+100</f>
        <v>101</v>
      </c>
      <c r="I33" s="367">
        <v>85</v>
      </c>
      <c r="J33" s="118">
        <f>LOOKUP(I33,103:103,104:104)-LOOKUP(C33,103:103,104:104)+100</f>
        <v>102</v>
      </c>
      <c r="K33" s="538"/>
      <c r="L33" s="2489"/>
      <c r="M33" s="2491"/>
      <c r="N33" s="2491"/>
      <c r="O33" s="2491"/>
      <c r="P33" s="3357"/>
      <c r="Q33" s="530" t="str">
        <f t="shared" si="11"/>
        <v>项目建筑规模</v>
      </c>
      <c r="R33" s="668" t="s">
        <v>14</v>
      </c>
      <c r="S33" s="669">
        <f t="shared" si="12"/>
        <v>102</v>
      </c>
      <c r="T33" s="668" t="s">
        <v>14</v>
      </c>
      <c r="U33" s="669">
        <f t="shared" si="13"/>
        <v>101</v>
      </c>
      <c r="V33" s="668" t="s">
        <v>14</v>
      </c>
      <c r="W33" s="669">
        <f t="shared" si="14"/>
        <v>102</v>
      </c>
      <c r="X33" s="670"/>
      <c r="Y33" s="3359"/>
      <c r="Z33" s="671" t="str">
        <f t="shared" si="15"/>
        <v>项目建筑规模</v>
      </c>
      <c r="AA33" s="1263">
        <f t="shared" si="3"/>
        <v>0.98039215686274506</v>
      </c>
      <c r="AB33" s="1263">
        <f t="shared" si="4"/>
        <v>0.99009900990099009</v>
      </c>
      <c r="AC33" s="1263">
        <f t="shared" si="5"/>
        <v>0.98039215686274506</v>
      </c>
    </row>
    <row r="34" spans="1:29" ht="15">
      <c r="A34" s="408"/>
      <c r="B34" s="363" t="s">
        <v>1698</v>
      </c>
      <c r="C34" s="398" t="s">
        <v>3451</v>
      </c>
      <c r="D34" s="373">
        <v>100</v>
      </c>
      <c r="E34" s="398" t="s">
        <v>3451</v>
      </c>
      <c r="F34" s="399">
        <f>SUMIF(105:105,E34,106:106)-SUMIF(105:105,C34,106:106)+100</f>
        <v>100</v>
      </c>
      <c r="G34" s="398" t="s">
        <v>3451</v>
      </c>
      <c r="H34" s="373">
        <f>SUMIF(105:105,G34,106:106)-SUMIF(105:105,C34,106:106)+100</f>
        <v>100</v>
      </c>
      <c r="I34" s="398" t="s">
        <v>3451</v>
      </c>
      <c r="J34" s="373">
        <f>SUMIF(105:105,I34,106:106)-SUMIF(105:105,C34,106:106)+100</f>
        <v>100</v>
      </c>
      <c r="K34" s="537">
        <v>1</v>
      </c>
      <c r="L34" s="2490"/>
      <c r="M34" s="2485"/>
      <c r="N34" s="2485"/>
      <c r="O34" s="2485"/>
      <c r="P34" s="3357"/>
      <c r="Q34" s="1262" t="str">
        <f t="shared" si="11"/>
        <v>建筑结构</v>
      </c>
      <c r="R34" s="666" t="s">
        <v>14</v>
      </c>
      <c r="S34" s="667">
        <f t="shared" si="12"/>
        <v>100</v>
      </c>
      <c r="T34" s="666" t="s">
        <v>14</v>
      </c>
      <c r="U34" s="667">
        <f t="shared" si="13"/>
        <v>100</v>
      </c>
      <c r="V34" s="666" t="s">
        <v>14</v>
      </c>
      <c r="W34" s="667">
        <f t="shared" si="14"/>
        <v>100</v>
      </c>
      <c r="X34" s="1264"/>
      <c r="Y34" s="3359"/>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90"/>
      <c r="M35" s="2485"/>
      <c r="N35" s="2485"/>
      <c r="O35" s="2485"/>
      <c r="P35" s="3357"/>
      <c r="Q35" s="1262" t="str">
        <f t="shared" si="11"/>
        <v>公共部分装修</v>
      </c>
      <c r="R35" s="666" t="s">
        <v>14</v>
      </c>
      <c r="S35" s="667">
        <f t="shared" si="12"/>
        <v>100</v>
      </c>
      <c r="T35" s="666" t="s">
        <v>14</v>
      </c>
      <c r="U35" s="667">
        <f t="shared" si="13"/>
        <v>100</v>
      </c>
      <c r="V35" s="666" t="s">
        <v>14</v>
      </c>
      <c r="W35" s="667">
        <f t="shared" si="14"/>
        <v>100</v>
      </c>
      <c r="X35" s="1264"/>
      <c r="Y35" s="3359"/>
      <c r="Z35" s="1263" t="str">
        <f t="shared" si="15"/>
        <v>公共部分装修</v>
      </c>
      <c r="AA35" s="1263">
        <f t="shared" si="3"/>
        <v>1</v>
      </c>
      <c r="AB35" s="1263">
        <f t="shared" si="4"/>
        <v>1</v>
      </c>
      <c r="AC35" s="1263">
        <f t="shared" si="5"/>
        <v>1</v>
      </c>
    </row>
    <row r="36" spans="1:29" ht="15">
      <c r="A36" s="408"/>
      <c r="B36" s="363" t="s">
        <v>1786</v>
      </c>
      <c r="C36" s="410">
        <f>'数据-取费表'!N6</f>
        <v>0.73</v>
      </c>
      <c r="D36" s="373">
        <v>100</v>
      </c>
      <c r="E36" s="410">
        <v>0.7</v>
      </c>
      <c r="F36" s="399">
        <f>LOOKUP(E36,110:110,111:111)-LOOKUP(C36,110:110,111:111)+100</f>
        <v>100</v>
      </c>
      <c r="G36" s="410">
        <v>0.75</v>
      </c>
      <c r="H36" s="399">
        <f>LOOKUP(G36,110:110,111:111)-LOOKUP(C36,110:110,111:111)+100</f>
        <v>100</v>
      </c>
      <c r="I36" s="410">
        <v>0.65</v>
      </c>
      <c r="J36" s="373">
        <f>LOOKUP(I36,110:110,111:111)-LOOKUP(C36,110:110,111:111)+100</f>
        <v>99</v>
      </c>
      <c r="K36" s="537">
        <v>1</v>
      </c>
      <c r="L36" s="2490"/>
      <c r="M36" s="2485"/>
      <c r="N36" s="2485"/>
      <c r="O36" s="2485"/>
      <c r="P36" s="3357"/>
      <c r="Q36" s="1262" t="str">
        <f t="shared" si="11"/>
        <v>成新度</v>
      </c>
      <c r="R36" s="666" t="s">
        <v>14</v>
      </c>
      <c r="S36" s="667">
        <f t="shared" si="12"/>
        <v>100</v>
      </c>
      <c r="T36" s="666" t="s">
        <v>14</v>
      </c>
      <c r="U36" s="667">
        <f t="shared" si="13"/>
        <v>100</v>
      </c>
      <c r="V36" s="666" t="s">
        <v>14</v>
      </c>
      <c r="W36" s="667">
        <f t="shared" si="14"/>
        <v>99</v>
      </c>
      <c r="X36" s="1264"/>
      <c r="Y36" s="3359"/>
      <c r="Z36" s="1263" t="str">
        <f t="shared" si="15"/>
        <v>成新度</v>
      </c>
      <c r="AA36" s="1263">
        <f t="shared" si="3"/>
        <v>1</v>
      </c>
      <c r="AB36" s="1263">
        <f t="shared" si="4"/>
        <v>1</v>
      </c>
      <c r="AC36" s="1263">
        <f t="shared" si="5"/>
        <v>1.0101010101010102</v>
      </c>
    </row>
    <row r="37" spans="1:29" s="101"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6"/>
      <c r="M37" s="2438"/>
      <c r="N37" s="2438"/>
      <c r="O37" s="2438"/>
      <c r="P37" s="3357"/>
      <c r="Q37" s="529" t="str">
        <f t="shared" si="11"/>
        <v>市政基础设施</v>
      </c>
      <c r="R37" s="663" t="s">
        <v>14</v>
      </c>
      <c r="S37" s="664">
        <f t="shared" si="12"/>
        <v>100</v>
      </c>
      <c r="T37" s="663" t="s">
        <v>14</v>
      </c>
      <c r="U37" s="664">
        <f t="shared" si="13"/>
        <v>100</v>
      </c>
      <c r="V37" s="663" t="s">
        <v>14</v>
      </c>
      <c r="W37" s="664">
        <f t="shared" si="14"/>
        <v>100</v>
      </c>
      <c r="X37" s="665"/>
      <c r="Y37" s="3359"/>
      <c r="Z37" s="50" t="str">
        <f t="shared" si="15"/>
        <v>市政基础设施</v>
      </c>
      <c r="AA37" s="50">
        <f t="shared" si="3"/>
        <v>1</v>
      </c>
      <c r="AB37" s="50">
        <f t="shared" si="4"/>
        <v>1</v>
      </c>
      <c r="AC37" s="50">
        <f t="shared" si="5"/>
        <v>1</v>
      </c>
    </row>
    <row r="38" spans="1:29" ht="15">
      <c r="A38" s="408"/>
      <c r="B38" s="363" t="s">
        <v>1788</v>
      </c>
      <c r="C38" s="1759" t="s">
        <v>3452</v>
      </c>
      <c r="D38" s="373">
        <v>100</v>
      </c>
      <c r="E38" s="1759" t="s">
        <v>3462</v>
      </c>
      <c r="F38" s="399">
        <f>SUMIF(114:114,E38,115:115)-SUMIF(114:114,C38,115:115)+100</f>
        <v>97</v>
      </c>
      <c r="G38" s="1759" t="s">
        <v>3462</v>
      </c>
      <c r="H38" s="373">
        <f>SUMIF(114:114,G38,115:115)-SUMIF(114:114,C38,115:115)+100</f>
        <v>97</v>
      </c>
      <c r="I38" s="1759" t="s">
        <v>3452</v>
      </c>
      <c r="J38" s="373">
        <f>SUMIF(114:114,I38,115:115)-SUMIF(114:114,C38,115:115)+100</f>
        <v>100</v>
      </c>
      <c r="K38" s="3498">
        <v>3</v>
      </c>
      <c r="L38" s="2490"/>
      <c r="M38" s="2485"/>
      <c r="N38" s="2485"/>
      <c r="O38" s="2485"/>
      <c r="P38" s="3357" t="s">
        <v>1696</v>
      </c>
      <c r="Q38" s="1262" t="str">
        <f t="shared" si="11"/>
        <v>业态</v>
      </c>
      <c r="R38" s="666" t="s">
        <v>14</v>
      </c>
      <c r="S38" s="667">
        <f t="shared" si="12"/>
        <v>97</v>
      </c>
      <c r="T38" s="666" t="s">
        <v>14</v>
      </c>
      <c r="U38" s="667">
        <f t="shared" si="13"/>
        <v>97</v>
      </c>
      <c r="V38" s="666" t="s">
        <v>14</v>
      </c>
      <c r="W38" s="667">
        <f t="shared" si="14"/>
        <v>100</v>
      </c>
      <c r="X38" s="1264"/>
      <c r="Y38" s="3359" t="s">
        <v>1696</v>
      </c>
      <c r="Z38" s="1263" t="str">
        <f t="shared" si="15"/>
        <v>业态</v>
      </c>
      <c r="AA38" s="1263">
        <f t="shared" si="3"/>
        <v>1.0309278350515463</v>
      </c>
      <c r="AB38" s="1263">
        <f t="shared" si="4"/>
        <v>1.0309278350515463</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90"/>
      <c r="M39" s="2485"/>
      <c r="N39" s="2485"/>
      <c r="O39" s="2485"/>
      <c r="P39" s="3357"/>
      <c r="Q39" s="1262" t="str">
        <f t="shared" si="11"/>
        <v>层高</v>
      </c>
      <c r="R39" s="666" t="s">
        <v>14</v>
      </c>
      <c r="S39" s="667">
        <f t="shared" si="12"/>
        <v>100</v>
      </c>
      <c r="T39" s="666" t="s">
        <v>14</v>
      </c>
      <c r="U39" s="667">
        <f t="shared" si="13"/>
        <v>100</v>
      </c>
      <c r="V39" s="666" t="s">
        <v>14</v>
      </c>
      <c r="W39" s="667">
        <f t="shared" si="14"/>
        <v>100</v>
      </c>
      <c r="X39" s="1264"/>
      <c r="Y39" s="3359"/>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0"/>
      <c r="M40" s="2485"/>
      <c r="N40" s="2485"/>
      <c r="O40" s="2485"/>
      <c r="P40" s="3357"/>
      <c r="Q40" s="1262" t="str">
        <f t="shared" si="11"/>
        <v>单套建筑面积</v>
      </c>
      <c r="R40" s="666" t="s">
        <v>14</v>
      </c>
      <c r="S40" s="667">
        <f t="shared" si="12"/>
        <v>100</v>
      </c>
      <c r="T40" s="666" t="s">
        <v>14</v>
      </c>
      <c r="U40" s="667">
        <f t="shared" si="13"/>
        <v>100</v>
      </c>
      <c r="V40" s="666" t="s">
        <v>14</v>
      </c>
      <c r="W40" s="667">
        <f t="shared" si="14"/>
        <v>100</v>
      </c>
      <c r="X40" s="1264"/>
      <c r="Y40" s="3359"/>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9"/>
      <c r="M41" s="2491"/>
      <c r="N41" s="2491"/>
      <c r="O41" s="2491"/>
      <c r="P41" s="3357"/>
      <c r="Q41" s="530" t="str">
        <f t="shared" si="11"/>
        <v>进深比</v>
      </c>
      <c r="R41" s="668" t="s">
        <v>14</v>
      </c>
      <c r="S41" s="669">
        <f t="shared" si="12"/>
        <v>100</v>
      </c>
      <c r="T41" s="668" t="s">
        <v>14</v>
      </c>
      <c r="U41" s="669">
        <f t="shared" si="13"/>
        <v>100</v>
      </c>
      <c r="V41" s="668" t="s">
        <v>14</v>
      </c>
      <c r="W41" s="669">
        <f t="shared" si="14"/>
        <v>100</v>
      </c>
      <c r="X41" s="670"/>
      <c r="Y41" s="3359"/>
      <c r="Z41" s="671" t="str">
        <f t="shared" si="15"/>
        <v>进深比</v>
      </c>
      <c r="AA41" s="1263">
        <f t="shared" si="3"/>
        <v>1</v>
      </c>
      <c r="AB41" s="1263">
        <f t="shared" si="4"/>
        <v>1</v>
      </c>
      <c r="AC41" s="1263">
        <f t="shared" si="5"/>
        <v>1</v>
      </c>
    </row>
    <row r="42" spans="1:29" ht="15">
      <c r="A42" s="408"/>
      <c r="B42" s="363" t="s">
        <v>1792</v>
      </c>
      <c r="C42" s="1759" t="s">
        <v>3443</v>
      </c>
      <c r="D42" s="373">
        <v>100</v>
      </c>
      <c r="E42" s="1759" t="s">
        <v>3445</v>
      </c>
      <c r="F42" s="399">
        <f>SUMIF(122:122,E42,123:123)-SUMIF(122:122,C42,123:123)+100</f>
        <v>98</v>
      </c>
      <c r="G42" s="1759" t="s">
        <v>3445</v>
      </c>
      <c r="H42" s="373">
        <f>SUMIF(122:122,G42,123:123)-SUMIF(122:122,C42,123:123)+100</f>
        <v>98</v>
      </c>
      <c r="I42" s="1759" t="s">
        <v>3445</v>
      </c>
      <c r="J42" s="373">
        <f>SUMIF(122:122,I42,123:123)-SUMIF(122:122,C42,123:123)+100</f>
        <v>98</v>
      </c>
      <c r="K42" s="537">
        <v>2</v>
      </c>
      <c r="L42" s="2490"/>
      <c r="M42" s="2485"/>
      <c r="N42" s="2485"/>
      <c r="O42" s="2485"/>
      <c r="P42" s="3357"/>
      <c r="Q42" s="1262" t="str">
        <f t="shared" si="11"/>
        <v>内部装修</v>
      </c>
      <c r="R42" s="666" t="s">
        <v>14</v>
      </c>
      <c r="S42" s="667">
        <f t="shared" si="12"/>
        <v>98</v>
      </c>
      <c r="T42" s="666" t="s">
        <v>14</v>
      </c>
      <c r="U42" s="667">
        <f t="shared" si="13"/>
        <v>98</v>
      </c>
      <c r="V42" s="666" t="s">
        <v>14</v>
      </c>
      <c r="W42" s="667">
        <f t="shared" si="14"/>
        <v>98</v>
      </c>
      <c r="X42" s="1264"/>
      <c r="Y42" s="3359"/>
      <c r="Z42" s="1263" t="str">
        <f t="shared" si="15"/>
        <v>内部装修</v>
      </c>
      <c r="AA42" s="1263">
        <f t="shared" si="3"/>
        <v>1.0204081632653061</v>
      </c>
      <c r="AB42" s="1263">
        <f t="shared" si="4"/>
        <v>1.0204081632653061</v>
      </c>
      <c r="AC42" s="1263">
        <f t="shared" si="5"/>
        <v>1.0204081632653061</v>
      </c>
    </row>
    <row r="43" spans="1:29" ht="15">
      <c r="A43" s="408"/>
      <c r="B43" s="363" t="s">
        <v>1707</v>
      </c>
      <c r="C43" s="1759" t="s">
        <v>3423</v>
      </c>
      <c r="D43" s="373">
        <v>100</v>
      </c>
      <c r="E43" s="1759" t="s">
        <v>3423</v>
      </c>
      <c r="F43" s="399">
        <f>SUMIF(124:124,E43,125:125)-SUMIF(124:124,C43,125:125)+100</f>
        <v>100</v>
      </c>
      <c r="G43" s="1759" t="s">
        <v>3423</v>
      </c>
      <c r="H43" s="373">
        <f>SUMIF(124:124,G43,125:125)-SUMIF(124:124,C43,125:125)+100</f>
        <v>100</v>
      </c>
      <c r="I43" s="1759" t="s">
        <v>3423</v>
      </c>
      <c r="J43" s="373">
        <f>SUMIF(124:124,I43,125:125)-SUMIF(124:124,C43,125:125)+100</f>
        <v>100</v>
      </c>
      <c r="K43" s="537">
        <v>2</v>
      </c>
      <c r="L43" s="2490"/>
      <c r="M43" s="2485"/>
      <c r="N43" s="2485"/>
      <c r="O43" s="2485"/>
      <c r="P43" s="3357"/>
      <c r="Q43" s="1262" t="str">
        <f t="shared" si="11"/>
        <v>内部装修维护情况</v>
      </c>
      <c r="R43" s="666" t="s">
        <v>14</v>
      </c>
      <c r="S43" s="667">
        <f t="shared" si="12"/>
        <v>100</v>
      </c>
      <c r="T43" s="666" t="s">
        <v>14</v>
      </c>
      <c r="U43" s="667">
        <f t="shared" si="13"/>
        <v>100</v>
      </c>
      <c r="V43" s="666" t="s">
        <v>14</v>
      </c>
      <c r="W43" s="667">
        <f t="shared" si="14"/>
        <v>100</v>
      </c>
      <c r="X43" s="1264"/>
      <c r="Y43" s="3359"/>
      <c r="Z43" s="1263" t="str">
        <f t="shared" si="15"/>
        <v>内部装修维护情况</v>
      </c>
      <c r="AA43" s="1263">
        <f t="shared" si="3"/>
        <v>1</v>
      </c>
      <c r="AB43" s="1263">
        <f t="shared" si="4"/>
        <v>1</v>
      </c>
      <c r="AC43" s="1263">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6"/>
      <c r="M44" s="2438"/>
      <c r="N44" s="2438"/>
      <c r="O44" s="2438"/>
      <c r="P44" s="3357"/>
      <c r="Q44" s="529">
        <f t="shared" si="11"/>
        <v>111</v>
      </c>
      <c r="R44" s="663" t="s">
        <v>14</v>
      </c>
      <c r="S44" s="664">
        <f t="shared" si="12"/>
        <v>100</v>
      </c>
      <c r="T44" s="663" t="s">
        <v>14</v>
      </c>
      <c r="U44" s="664">
        <f t="shared" si="13"/>
        <v>100</v>
      </c>
      <c r="V44" s="663" t="s">
        <v>14</v>
      </c>
      <c r="W44" s="664">
        <f t="shared" si="14"/>
        <v>100</v>
      </c>
      <c r="X44" s="665"/>
      <c r="Y44" s="3359"/>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0"/>
      <c r="M45" s="2485"/>
      <c r="N45" s="2485"/>
      <c r="O45" s="2485"/>
      <c r="P45" s="3357"/>
      <c r="Q45" s="1262">
        <f t="shared" si="11"/>
        <v>111</v>
      </c>
      <c r="R45" s="666" t="s">
        <v>14</v>
      </c>
      <c r="S45" s="667">
        <f t="shared" si="12"/>
        <v>100</v>
      </c>
      <c r="T45" s="666" t="s">
        <v>14</v>
      </c>
      <c r="U45" s="667">
        <f t="shared" si="13"/>
        <v>100</v>
      </c>
      <c r="V45" s="666" t="s">
        <v>14</v>
      </c>
      <c r="W45" s="667">
        <f t="shared" si="14"/>
        <v>100</v>
      </c>
      <c r="X45" s="1264"/>
      <c r="Y45" s="3359"/>
      <c r="Z45" s="1263">
        <f t="shared" si="15"/>
        <v>111</v>
      </c>
      <c r="AA45" s="1263">
        <f t="shared" si="3"/>
        <v>1</v>
      </c>
      <c r="AB45" s="1263">
        <f t="shared" si="4"/>
        <v>1</v>
      </c>
      <c r="AC45" s="1263">
        <f t="shared" si="5"/>
        <v>1</v>
      </c>
    </row>
    <row r="46" spans="1:29" ht="15.75"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0"/>
      <c r="M46" s="2485"/>
      <c r="N46" s="2485"/>
      <c r="O46" s="2485"/>
      <c r="P46" s="3358"/>
      <c r="Q46" s="1262">
        <f t="shared" si="11"/>
        <v>111</v>
      </c>
      <c r="R46" s="666" t="s">
        <v>14</v>
      </c>
      <c r="S46" s="667">
        <f t="shared" si="12"/>
        <v>100</v>
      </c>
      <c r="T46" s="666" t="s">
        <v>14</v>
      </c>
      <c r="U46" s="667">
        <f t="shared" si="13"/>
        <v>100</v>
      </c>
      <c r="V46" s="666" t="s">
        <v>14</v>
      </c>
      <c r="W46" s="667">
        <f t="shared" si="14"/>
        <v>100</v>
      </c>
      <c r="X46" s="1264"/>
      <c r="Y46" s="3360"/>
      <c r="Z46" s="1263">
        <f t="shared" si="15"/>
        <v>111</v>
      </c>
      <c r="AA46" s="1263">
        <f t="shared" si="3"/>
        <v>1</v>
      </c>
      <c r="AB46" s="1263">
        <f t="shared" si="4"/>
        <v>1</v>
      </c>
      <c r="AC46" s="1263">
        <f t="shared" si="5"/>
        <v>1</v>
      </c>
    </row>
    <row r="47" spans="1:29" ht="15">
      <c r="A47" s="415" t="s">
        <v>1708</v>
      </c>
      <c r="B47" s="416"/>
      <c r="C47" s="1080" t="s">
        <v>0</v>
      </c>
      <c r="D47" s="417"/>
      <c r="E47" s="418">
        <f>Sheet2!S218</f>
        <v>3</v>
      </c>
      <c r="F47" s="419"/>
      <c r="G47" s="420">
        <f>Sheet2!N61</f>
        <v>3.03</v>
      </c>
      <c r="H47" s="421"/>
      <c r="I47" s="418">
        <f>Sheet2!Q6</f>
        <v>3</v>
      </c>
      <c r="J47" s="421"/>
      <c r="K47" s="673"/>
      <c r="L47" s="2492"/>
      <c r="M47" s="2485"/>
      <c r="N47" s="2485"/>
      <c r="O47" s="2485"/>
      <c r="P47" s="3347" t="str">
        <f>A47</f>
        <v>成交单价（元/平方米）</v>
      </c>
      <c r="Q47" s="3347"/>
      <c r="R47" s="3348">
        <f>E47</f>
        <v>3</v>
      </c>
      <c r="S47" s="3348"/>
      <c r="T47" s="3348">
        <f>G47</f>
        <v>3.03</v>
      </c>
      <c r="U47" s="3348"/>
      <c r="V47" s="3348">
        <f>I47</f>
        <v>3</v>
      </c>
      <c r="W47" s="3348"/>
      <c r="X47" s="384"/>
      <c r="Y47" s="672"/>
      <c r="Z47" s="384"/>
      <c r="AA47" s="384"/>
      <c r="AB47" s="384"/>
      <c r="AC47" s="384"/>
    </row>
    <row r="48" spans="1:29" ht="15.75" thickBot="1">
      <c r="A48" s="422" t="s">
        <v>1709</v>
      </c>
      <c r="B48" s="423"/>
      <c r="C48" s="1081">
        <f>R49</f>
        <v>2.7</v>
      </c>
      <c r="D48" s="2140" t="s">
        <v>2138</v>
      </c>
      <c r="E48" s="1082">
        <f>R48</f>
        <v>2.7</v>
      </c>
      <c r="F48" s="2141"/>
      <c r="G48" s="1081">
        <f>T48</f>
        <v>2.8</v>
      </c>
      <c r="H48" s="2141"/>
      <c r="I48" s="1082">
        <f>V48</f>
        <v>2.7</v>
      </c>
      <c r="J48" s="2141"/>
      <c r="K48" s="2143">
        <f>F48+H48+J48</f>
        <v>0</v>
      </c>
      <c r="L48" s="2492"/>
      <c r="M48" s="2485"/>
      <c r="N48" s="2485"/>
      <c r="O48" s="2485"/>
      <c r="P48" s="3347" t="str">
        <f>A48</f>
        <v>比较价值（元/平方米）</v>
      </c>
      <c r="Q48" s="3347"/>
      <c r="R48" s="3348">
        <f>IF(F1="售价",ROUND(PRODUCT(R47,AA7:AA46),0),ROUND(PRODUCT(R47,AA7:AA46),1))</f>
        <v>2.7</v>
      </c>
      <c r="S48" s="3348"/>
      <c r="T48" s="3348">
        <f>IF(F1="售价",ROUND(PRODUCT(T47,AB7:AB46),0),ROUND(PRODUCT(T47,AB7:AB46),1))</f>
        <v>2.8</v>
      </c>
      <c r="U48" s="3348"/>
      <c r="V48" s="3348">
        <f>IF(F1="售价",ROUND(PRODUCT(V47,AC7:AC46),0),ROUND(PRODUCT(V47,AC7:AC46),1))</f>
        <v>2.7</v>
      </c>
      <c r="W48" s="3348"/>
      <c r="X48" s="384"/>
      <c r="Y48" s="384"/>
      <c r="Z48" s="384"/>
      <c r="AA48" s="384"/>
      <c r="AB48" s="384"/>
      <c r="AC48" s="384"/>
    </row>
    <row r="49" spans="1:29" ht="15.75" thickBot="1">
      <c r="A49" s="426" t="s">
        <v>1710</v>
      </c>
      <c r="B49" s="427"/>
      <c r="C49" s="350">
        <f>R49</f>
        <v>2.7</v>
      </c>
      <c r="D49" s="350"/>
      <c r="E49" s="350"/>
      <c r="F49" s="350"/>
      <c r="G49" s="350"/>
      <c r="H49" s="350"/>
      <c r="I49" s="350"/>
      <c r="J49" s="350"/>
      <c r="K49" s="674"/>
      <c r="L49" s="2492"/>
      <c r="M49" s="2485"/>
      <c r="N49" s="2485"/>
      <c r="O49" s="2485"/>
      <c r="P49" s="3349" t="str">
        <f>A49</f>
        <v>估价对象XX用房的比较价值（楼面单价，元/平方米）</v>
      </c>
      <c r="Q49" s="3350"/>
      <c r="R49" s="3351">
        <f>IF(F1="售价",ROUND(IF(D48="简单平均",AVERAGE(R48:V48),R48*F48+T48*H48+V48*J48),0),ROUND(IF(D48="简单平均",AVERAGE(R48:V48),R48*F48+T48*H48+V48*J48),1))</f>
        <v>2.7</v>
      </c>
      <c r="S49" s="3351"/>
      <c r="T49" s="3351"/>
      <c r="U49" s="3351"/>
      <c r="V49" s="3351"/>
      <c r="W49" s="3351"/>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1" t="s">
        <v>1711</v>
      </c>
      <c r="D52" s="432"/>
      <c r="E52" s="433">
        <f>IF(E47&lt;E48,E48/E47-1,E47/E48-1)</f>
        <v>0.11111111111111094</v>
      </c>
      <c r="F52" s="434" t="str">
        <f>IF(OR(E52&gt;=0.3,E52&lt;=-0.3),"超过30%","")</f>
        <v/>
      </c>
      <c r="G52" s="433">
        <f>IF(G47&lt;G48,G48/G47-1,G47/G48-1)</f>
        <v>8.2142857142857073E-2</v>
      </c>
      <c r="H52" s="434" t="str">
        <f>IF(OR(G52&gt;=0.3,G52&lt;=-0.3),"超过30%","")</f>
        <v/>
      </c>
      <c r="I52" s="433">
        <f>IF(I47&lt;I48,I48/I47-1,I47/I48-1)</f>
        <v>0.11111111111111094</v>
      </c>
      <c r="J52" s="434" t="str">
        <f>IF(OR(I52&gt;=0.3,I52&lt;=-0.3),"超过30%","")</f>
        <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1" t="s">
        <v>1712</v>
      </c>
      <c r="D53" s="435"/>
      <c r="E53" s="433">
        <f>IF(E48&lt;G48,G48/E48-1,E48/G48-1)</f>
        <v>3.7037037037036979E-2</v>
      </c>
      <c r="F53" s="434" t="str">
        <f>IF(OR(E53&gt;=0.2,E53&lt;=-0.2),"超过20%","")</f>
        <v/>
      </c>
      <c r="G53" s="433">
        <f>IF(G48&lt;I48,I48/G48-1,G48/I48-1)</f>
        <v>3.7037037037036979E-2</v>
      </c>
      <c r="H53" s="434" t="str">
        <f>IF(OR(G53&gt;=0.2,G53&lt;=-0.2),"超过20%","")</f>
        <v/>
      </c>
      <c r="I53" s="433">
        <f>IF(I48&lt;E48,E48/I48-1,I48/E48-1)</f>
        <v>0</v>
      </c>
      <c r="J53" s="434" t="str">
        <f>IF(OR(I53&gt;=0.2,I53&lt;=-0.2),"超过20%","")</f>
        <v/>
      </c>
      <c r="K53" s="2497"/>
      <c r="L53" s="2493"/>
      <c r="M53" s="2485"/>
      <c r="N53" s="2485"/>
      <c r="O53" s="2485"/>
      <c r="P53" s="2503"/>
      <c r="Q53" s="2485"/>
      <c r="R53" s="2485"/>
      <c r="S53" s="2485"/>
      <c r="T53" s="2485"/>
      <c r="U53" s="2485"/>
      <c r="V53" s="2485"/>
      <c r="W53" s="2485"/>
      <c r="X53" s="2485"/>
      <c r="Y53" s="2485"/>
      <c r="Z53" s="2485"/>
      <c r="AA53" s="2485"/>
      <c r="AB53" s="2485"/>
      <c r="AC53" s="2485"/>
    </row>
    <row r="54" spans="1:29" s="436" customFormat="1" ht="13.5" customHeight="1">
      <c r="A54" s="2495"/>
      <c r="B54" s="2495"/>
      <c r="C54" s="431" t="s">
        <v>1713</v>
      </c>
      <c r="D54" s="435"/>
      <c r="E54" s="433">
        <f>IF(E47&lt;G47,G47/E47-1,E47/G47-1)</f>
        <v>1.0000000000000009E-2</v>
      </c>
      <c r="F54" s="434" t="str">
        <f>IF(OR(E54&gt;=0.3,E54&lt;=-0.3),"超过30%","")</f>
        <v/>
      </c>
      <c r="G54" s="433">
        <f>IF(G47&lt;I47,I47/G47-1,G47/I47-1)</f>
        <v>1.0000000000000009E-2</v>
      </c>
      <c r="H54" s="434" t="str">
        <f>IF(OR(G54&gt;=0.3,G54&lt;=-0.3),"超过30%","")</f>
        <v/>
      </c>
      <c r="I54" s="433">
        <f>IF(I47&lt;E47,E47/I47-1,I47/E47-1)</f>
        <v>0</v>
      </c>
      <c r="J54" s="434" t="str">
        <f>IF(OR(I54&gt;=0.3,I54&lt;=-0.3),"超过30%","")</f>
        <v/>
      </c>
      <c r="K54" s="2500"/>
      <c r="L54" s="2494"/>
      <c r="M54" s="2495"/>
      <c r="N54" s="2495"/>
      <c r="O54" s="2495"/>
      <c r="P54" s="2504"/>
      <c r="Q54" s="2495"/>
      <c r="R54" s="2495"/>
      <c r="S54" s="2495"/>
      <c r="T54" s="2495"/>
      <c r="U54" s="2495"/>
      <c r="V54" s="2495"/>
      <c r="W54" s="2495"/>
      <c r="X54" s="2495"/>
      <c r="Y54" s="2495"/>
      <c r="Z54" s="2495"/>
      <c r="AA54" s="2495"/>
      <c r="AB54" s="2495"/>
      <c r="AC54" s="2495"/>
    </row>
    <row r="55" spans="1:29" s="436"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7" t="s">
        <v>1714</v>
      </c>
      <c r="B57" s="384"/>
      <c r="C57" s="658"/>
      <c r="D57" s="658"/>
      <c r="E57" s="658"/>
      <c r="F57" s="659"/>
      <c r="G57" s="659"/>
      <c r="H57" s="658"/>
      <c r="I57" s="658"/>
      <c r="J57" s="658"/>
      <c r="K57" s="660"/>
      <c r="L57" s="887"/>
      <c r="M57" s="885"/>
      <c r="N57" s="885"/>
      <c r="O57" s="885"/>
      <c r="P57" s="2505"/>
      <c r="Q57" s="2506"/>
      <c r="R57" s="2485"/>
      <c r="S57" s="2485"/>
      <c r="T57" s="2485"/>
      <c r="U57" s="2485"/>
      <c r="V57" s="2485"/>
      <c r="W57" s="2485"/>
      <c r="X57" s="2485"/>
      <c r="Y57" s="2485"/>
      <c r="Z57" s="2485"/>
      <c r="AA57" s="2485"/>
      <c r="AB57" s="2485"/>
      <c r="AC57" s="2485"/>
    </row>
    <row r="58" spans="1:29" s="441" customFormat="1" ht="15">
      <c r="A58" s="439" t="s">
        <v>1679</v>
      </c>
      <c r="B58" s="440"/>
      <c r="C58" s="1102" t="str">
        <f>YEAR(C7)&amp;"-"&amp;MONTH(C7)</f>
        <v>2024-10</v>
      </c>
      <c r="D58" s="1103">
        <f>EDATE(C58,-1)</f>
        <v>45536</v>
      </c>
      <c r="E58" s="1103">
        <f t="shared" ref="E58:N58" si="16">EDATE(D58,-1)</f>
        <v>45505</v>
      </c>
      <c r="F58" s="1103">
        <f t="shared" si="16"/>
        <v>45474</v>
      </c>
      <c r="G58" s="1103">
        <f t="shared" si="16"/>
        <v>45444</v>
      </c>
      <c r="H58" s="1103">
        <f t="shared" si="16"/>
        <v>45413</v>
      </c>
      <c r="I58" s="1103">
        <f t="shared" si="16"/>
        <v>45383</v>
      </c>
      <c r="J58" s="1103">
        <f t="shared" si="16"/>
        <v>45352</v>
      </c>
      <c r="K58" s="1103">
        <f t="shared" si="16"/>
        <v>45323</v>
      </c>
      <c r="L58" s="1103">
        <f t="shared" si="16"/>
        <v>45292</v>
      </c>
      <c r="M58" s="1103">
        <f t="shared" si="16"/>
        <v>45261</v>
      </c>
      <c r="N58" s="1103">
        <f t="shared" si="16"/>
        <v>45231</v>
      </c>
      <c r="O58" s="1103">
        <f>EDATE(N58,-1)</f>
        <v>45200</v>
      </c>
      <c r="P58" s="2507"/>
      <c r="Q58" s="2508"/>
      <c r="R58" s="2508"/>
      <c r="S58" s="2508"/>
      <c r="T58" s="2508"/>
      <c r="U58" s="2508"/>
      <c r="V58" s="2508"/>
      <c r="W58" s="2508"/>
      <c r="X58" s="2508"/>
      <c r="Y58" s="2508"/>
      <c r="Z58" s="2508"/>
      <c r="AA58" s="2508"/>
      <c r="AB58" s="2508"/>
      <c r="AC58" s="2508"/>
    </row>
    <row r="59" spans="1:29" s="101" customFormat="1" ht="15">
      <c r="A59" s="442"/>
      <c r="B59" s="443"/>
      <c r="C59" s="1101">
        <v>100</v>
      </c>
      <c r="D59" s="445"/>
      <c r="E59" s="445"/>
      <c r="F59" s="445"/>
      <c r="G59" s="445"/>
      <c r="H59" s="445"/>
      <c r="I59" s="445"/>
      <c r="J59" s="445"/>
      <c r="K59" s="445"/>
      <c r="L59" s="445"/>
      <c r="M59" s="446"/>
      <c r="N59" s="445"/>
      <c r="O59" s="446"/>
      <c r="P59" s="2509"/>
      <c r="Q59" s="2438"/>
      <c r="R59" s="2438"/>
      <c r="S59" s="2438"/>
      <c r="T59" s="2438"/>
      <c r="U59" s="2438"/>
      <c r="V59" s="2438"/>
      <c r="W59" s="2438"/>
      <c r="X59" s="2438"/>
      <c r="Y59" s="2438"/>
      <c r="Z59" s="2438"/>
      <c r="AA59" s="2438"/>
      <c r="AB59" s="2438"/>
      <c r="AC59" s="2438"/>
    </row>
    <row r="60" spans="1:29" s="101" customFormat="1" ht="15.75" thickBot="1">
      <c r="A60" s="448" t="s">
        <v>1716</v>
      </c>
      <c r="B60" s="449"/>
      <c r="C60" s="450"/>
      <c r="D60" s="451"/>
      <c r="E60" s="451"/>
      <c r="F60" s="451"/>
      <c r="G60" s="451"/>
      <c r="H60" s="451"/>
      <c r="I60" s="451"/>
      <c r="J60" s="451"/>
      <c r="K60" s="451"/>
      <c r="L60" s="451"/>
      <c r="M60" s="452"/>
      <c r="N60" s="451"/>
      <c r="O60" s="452"/>
      <c r="P60" s="2509"/>
      <c r="Q60" s="2506"/>
      <c r="R60" s="2438"/>
      <c r="S60" s="2438"/>
      <c r="T60" s="2438"/>
      <c r="U60" s="2438"/>
      <c r="V60" s="2438"/>
      <c r="W60" s="2438"/>
      <c r="X60" s="2438"/>
      <c r="Y60" s="2438"/>
      <c r="Z60" s="2438"/>
      <c r="AA60" s="2438"/>
      <c r="AB60" s="2438"/>
      <c r="AC60" s="2438"/>
    </row>
    <row r="61" spans="1:29" s="101" customFormat="1" ht="15">
      <c r="A61" s="454" t="s">
        <v>1681</v>
      </c>
      <c r="B61" s="443"/>
      <c r="C61" s="455" t="s">
        <v>1718</v>
      </c>
      <c r="D61" s="3146" t="s">
        <v>3421</v>
      </c>
      <c r="E61" s="31"/>
      <c r="F61" s="31"/>
      <c r="G61" s="31"/>
      <c r="H61" s="31"/>
      <c r="I61" s="31"/>
      <c r="J61" s="31"/>
      <c r="K61" s="31"/>
      <c r="L61" s="456"/>
      <c r="M61" s="457"/>
      <c r="N61" s="2518"/>
      <c r="O61" s="2518"/>
      <c r="P61" s="2510"/>
      <c r="Q61" s="2506"/>
      <c r="R61" s="2438"/>
      <c r="S61" s="2438"/>
      <c r="T61" s="2438"/>
      <c r="U61" s="2438"/>
      <c r="V61" s="2438"/>
      <c r="W61" s="2438"/>
      <c r="X61" s="2438"/>
      <c r="Y61" s="2438"/>
      <c r="Z61" s="2438"/>
      <c r="AA61" s="2438"/>
      <c r="AB61" s="2438"/>
      <c r="AC61" s="2438"/>
    </row>
    <row r="62" spans="1:29" s="101" customFormat="1" ht="15.75" thickBot="1">
      <c r="A62" s="454"/>
      <c r="B62" s="443"/>
      <c r="C62" s="444">
        <v>100</v>
      </c>
      <c r="D62" s="445">
        <v>102</v>
      </c>
      <c r="E62" s="445"/>
      <c r="F62" s="445"/>
      <c r="G62" s="445"/>
      <c r="H62" s="445"/>
      <c r="I62" s="445"/>
      <c r="J62" s="445"/>
      <c r="K62" s="445"/>
      <c r="L62" s="445"/>
      <c r="M62" s="447"/>
      <c r="N62" s="2518"/>
      <c r="O62" s="2518"/>
      <c r="P62" s="2509"/>
      <c r="Q62" s="2506"/>
      <c r="R62" s="2438"/>
      <c r="S62" s="2438"/>
      <c r="T62" s="2438"/>
      <c r="U62" s="2438"/>
      <c r="V62" s="2438"/>
      <c r="W62" s="2438"/>
      <c r="X62" s="2438"/>
      <c r="Y62" s="2438"/>
      <c r="Z62" s="2438"/>
      <c r="AA62" s="2438"/>
      <c r="AB62" s="2438"/>
      <c r="AC62" s="2438"/>
    </row>
    <row r="63" spans="1:29">
      <c r="A63" s="378" t="s">
        <v>1719</v>
      </c>
      <c r="B63" s="459" t="s">
        <v>1685</v>
      </c>
      <c r="C63" s="460" t="str">
        <f>C9</f>
        <v>商业</v>
      </c>
      <c r="D63" s="461"/>
      <c r="E63" s="461"/>
      <c r="F63" s="461"/>
      <c r="G63" s="461"/>
      <c r="H63" s="461"/>
      <c r="I63" s="461"/>
      <c r="J63" s="461"/>
      <c r="K63" s="462"/>
      <c r="L63" s="463"/>
      <c r="M63" s="464"/>
      <c r="N63" s="2519"/>
      <c r="O63" s="2519"/>
      <c r="P63" s="2511"/>
      <c r="Q63" s="2506"/>
      <c r="R63" s="2485"/>
      <c r="S63" s="2485"/>
      <c r="T63" s="2485"/>
      <c r="U63" s="2485"/>
      <c r="V63" s="2485"/>
      <c r="W63" s="2485"/>
      <c r="X63" s="2485"/>
      <c r="Y63" s="2485"/>
      <c r="Z63" s="2485"/>
      <c r="AA63" s="2485"/>
      <c r="AB63" s="2485"/>
      <c r="AC63" s="2485"/>
    </row>
    <row r="64" spans="1:29" ht="15.75" thickBot="1">
      <c r="A64" s="366"/>
      <c r="B64" s="465"/>
      <c r="C64" s="466">
        <v>100</v>
      </c>
      <c r="D64" s="466"/>
      <c r="E64" s="466"/>
      <c r="F64" s="466"/>
      <c r="G64" s="466"/>
      <c r="H64" s="466"/>
      <c r="I64" s="466"/>
      <c r="J64" s="466"/>
      <c r="K64" s="466"/>
      <c r="L64" s="466"/>
      <c r="M64" s="467"/>
      <c r="N64" s="2520"/>
      <c r="O64" s="2520"/>
      <c r="P64" s="2511"/>
      <c r="Q64" s="2506"/>
      <c r="R64" s="2485"/>
      <c r="S64" s="2485"/>
      <c r="T64" s="2485"/>
      <c r="U64" s="2485"/>
      <c r="V64" s="2485"/>
      <c r="W64" s="2485"/>
      <c r="X64" s="2485"/>
      <c r="Y64" s="2485"/>
      <c r="Z64" s="2485"/>
      <c r="AA64" s="2485"/>
      <c r="AB64" s="2485"/>
      <c r="AC64" s="2485"/>
    </row>
    <row r="65" spans="1:29" ht="27.75" thickTop="1">
      <c r="A65" s="366"/>
      <c r="B65" s="468" t="s">
        <v>1688</v>
      </c>
      <c r="C65" s="512"/>
      <c r="D65" s="512"/>
      <c r="E65" s="512"/>
      <c r="F65" s="512"/>
      <c r="G65" s="512"/>
      <c r="H65" s="512"/>
      <c r="I65" s="512"/>
      <c r="J65" s="512"/>
      <c r="K65" s="513"/>
      <c r="L65" s="514"/>
      <c r="M65" s="515"/>
      <c r="N65" s="2519"/>
      <c r="O65" s="2519"/>
      <c r="P65" s="2511"/>
      <c r="Q65" s="2506"/>
      <c r="R65" s="2485"/>
      <c r="S65" s="2485"/>
      <c r="T65" s="2485"/>
      <c r="U65" s="2485"/>
      <c r="V65" s="2485"/>
      <c r="W65" s="2485"/>
      <c r="X65" s="2485"/>
      <c r="Y65" s="2485"/>
      <c r="Z65" s="2485"/>
      <c r="AA65" s="2485"/>
      <c r="AB65" s="2485"/>
      <c r="AC65" s="2485"/>
    </row>
    <row r="66" spans="1:29" ht="15.75" thickBot="1">
      <c r="A66" s="366"/>
      <c r="B66" s="473"/>
      <c r="C66" s="466"/>
      <c r="D66" s="466"/>
      <c r="E66" s="466"/>
      <c r="F66" s="466"/>
      <c r="G66" s="466"/>
      <c r="H66" s="466"/>
      <c r="I66" s="466"/>
      <c r="J66" s="466"/>
      <c r="K66" s="466"/>
      <c r="L66" s="466"/>
      <c r="M66" s="467"/>
      <c r="N66" s="2520"/>
      <c r="O66" s="2520"/>
      <c r="P66" s="2511"/>
      <c r="Q66" s="2506"/>
      <c r="R66" s="2485"/>
      <c r="S66" s="2485"/>
      <c r="T66" s="2485"/>
      <c r="U66" s="2485"/>
      <c r="V66" s="2485"/>
      <c r="W66" s="2485"/>
      <c r="X66" s="2485"/>
      <c r="Y66" s="2485"/>
      <c r="Z66" s="2485"/>
      <c r="AA66" s="2485"/>
      <c r="AB66" s="2485"/>
      <c r="AC66" s="2485"/>
    </row>
    <row r="67" spans="1:29" ht="15.75" thickTop="1">
      <c r="A67" s="366"/>
      <c r="B67" s="476" t="s">
        <v>1689</v>
      </c>
      <c r="C67" s="477" t="str">
        <f>C68&amp;"（含）"&amp;"-"&amp;D68</f>
        <v>0（含）-2</v>
      </c>
      <c r="D67" s="477" t="str">
        <f t="shared" ref="D67:L67" si="17">D68&amp;"（含）"&amp;"-"&amp;E68</f>
        <v>2（含）-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6"/>
      <c r="B68" s="478"/>
      <c r="C68" s="479">
        <v>0</v>
      </c>
      <c r="D68" s="479">
        <v>2</v>
      </c>
      <c r="E68" s="479"/>
      <c r="F68" s="479"/>
      <c r="G68" s="479"/>
      <c r="H68" s="479"/>
      <c r="I68" s="479"/>
      <c r="J68" s="479"/>
      <c r="K68" s="480"/>
      <c r="L68" s="481"/>
      <c r="M68" s="482"/>
      <c r="N68" s="2519"/>
      <c r="O68" s="2519"/>
      <c r="P68" s="2511"/>
      <c r="Q68" s="2506"/>
      <c r="R68" s="2485"/>
      <c r="S68" s="2485"/>
      <c r="T68" s="2485"/>
      <c r="U68" s="2485"/>
      <c r="V68" s="2485"/>
      <c r="W68" s="2485"/>
      <c r="X68" s="2485"/>
      <c r="Y68" s="2485"/>
      <c r="Z68" s="2485"/>
      <c r="AA68" s="2485"/>
      <c r="AB68" s="2485"/>
      <c r="AC68" s="2485"/>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0"/>
      <c r="O69" s="2520"/>
      <c r="P69" s="2511"/>
      <c r="Q69" s="2506"/>
      <c r="R69" s="2485"/>
      <c r="S69" s="2485"/>
      <c r="T69" s="2485"/>
      <c r="U69" s="2485"/>
      <c r="V69" s="2485"/>
      <c r="W69" s="2485"/>
      <c r="X69" s="2485"/>
      <c r="Y69" s="2485"/>
      <c r="Z69" s="2485"/>
      <c r="AA69" s="2485"/>
      <c r="AB69" s="2485"/>
      <c r="AC69" s="2485"/>
    </row>
    <row r="70" spans="1:29" s="407" customFormat="1" ht="15.75" thickTop="1">
      <c r="A70" s="483"/>
      <c r="B70" s="468">
        <f>B12</f>
        <v>111</v>
      </c>
      <c r="C70" s="484"/>
      <c r="D70" s="484"/>
      <c r="E70" s="484"/>
      <c r="F70" s="484"/>
      <c r="G70" s="484"/>
      <c r="H70" s="485"/>
      <c r="I70" s="485"/>
      <c r="J70" s="485"/>
      <c r="K70" s="485"/>
      <c r="L70" s="486"/>
      <c r="M70" s="487"/>
      <c r="N70" s="2521"/>
      <c r="O70" s="2521"/>
      <c r="P70" s="2512"/>
      <c r="Q70" s="2513"/>
      <c r="R70" s="2491"/>
      <c r="S70" s="2491"/>
      <c r="T70" s="2491"/>
      <c r="U70" s="2491"/>
      <c r="V70" s="2491"/>
      <c r="W70" s="2491"/>
      <c r="X70" s="2491"/>
      <c r="Y70" s="2491"/>
      <c r="Z70" s="2491"/>
      <c r="AA70" s="2491"/>
      <c r="AB70" s="2491"/>
      <c r="AC70" s="2491"/>
    </row>
    <row r="71" spans="1:29" s="407" customFormat="1" ht="15.75" thickBot="1">
      <c r="A71" s="483"/>
      <c r="B71" s="473"/>
      <c r="C71" s="490"/>
      <c r="D71" s="466"/>
      <c r="E71" s="466"/>
      <c r="F71" s="466"/>
      <c r="G71" s="466"/>
      <c r="H71" s="466"/>
      <c r="I71" s="466"/>
      <c r="J71" s="466"/>
      <c r="K71" s="466"/>
      <c r="L71" s="466"/>
      <c r="M71" s="467"/>
      <c r="N71" s="2520"/>
      <c r="O71" s="2520"/>
      <c r="P71" s="2512"/>
      <c r="Q71" s="2513"/>
      <c r="R71" s="2491"/>
      <c r="S71" s="2491"/>
      <c r="T71" s="2491"/>
      <c r="U71" s="2491"/>
      <c r="V71" s="2491"/>
      <c r="W71" s="2491"/>
      <c r="X71" s="2491"/>
      <c r="Y71" s="2491"/>
      <c r="Z71" s="2491"/>
      <c r="AA71" s="2491"/>
      <c r="AB71" s="2491"/>
      <c r="AC71" s="2491"/>
    </row>
    <row r="72" spans="1:29" s="407" customFormat="1" ht="15.75" thickTop="1">
      <c r="A72" s="483"/>
      <c r="B72" s="468">
        <f>B13</f>
        <v>111</v>
      </c>
      <c r="C72" s="484"/>
      <c r="D72" s="484"/>
      <c r="E72" s="484"/>
      <c r="F72" s="484"/>
      <c r="G72" s="484"/>
      <c r="H72" s="485"/>
      <c r="I72" s="485"/>
      <c r="J72" s="485"/>
      <c r="K72" s="485"/>
      <c r="L72" s="486"/>
      <c r="M72" s="487"/>
      <c r="N72" s="2521"/>
      <c r="O72" s="2521"/>
      <c r="P72" s="2514"/>
      <c r="Q72" s="2515"/>
      <c r="R72" s="2491"/>
      <c r="S72" s="2491"/>
      <c r="T72" s="2491"/>
      <c r="U72" s="2491"/>
      <c r="V72" s="2491"/>
      <c r="W72" s="2491"/>
      <c r="X72" s="2491"/>
      <c r="Y72" s="2491"/>
      <c r="Z72" s="2491"/>
      <c r="AA72" s="2491"/>
      <c r="AB72" s="2491"/>
      <c r="AC72" s="2491"/>
    </row>
    <row r="73" spans="1:29" s="407" customFormat="1" ht="15.75" thickBot="1">
      <c r="A73" s="483"/>
      <c r="B73" s="473"/>
      <c r="C73" s="490"/>
      <c r="D73" s="466"/>
      <c r="E73" s="466"/>
      <c r="F73" s="466"/>
      <c r="G73" s="490"/>
      <c r="H73" s="492"/>
      <c r="I73" s="492"/>
      <c r="J73" s="492"/>
      <c r="K73" s="492"/>
      <c r="L73" s="492"/>
      <c r="M73" s="493"/>
      <c r="N73" s="2521"/>
      <c r="O73" s="2521"/>
      <c r="P73" s="2512"/>
      <c r="Q73" s="2513"/>
      <c r="R73" s="2491"/>
      <c r="S73" s="2491"/>
      <c r="T73" s="2491"/>
      <c r="U73" s="2491"/>
      <c r="V73" s="2491"/>
      <c r="W73" s="2491"/>
      <c r="X73" s="2491"/>
      <c r="Y73" s="2491"/>
      <c r="Z73" s="2491"/>
      <c r="AA73" s="2491"/>
      <c r="AB73" s="2491"/>
      <c r="AC73" s="2491"/>
    </row>
    <row r="74" spans="1:29" s="407" customFormat="1" ht="15.75" thickTop="1">
      <c r="A74" s="483"/>
      <c r="B74" s="476">
        <f>B14</f>
        <v>111</v>
      </c>
      <c r="C74" s="484"/>
      <c r="D74" s="484"/>
      <c r="E74" s="484"/>
      <c r="F74" s="484"/>
      <c r="G74" s="31"/>
      <c r="H74" s="494"/>
      <c r="I74" s="494"/>
      <c r="J74" s="494"/>
      <c r="K74" s="494"/>
      <c r="L74" s="495"/>
      <c r="M74" s="496"/>
      <c r="N74" s="2521"/>
      <c r="O74" s="2521"/>
      <c r="P74" s="2516"/>
      <c r="Q74" s="2513"/>
      <c r="R74" s="2491"/>
      <c r="S74" s="2491"/>
      <c r="T74" s="2491"/>
      <c r="U74" s="2491"/>
      <c r="V74" s="2491"/>
      <c r="W74" s="2491"/>
      <c r="X74" s="2491"/>
      <c r="Y74" s="2491"/>
      <c r="Z74" s="2491"/>
      <c r="AA74" s="2491"/>
      <c r="AB74" s="2491"/>
      <c r="AC74" s="2491"/>
    </row>
    <row r="75" spans="1:29" s="407" customFormat="1" ht="15.75" thickBot="1">
      <c r="A75" s="498"/>
      <c r="B75" s="499"/>
      <c r="C75" s="500"/>
      <c r="D75" s="500"/>
      <c r="E75" s="500"/>
      <c r="F75" s="500"/>
      <c r="G75" s="500"/>
      <c r="H75" s="501"/>
      <c r="I75" s="501"/>
      <c r="J75" s="501"/>
      <c r="K75" s="501"/>
      <c r="L75" s="501"/>
      <c r="M75" s="502"/>
      <c r="N75" s="2521"/>
      <c r="O75" s="2521"/>
      <c r="P75" s="2512"/>
      <c r="Q75" s="2513"/>
      <c r="R75" s="2491"/>
      <c r="S75" s="2491"/>
      <c r="T75" s="2491"/>
      <c r="U75" s="2491"/>
      <c r="V75" s="2491"/>
      <c r="W75" s="2491"/>
      <c r="X75" s="2491"/>
      <c r="Y75" s="2491"/>
      <c r="Z75" s="2491"/>
      <c r="AA75" s="2491"/>
      <c r="AB75" s="2491"/>
      <c r="AC75" s="2491"/>
    </row>
    <row r="76" spans="1:29">
      <c r="A76" s="378" t="s">
        <v>1690</v>
      </c>
      <c r="B76" s="459" t="s">
        <v>1720</v>
      </c>
      <c r="C76" s="503" t="s">
        <v>1721</v>
      </c>
      <c r="D76" s="503" t="s">
        <v>1722</v>
      </c>
      <c r="E76" s="503" t="s">
        <v>1723</v>
      </c>
      <c r="F76" s="503" t="s">
        <v>1724</v>
      </c>
      <c r="G76" s="503" t="s">
        <v>1725</v>
      </c>
      <c r="H76" s="460"/>
      <c r="I76" s="460"/>
      <c r="J76" s="460"/>
      <c r="K76" s="504"/>
      <c r="L76" s="505"/>
      <c r="M76" s="506"/>
      <c r="N76" s="2519"/>
      <c r="O76" s="2519"/>
      <c r="P76" s="2517"/>
      <c r="Q76" s="2506"/>
      <c r="R76" s="2485"/>
      <c r="S76" s="2485"/>
      <c r="T76" s="2485"/>
      <c r="U76" s="2485"/>
      <c r="V76" s="2485"/>
      <c r="W76" s="2485"/>
      <c r="X76" s="2485"/>
      <c r="Y76" s="2485"/>
      <c r="Z76" s="2485"/>
      <c r="AA76" s="2485"/>
      <c r="AB76" s="2485"/>
      <c r="AC76" s="2485"/>
    </row>
    <row r="77" spans="1:29" ht="15.75" thickBot="1">
      <c r="A77" s="366"/>
      <c r="B77" s="473"/>
      <c r="C77" s="474">
        <v>100</v>
      </c>
      <c r="D77" s="474">
        <f>C77-$K15</f>
        <v>98</v>
      </c>
      <c r="E77" s="474">
        <f>D77-$K15</f>
        <v>96</v>
      </c>
      <c r="F77" s="474">
        <f>E77-$K15</f>
        <v>94</v>
      </c>
      <c r="G77" s="474">
        <f>F77-$K15</f>
        <v>92</v>
      </c>
      <c r="H77" s="474"/>
      <c r="I77" s="474"/>
      <c r="J77" s="474"/>
      <c r="K77" s="474"/>
      <c r="L77" s="474"/>
      <c r="M77" s="475"/>
      <c r="N77" s="2520"/>
      <c r="O77" s="2520"/>
      <c r="P77" s="2511"/>
      <c r="Q77" s="2506"/>
      <c r="R77" s="2485"/>
      <c r="S77" s="2485"/>
      <c r="T77" s="2485"/>
      <c r="U77" s="2485"/>
      <c r="V77" s="2485"/>
      <c r="W77" s="2485"/>
      <c r="X77" s="2485"/>
      <c r="Y77" s="2485"/>
      <c r="Z77" s="2485"/>
      <c r="AA77" s="2485"/>
      <c r="AB77" s="2485"/>
      <c r="AC77" s="2485"/>
    </row>
    <row r="78" spans="1:29" ht="15.75" thickTop="1">
      <c r="A78" s="366"/>
      <c r="B78" s="468" t="s">
        <v>1726</v>
      </c>
      <c r="C78" s="508" t="s">
        <v>1721</v>
      </c>
      <c r="D78" s="508" t="s">
        <v>1722</v>
      </c>
      <c r="E78" s="508" t="s">
        <v>1723</v>
      </c>
      <c r="F78" s="508" t="s">
        <v>1724</v>
      </c>
      <c r="G78" s="508" t="s">
        <v>1725</v>
      </c>
      <c r="H78" s="469"/>
      <c r="I78" s="469"/>
      <c r="J78" s="469"/>
      <c r="K78" s="470"/>
      <c r="L78" s="471"/>
      <c r="M78" s="472"/>
      <c r="N78" s="2519"/>
      <c r="O78" s="2519"/>
      <c r="P78" s="2511"/>
      <c r="Q78" s="2506"/>
      <c r="R78" s="2485"/>
      <c r="S78" s="2485"/>
      <c r="T78" s="2485"/>
      <c r="U78" s="2485"/>
      <c r="V78" s="2485"/>
      <c r="W78" s="2485"/>
      <c r="X78" s="2485"/>
      <c r="Y78" s="2485"/>
      <c r="Z78" s="2485"/>
      <c r="AA78" s="2485"/>
      <c r="AB78" s="2485"/>
      <c r="AC78" s="2485"/>
    </row>
    <row r="79" spans="1:29" ht="15.75" thickBot="1">
      <c r="A79" s="366"/>
      <c r="B79" s="473"/>
      <c r="C79" s="474">
        <v>100</v>
      </c>
      <c r="D79" s="474">
        <f>C79-$K17</f>
        <v>98</v>
      </c>
      <c r="E79" s="474">
        <f>D79-$K17</f>
        <v>96</v>
      </c>
      <c r="F79" s="474">
        <f>E79-$K17</f>
        <v>94</v>
      </c>
      <c r="G79" s="474">
        <f>F79-$K17</f>
        <v>92</v>
      </c>
      <c r="H79" s="474"/>
      <c r="I79" s="474"/>
      <c r="J79" s="474"/>
      <c r="K79" s="474"/>
      <c r="L79" s="474"/>
      <c r="M79" s="475"/>
      <c r="N79" s="2520"/>
      <c r="O79" s="2520"/>
      <c r="P79" s="2511"/>
      <c r="Q79" s="2506"/>
      <c r="R79" s="2485"/>
      <c r="S79" s="2485"/>
      <c r="T79" s="2485"/>
      <c r="U79" s="2485"/>
      <c r="V79" s="2485"/>
      <c r="W79" s="2485"/>
      <c r="X79" s="2485"/>
      <c r="Y79" s="2485"/>
      <c r="Z79" s="2485"/>
      <c r="AA79" s="2485"/>
      <c r="AB79" s="2485"/>
      <c r="AC79" s="2485"/>
    </row>
    <row r="80" spans="1:29" ht="15.75" thickTop="1">
      <c r="A80" s="366"/>
      <c r="B80" s="468" t="s">
        <v>1727</v>
      </c>
      <c r="C80" s="508" t="s">
        <v>1721</v>
      </c>
      <c r="D80" s="508" t="s">
        <v>1722</v>
      </c>
      <c r="E80" s="508" t="s">
        <v>1723</v>
      </c>
      <c r="F80" s="508" t="s">
        <v>1724</v>
      </c>
      <c r="G80" s="508" t="s">
        <v>1725</v>
      </c>
      <c r="H80" s="469"/>
      <c r="I80" s="469"/>
      <c r="J80" s="469"/>
      <c r="K80" s="470"/>
      <c r="L80" s="471"/>
      <c r="M80" s="472"/>
      <c r="N80" s="2519"/>
      <c r="O80" s="2519"/>
      <c r="P80" s="2511"/>
      <c r="Q80" s="2506"/>
      <c r="R80" s="2485"/>
      <c r="S80" s="2485"/>
      <c r="T80" s="2485"/>
      <c r="U80" s="2485"/>
      <c r="V80" s="2485"/>
      <c r="W80" s="2485"/>
      <c r="X80" s="2485"/>
      <c r="Y80" s="2485"/>
      <c r="Z80" s="2485"/>
      <c r="AA80" s="2485"/>
      <c r="AB80" s="2485"/>
      <c r="AC80" s="2485"/>
    </row>
    <row r="81" spans="1:29" ht="15.75" thickBot="1">
      <c r="A81" s="366"/>
      <c r="B81" s="473"/>
      <c r="C81" s="474">
        <v>100</v>
      </c>
      <c r="D81" s="474">
        <f>C81-$K19</f>
        <v>98</v>
      </c>
      <c r="E81" s="474">
        <f>D81-$K19</f>
        <v>96</v>
      </c>
      <c r="F81" s="474">
        <f>E81-$K19</f>
        <v>94</v>
      </c>
      <c r="G81" s="474">
        <f>F81-$K19</f>
        <v>92</v>
      </c>
      <c r="H81" s="474"/>
      <c r="I81" s="474"/>
      <c r="J81" s="474"/>
      <c r="K81" s="474"/>
      <c r="L81" s="474"/>
      <c r="M81" s="475"/>
      <c r="N81" s="2520"/>
      <c r="O81" s="2520"/>
      <c r="P81" s="2511"/>
      <c r="Q81" s="2506"/>
      <c r="R81" s="2485"/>
      <c r="S81" s="2485"/>
      <c r="T81" s="2485"/>
      <c r="U81" s="2485"/>
      <c r="V81" s="2485"/>
      <c r="W81" s="2485"/>
      <c r="X81" s="2485"/>
      <c r="Y81" s="2485"/>
      <c r="Z81" s="2485"/>
      <c r="AA81" s="2485"/>
      <c r="AB81" s="2485"/>
      <c r="AC81" s="2485"/>
    </row>
    <row r="82" spans="1:29" ht="15.75" thickTop="1">
      <c r="A82" s="366"/>
      <c r="B82" s="476" t="s">
        <v>1779</v>
      </c>
      <c r="C82" s="580" t="s">
        <v>1799</v>
      </c>
      <c r="D82" s="580" t="s">
        <v>1800</v>
      </c>
      <c r="E82" s="580" t="s">
        <v>1801</v>
      </c>
      <c r="F82" s="580" t="s">
        <v>1802</v>
      </c>
      <c r="G82" s="580" t="s">
        <v>1803</v>
      </c>
      <c r="H82" s="469"/>
      <c r="I82" s="469"/>
      <c r="J82" s="469"/>
      <c r="K82" s="469"/>
      <c r="L82" s="469"/>
      <c r="M82" s="1062"/>
      <c r="N82" s="2520"/>
      <c r="O82" s="2520"/>
      <c r="P82" s="2511"/>
      <c r="Q82" s="2506"/>
      <c r="R82" s="2485"/>
      <c r="S82" s="2485"/>
      <c r="T82" s="2485"/>
      <c r="U82" s="2485"/>
      <c r="V82" s="2485"/>
      <c r="W82" s="2485"/>
      <c r="X82" s="2485"/>
      <c r="Y82" s="2485"/>
      <c r="Z82" s="2485"/>
      <c r="AA82" s="2485"/>
      <c r="AB82" s="2485"/>
      <c r="AC82" s="2485"/>
    </row>
    <row r="83" spans="1:29" ht="15.75" thickBot="1">
      <c r="A83" s="366"/>
      <c r="B83" s="476"/>
      <c r="C83" s="474">
        <v>100</v>
      </c>
      <c r="D83" s="474">
        <f>C83-$K21</f>
        <v>99</v>
      </c>
      <c r="E83" s="474">
        <f t="shared" ref="E83:G83" si="19">D83-$K21</f>
        <v>98</v>
      </c>
      <c r="F83" s="474">
        <f t="shared" si="19"/>
        <v>97</v>
      </c>
      <c r="G83" s="474">
        <f t="shared" si="19"/>
        <v>96</v>
      </c>
      <c r="H83" s="580"/>
      <c r="I83" s="580"/>
      <c r="J83" s="580"/>
      <c r="K83" s="580"/>
      <c r="L83" s="580"/>
      <c r="M83" s="388"/>
      <c r="N83" s="2520"/>
      <c r="O83" s="2520"/>
      <c r="P83" s="2511"/>
      <c r="Q83" s="2506"/>
      <c r="R83" s="2485"/>
      <c r="S83" s="2485"/>
      <c r="T83" s="2485"/>
      <c r="U83" s="2485"/>
      <c r="V83" s="2485"/>
      <c r="W83" s="2485"/>
      <c r="X83" s="2485"/>
      <c r="Y83" s="2485"/>
      <c r="Z83" s="2485"/>
      <c r="AA83" s="2485"/>
      <c r="AB83" s="2485"/>
      <c r="AC83" s="2485"/>
    </row>
    <row r="84" spans="1:29" ht="15.75" thickTop="1">
      <c r="A84" s="366"/>
      <c r="B84" s="468" t="s">
        <v>1733</v>
      </c>
      <c r="C84" s="508" t="s">
        <v>1721</v>
      </c>
      <c r="D84" s="508" t="s">
        <v>1722</v>
      </c>
      <c r="E84" s="508" t="s">
        <v>1723</v>
      </c>
      <c r="F84" s="508" t="s">
        <v>1724</v>
      </c>
      <c r="G84" s="508" t="s">
        <v>1725</v>
      </c>
      <c r="H84" s="469"/>
      <c r="I84" s="469"/>
      <c r="J84" s="469"/>
      <c r="K84" s="470"/>
      <c r="L84" s="471"/>
      <c r="M84" s="472"/>
      <c r="N84" s="2519"/>
      <c r="O84" s="2519"/>
      <c r="P84" s="2511"/>
      <c r="Q84" s="2506"/>
      <c r="R84" s="2485"/>
      <c r="S84" s="2485"/>
      <c r="T84" s="2485"/>
      <c r="U84" s="2485"/>
      <c r="V84" s="2485"/>
      <c r="W84" s="2485"/>
      <c r="X84" s="2485"/>
      <c r="Y84" s="2485"/>
      <c r="Z84" s="2485"/>
      <c r="AA84" s="2485"/>
      <c r="AB84" s="2485"/>
      <c r="AC84" s="2485"/>
    </row>
    <row r="85" spans="1:29" ht="15.75" thickBot="1">
      <c r="A85" s="366"/>
      <c r="B85" s="473"/>
      <c r="C85" s="474">
        <v>100</v>
      </c>
      <c r="D85" s="474">
        <f>C85-$K23</f>
        <v>98</v>
      </c>
      <c r="E85" s="474">
        <f>D85-$K23</f>
        <v>96</v>
      </c>
      <c r="F85" s="474">
        <f>E85-$K23</f>
        <v>94</v>
      </c>
      <c r="G85" s="474">
        <f>F85-$K23</f>
        <v>92</v>
      </c>
      <c r="H85" s="474"/>
      <c r="I85" s="474"/>
      <c r="J85" s="474"/>
      <c r="K85" s="474"/>
      <c r="L85" s="474"/>
      <c r="M85" s="475"/>
      <c r="N85" s="2520"/>
      <c r="O85" s="2520"/>
      <c r="P85" s="2511"/>
      <c r="Q85" s="2506"/>
      <c r="R85" s="2485"/>
      <c r="S85" s="2485"/>
      <c r="T85" s="2485"/>
      <c r="U85" s="2485"/>
      <c r="V85" s="2485"/>
      <c r="W85" s="2485"/>
      <c r="X85" s="2485"/>
      <c r="Y85" s="2485"/>
      <c r="Z85" s="2485"/>
      <c r="AA85" s="2485"/>
      <c r="AB85" s="2485"/>
      <c r="AC85" s="2485"/>
    </row>
    <row r="86" spans="1:29" s="101" customFormat="1" ht="15.75" thickTop="1">
      <c r="A86" s="369"/>
      <c r="B86" s="468" t="s">
        <v>1804</v>
      </c>
      <c r="C86" s="3149" t="s">
        <v>3455</v>
      </c>
      <c r="D86" s="3149" t="s">
        <v>3457</v>
      </c>
      <c r="E86" s="484"/>
      <c r="F86" s="484"/>
      <c r="G86" s="484"/>
      <c r="H86" s="484"/>
      <c r="I86" s="484"/>
      <c r="J86" s="484"/>
      <c r="K86" s="484"/>
      <c r="L86" s="509"/>
      <c r="M86" s="510"/>
      <c r="N86" s="2518"/>
      <c r="O86" s="2518"/>
      <c r="P86" s="2511"/>
      <c r="Q86" s="2506"/>
      <c r="R86" s="2438"/>
      <c r="S86" s="2438"/>
      <c r="T86" s="2438"/>
      <c r="U86" s="2438"/>
      <c r="V86" s="2438"/>
      <c r="W86" s="2438"/>
      <c r="X86" s="2438"/>
      <c r="Y86" s="2438"/>
      <c r="Z86" s="2438"/>
      <c r="AA86" s="2438"/>
      <c r="AB86" s="2438"/>
      <c r="AC86" s="2438"/>
    </row>
    <row r="87" spans="1:29" s="101" customFormat="1" ht="15.75" thickBot="1">
      <c r="A87" s="369"/>
      <c r="B87" s="473"/>
      <c r="C87" s="511">
        <v>100</v>
      </c>
      <c r="D87" s="474">
        <f t="shared" ref="D87:M87" si="20">C87-$K25</f>
        <v>95</v>
      </c>
      <c r="E87" s="474">
        <f t="shared" si="20"/>
        <v>90</v>
      </c>
      <c r="F87" s="474">
        <f t="shared" si="20"/>
        <v>85</v>
      </c>
      <c r="G87" s="474">
        <f t="shared" si="20"/>
        <v>80</v>
      </c>
      <c r="H87" s="474">
        <f t="shared" si="20"/>
        <v>75</v>
      </c>
      <c r="I87" s="474">
        <f t="shared" si="20"/>
        <v>70</v>
      </c>
      <c r="J87" s="474">
        <f t="shared" si="20"/>
        <v>65</v>
      </c>
      <c r="K87" s="474">
        <f t="shared" si="20"/>
        <v>60</v>
      </c>
      <c r="L87" s="474">
        <f t="shared" si="20"/>
        <v>55</v>
      </c>
      <c r="M87" s="474">
        <f t="shared" si="20"/>
        <v>50</v>
      </c>
      <c r="N87" s="2520"/>
      <c r="O87" s="2520"/>
      <c r="P87" s="2511"/>
      <c r="Q87" s="2506"/>
      <c r="R87" s="2438"/>
      <c r="S87" s="2438"/>
      <c r="T87" s="2438"/>
      <c r="U87" s="2438"/>
      <c r="V87" s="2438"/>
      <c r="W87" s="2438"/>
      <c r="X87" s="2438"/>
      <c r="Y87" s="2438"/>
      <c r="Z87" s="2438"/>
      <c r="AA87" s="2438"/>
      <c r="AB87" s="2438"/>
      <c r="AC87" s="2438"/>
    </row>
    <row r="88" spans="1:29" s="101" customFormat="1" ht="15.75" thickTop="1">
      <c r="A88" s="369"/>
      <c r="B88" s="468" t="str">
        <f>B26</f>
        <v>平面位置/可视性</v>
      </c>
      <c r="C88" s="3149" t="s">
        <v>3425</v>
      </c>
      <c r="D88" s="484"/>
      <c r="E88" s="484"/>
      <c r="F88" s="1779"/>
      <c r="G88" s="484"/>
      <c r="H88" s="484"/>
      <c r="I88" s="484"/>
      <c r="J88" s="484"/>
      <c r="K88" s="484"/>
      <c r="L88" s="484"/>
      <c r="M88" s="510"/>
      <c r="N88" s="2518"/>
      <c r="O88" s="2518"/>
      <c r="P88" s="2511"/>
      <c r="Q88" s="2506"/>
      <c r="R88" s="2438"/>
      <c r="S88" s="2438"/>
      <c r="T88" s="2438"/>
      <c r="U88" s="2438"/>
      <c r="V88" s="2438"/>
      <c r="W88" s="2438"/>
      <c r="X88" s="2438"/>
      <c r="Y88" s="2438"/>
      <c r="Z88" s="2438"/>
      <c r="AA88" s="2438"/>
      <c r="AB88" s="2438"/>
      <c r="AC88" s="2438"/>
    </row>
    <row r="89" spans="1:29" s="101" customFormat="1" ht="15.75" thickBot="1">
      <c r="A89" s="369"/>
      <c r="B89" s="473"/>
      <c r="C89" s="490">
        <v>100</v>
      </c>
      <c r="D89" s="466"/>
      <c r="E89" s="466"/>
      <c r="F89" s="466"/>
      <c r="G89" s="466"/>
      <c r="H89" s="466"/>
      <c r="I89" s="466"/>
      <c r="J89" s="466"/>
      <c r="K89" s="466"/>
      <c r="L89" s="466"/>
      <c r="M89" s="466"/>
      <c r="N89" s="2520"/>
      <c r="O89" s="2520"/>
      <c r="P89" s="2511"/>
      <c r="Q89" s="2506"/>
      <c r="R89" s="2438"/>
      <c r="S89" s="2438"/>
      <c r="T89" s="2438"/>
      <c r="U89" s="2438"/>
      <c r="V89" s="2438"/>
      <c r="W89" s="2438"/>
      <c r="X89" s="2438"/>
      <c r="Y89" s="2438"/>
      <c r="Z89" s="2438"/>
      <c r="AA89" s="2438"/>
      <c r="AB89" s="2438"/>
      <c r="AC89" s="2438"/>
    </row>
    <row r="90" spans="1:29" s="407" customFormat="1" ht="15.75" thickTop="1">
      <c r="A90" s="483"/>
      <c r="B90" s="468" t="str">
        <f>B27</f>
        <v>人流量</v>
      </c>
      <c r="C90" s="3149" t="s">
        <v>3428</v>
      </c>
      <c r="D90" s="3149" t="s">
        <v>3429</v>
      </c>
      <c r="E90" s="3149" t="s">
        <v>3430</v>
      </c>
      <c r="F90" s="484"/>
      <c r="G90" s="484"/>
      <c r="H90" s="485"/>
      <c r="I90" s="485"/>
      <c r="J90" s="485"/>
      <c r="K90" s="485"/>
      <c r="L90" s="486"/>
      <c r="M90" s="487"/>
      <c r="N90" s="2521"/>
      <c r="O90" s="2521"/>
      <c r="P90" s="2512"/>
      <c r="Q90" s="2513"/>
      <c r="R90" s="2491"/>
      <c r="S90" s="2491"/>
      <c r="T90" s="2491"/>
      <c r="U90" s="2491"/>
      <c r="V90" s="2491"/>
      <c r="W90" s="2491"/>
      <c r="X90" s="2491"/>
      <c r="Y90" s="2491"/>
      <c r="Z90" s="2491"/>
      <c r="AA90" s="2491"/>
      <c r="AB90" s="2491"/>
      <c r="AC90" s="2491"/>
    </row>
    <row r="91" spans="1:29" s="407" customFormat="1" ht="15.75" thickBot="1">
      <c r="A91" s="483"/>
      <c r="B91" s="473"/>
      <c r="C91" s="511">
        <v>100</v>
      </c>
      <c r="D91" s="474">
        <f>C91-$K27</f>
        <v>95</v>
      </c>
      <c r="E91" s="474">
        <f t="shared" ref="E91:M91" si="21">D91-$K27</f>
        <v>90</v>
      </c>
      <c r="F91" s="474">
        <f t="shared" si="21"/>
        <v>85</v>
      </c>
      <c r="G91" s="474">
        <f t="shared" si="21"/>
        <v>80</v>
      </c>
      <c r="H91" s="474">
        <f t="shared" si="21"/>
        <v>75</v>
      </c>
      <c r="I91" s="474">
        <f t="shared" si="21"/>
        <v>70</v>
      </c>
      <c r="J91" s="474">
        <f t="shared" si="21"/>
        <v>65</v>
      </c>
      <c r="K91" s="474">
        <f t="shared" si="21"/>
        <v>60</v>
      </c>
      <c r="L91" s="474">
        <f t="shared" si="21"/>
        <v>55</v>
      </c>
      <c r="M91" s="474">
        <f t="shared" si="21"/>
        <v>50</v>
      </c>
      <c r="N91" s="2521"/>
      <c r="O91" s="2521"/>
      <c r="P91" s="2512"/>
      <c r="Q91" s="2513"/>
      <c r="R91" s="2491"/>
      <c r="S91" s="2491"/>
      <c r="T91" s="2491"/>
      <c r="U91" s="2491"/>
      <c r="V91" s="2491"/>
      <c r="W91" s="2491"/>
      <c r="X91" s="2491"/>
      <c r="Y91" s="2491"/>
      <c r="Z91" s="2491"/>
      <c r="AA91" s="2491"/>
      <c r="AB91" s="2491"/>
      <c r="AC91" s="2491"/>
    </row>
    <row r="92" spans="1:29" ht="15.75" thickTop="1">
      <c r="A92" s="366"/>
      <c r="B92" s="468" t="str">
        <f>B28</f>
        <v>楼层</v>
      </c>
      <c r="C92" s="484" t="s">
        <v>3431</v>
      </c>
      <c r="D92" s="484" t="s">
        <v>3432</v>
      </c>
      <c r="E92" s="484" t="s">
        <v>3433</v>
      </c>
      <c r="F92" s="484"/>
      <c r="G92" s="484"/>
      <c r="H92" s="484"/>
      <c r="I92" s="484"/>
      <c r="J92" s="484"/>
      <c r="K92" s="484"/>
      <c r="L92" s="509"/>
      <c r="M92" s="510"/>
      <c r="N92" s="2521" t="s">
        <v>3434</v>
      </c>
      <c r="O92" s="2521">
        <v>100</v>
      </c>
      <c r="P92" s="2512">
        <f>ROUND(O92*P94/O94,0)</f>
        <v>118</v>
      </c>
      <c r="Q92" s="2506"/>
      <c r="R92" s="2485"/>
      <c r="S92" s="2485"/>
      <c r="T92" s="2485"/>
      <c r="U92" s="2485"/>
      <c r="V92" s="2485"/>
      <c r="W92" s="2485"/>
      <c r="X92" s="2485"/>
      <c r="Y92" s="2485"/>
      <c r="Z92" s="2485"/>
      <c r="AA92" s="2485"/>
      <c r="AB92" s="2485"/>
      <c r="AC92" s="2485"/>
    </row>
    <row r="93" spans="1:29" ht="15.75" thickBot="1">
      <c r="A93" s="366"/>
      <c r="B93" s="473"/>
      <c r="C93" s="466">
        <f>P92</f>
        <v>118</v>
      </c>
      <c r="D93" s="466"/>
      <c r="E93" s="466">
        <f>P94</f>
        <v>100</v>
      </c>
      <c r="F93" s="466"/>
      <c r="G93" s="466"/>
      <c r="H93" s="466"/>
      <c r="I93" s="466"/>
      <c r="J93" s="466"/>
      <c r="K93" s="466"/>
      <c r="L93" s="466"/>
      <c r="M93" s="467"/>
      <c r="N93" s="2519" t="s">
        <v>3435</v>
      </c>
      <c r="O93" s="2519">
        <v>70</v>
      </c>
      <c r="P93" s="2511"/>
      <c r="Q93" s="2506"/>
      <c r="R93" s="2485"/>
      <c r="S93" s="2485"/>
      <c r="T93" s="2485"/>
      <c r="U93" s="2485"/>
      <c r="V93" s="2485"/>
      <c r="W93" s="2485"/>
      <c r="X93" s="2485"/>
      <c r="Y93" s="2485"/>
      <c r="Z93" s="2485"/>
      <c r="AA93" s="2485"/>
      <c r="AB93" s="2485"/>
      <c r="AC93" s="2485"/>
    </row>
    <row r="94" spans="1:29" ht="15.75" thickTop="1">
      <c r="A94" s="366"/>
      <c r="B94" s="468">
        <f>B29</f>
        <v>111</v>
      </c>
      <c r="C94" s="3149" t="s">
        <v>3426</v>
      </c>
      <c r="D94" s="3149" t="s">
        <v>3427</v>
      </c>
      <c r="E94" s="484"/>
      <c r="F94" s="484"/>
      <c r="G94" s="512"/>
      <c r="H94" s="512"/>
      <c r="I94" s="512"/>
      <c r="J94" s="512"/>
      <c r="K94" s="513"/>
      <c r="L94" s="514"/>
      <c r="M94" s="515"/>
      <c r="N94" s="2520" t="s">
        <v>3436</v>
      </c>
      <c r="O94" s="2520">
        <f>(O92+O93)/2</f>
        <v>85</v>
      </c>
      <c r="P94" s="2511">
        <v>100</v>
      </c>
      <c r="Q94" s="2506"/>
      <c r="R94" s="2485"/>
      <c r="S94" s="2485"/>
      <c r="T94" s="2485"/>
      <c r="U94" s="2485"/>
      <c r="V94" s="2485"/>
      <c r="W94" s="2485"/>
      <c r="X94" s="2485"/>
      <c r="Y94" s="2485"/>
      <c r="Z94" s="2485"/>
      <c r="AA94" s="2485"/>
      <c r="AB94" s="2485"/>
      <c r="AC94" s="2485"/>
    </row>
    <row r="95" spans="1:29" ht="15.75" thickBot="1">
      <c r="A95" s="366"/>
      <c r="B95" s="473"/>
      <c r="C95" s="490"/>
      <c r="D95" s="466"/>
      <c r="E95" s="466"/>
      <c r="F95" s="466"/>
      <c r="G95" s="466"/>
      <c r="H95" s="466"/>
      <c r="I95" s="466"/>
      <c r="J95" s="466"/>
      <c r="K95" s="466"/>
      <c r="L95" s="466"/>
      <c r="M95" s="467"/>
      <c r="N95" s="2520"/>
      <c r="O95" s="2520"/>
      <c r="P95" s="2511"/>
      <c r="Q95" s="2506"/>
      <c r="R95" s="2485"/>
      <c r="S95" s="2485"/>
      <c r="T95" s="2485"/>
      <c r="U95" s="2485"/>
      <c r="V95" s="2485"/>
      <c r="W95" s="2485"/>
      <c r="X95" s="2485"/>
      <c r="Y95" s="2485"/>
      <c r="Z95" s="2485"/>
      <c r="AA95" s="2485"/>
      <c r="AB95" s="2485"/>
      <c r="AC95" s="2485"/>
    </row>
    <row r="96" spans="1:29" ht="15.75" thickTop="1">
      <c r="A96" s="366"/>
      <c r="B96" s="468">
        <f>B30</f>
        <v>111</v>
      </c>
      <c r="C96" s="484"/>
      <c r="D96" s="484"/>
      <c r="E96" s="484"/>
      <c r="F96" s="484"/>
      <c r="G96" s="512"/>
      <c r="H96" s="512"/>
      <c r="I96" s="512"/>
      <c r="J96" s="512"/>
      <c r="K96" s="513"/>
      <c r="L96" s="514"/>
      <c r="M96" s="515"/>
      <c r="N96" s="2519"/>
      <c r="O96" s="2519"/>
      <c r="P96" s="2511"/>
      <c r="Q96" s="2506"/>
      <c r="R96" s="2485"/>
      <c r="S96" s="2485"/>
      <c r="T96" s="2485"/>
      <c r="U96" s="2485"/>
      <c r="V96" s="2485"/>
      <c r="W96" s="2485"/>
      <c r="X96" s="2485"/>
      <c r="Y96" s="2485"/>
      <c r="Z96" s="2485"/>
      <c r="AA96" s="2485"/>
      <c r="AB96" s="2485"/>
      <c r="AC96" s="2485"/>
    </row>
    <row r="97" spans="1:29" ht="15.75" thickBot="1">
      <c r="A97" s="366"/>
      <c r="B97" s="473"/>
      <c r="C97" s="490"/>
      <c r="D97" s="466"/>
      <c r="E97" s="466"/>
      <c r="F97" s="466"/>
      <c r="G97" s="466"/>
      <c r="H97" s="466"/>
      <c r="I97" s="466"/>
      <c r="J97" s="466"/>
      <c r="K97" s="466"/>
      <c r="L97" s="466"/>
      <c r="M97" s="467"/>
      <c r="N97" s="2520"/>
      <c r="O97" s="2520"/>
      <c r="P97" s="2511"/>
      <c r="Q97" s="2506"/>
      <c r="R97" s="2485"/>
      <c r="S97" s="2485"/>
      <c r="T97" s="2485"/>
      <c r="U97" s="2485"/>
      <c r="V97" s="2485"/>
      <c r="W97" s="2485"/>
      <c r="X97" s="2485"/>
      <c r="Y97" s="2485"/>
      <c r="Z97" s="2485"/>
      <c r="AA97" s="2485"/>
      <c r="AB97" s="2485"/>
      <c r="AC97" s="2485"/>
    </row>
    <row r="98" spans="1:29" ht="15.75" thickTop="1">
      <c r="A98" s="366"/>
      <c r="B98" s="476">
        <f>B31</f>
        <v>111</v>
      </c>
      <c r="C98" s="484"/>
      <c r="D98" s="484"/>
      <c r="E98" s="484"/>
      <c r="F98" s="484"/>
      <c r="G98" s="516"/>
      <c r="H98" s="516"/>
      <c r="I98" s="516"/>
      <c r="J98" s="516"/>
      <c r="K98" s="517"/>
      <c r="L98" s="518"/>
      <c r="M98" s="519"/>
      <c r="N98" s="2519"/>
      <c r="O98" s="2519"/>
      <c r="P98" s="2511"/>
      <c r="Q98" s="2506"/>
      <c r="R98" s="2485"/>
      <c r="S98" s="2485"/>
      <c r="T98" s="2485"/>
      <c r="U98" s="2485"/>
      <c r="V98" s="2485"/>
      <c r="W98" s="2485"/>
      <c r="X98" s="2485"/>
      <c r="Y98" s="2485"/>
      <c r="Z98" s="2485"/>
      <c r="AA98" s="2485"/>
      <c r="AB98" s="2485"/>
      <c r="AC98" s="2485"/>
    </row>
    <row r="99" spans="1:29" ht="15.75" thickBot="1">
      <c r="A99" s="374"/>
      <c r="B99" s="499"/>
      <c r="C99" s="500"/>
      <c r="D99" s="500"/>
      <c r="E99" s="500"/>
      <c r="F99" s="500"/>
      <c r="G99" s="520"/>
      <c r="H99" s="520"/>
      <c r="I99" s="520"/>
      <c r="J99" s="520"/>
      <c r="K99" s="520"/>
      <c r="L99" s="520"/>
      <c r="M99" s="521"/>
      <c r="N99" s="2520"/>
      <c r="O99" s="2520"/>
      <c r="P99" s="2511"/>
      <c r="Q99" s="2506"/>
      <c r="R99" s="2485"/>
      <c r="S99" s="2485"/>
      <c r="T99" s="2485"/>
      <c r="U99" s="2485"/>
      <c r="V99" s="2485"/>
      <c r="W99" s="2485"/>
      <c r="X99" s="2485"/>
      <c r="Y99" s="2485"/>
      <c r="Z99" s="2485"/>
      <c r="AA99" s="2485"/>
      <c r="AB99" s="2485"/>
      <c r="AC99" s="2485"/>
    </row>
    <row r="100" spans="1:29">
      <c r="A100" s="378" t="s">
        <v>1694</v>
      </c>
      <c r="B100" s="459" t="s">
        <v>1805</v>
      </c>
      <c r="C100" s="3150" t="s">
        <v>2784</v>
      </c>
      <c r="D100" s="3150" t="s">
        <v>3437</v>
      </c>
      <c r="E100" s="3150" t="s">
        <v>3438</v>
      </c>
      <c r="F100" s="461"/>
      <c r="G100" s="461"/>
      <c r="H100" s="461"/>
      <c r="I100" s="461"/>
      <c r="J100" s="461"/>
      <c r="K100" s="462"/>
      <c r="L100" s="463"/>
      <c r="M100" s="464"/>
      <c r="N100" s="2519"/>
      <c r="O100" s="2519"/>
      <c r="P100" s="2511"/>
      <c r="Q100" s="2506"/>
      <c r="R100" s="2485"/>
      <c r="S100" s="2485"/>
      <c r="T100" s="2485"/>
      <c r="U100" s="2485"/>
      <c r="V100" s="2485"/>
      <c r="W100" s="2485"/>
      <c r="X100" s="2485"/>
      <c r="Y100" s="2485"/>
      <c r="Z100" s="2485"/>
      <c r="AA100" s="2485"/>
      <c r="AB100" s="2485"/>
      <c r="AC100" s="2485"/>
    </row>
    <row r="101" spans="1:29" ht="15.75" thickBot="1">
      <c r="A101" s="366"/>
      <c r="B101" s="473"/>
      <c r="C101" s="474">
        <v>100</v>
      </c>
      <c r="D101" s="474">
        <f t="shared" ref="D101:M101" si="22">C101-$K32</f>
        <v>97</v>
      </c>
      <c r="E101" s="474">
        <f t="shared" si="22"/>
        <v>94</v>
      </c>
      <c r="F101" s="474">
        <f t="shared" si="22"/>
        <v>91</v>
      </c>
      <c r="G101" s="474">
        <f t="shared" si="22"/>
        <v>88</v>
      </c>
      <c r="H101" s="474">
        <f t="shared" si="22"/>
        <v>85</v>
      </c>
      <c r="I101" s="474">
        <f t="shared" si="22"/>
        <v>82</v>
      </c>
      <c r="J101" s="474">
        <f t="shared" si="22"/>
        <v>79</v>
      </c>
      <c r="K101" s="474">
        <f t="shared" si="22"/>
        <v>76</v>
      </c>
      <c r="L101" s="474">
        <f t="shared" si="22"/>
        <v>73</v>
      </c>
      <c r="M101" s="475">
        <f t="shared" si="22"/>
        <v>70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6"/>
      <c r="B102" s="468" t="s">
        <v>1737</v>
      </c>
      <c r="C102" s="508" t="str">
        <f>C103&amp;"(含)"&amp;"-"&amp;D103</f>
        <v>0(含)-100</v>
      </c>
      <c r="D102" s="508" t="str">
        <f t="shared" ref="D102:L102" si="23">D103&amp;"(含)"&amp;"-"&amp;E103</f>
        <v>100(含)-200</v>
      </c>
      <c r="E102" s="508" t="str">
        <f t="shared" si="23"/>
        <v>200(含)-400</v>
      </c>
      <c r="F102" s="508" t="str">
        <f t="shared" si="23"/>
        <v>400(含)-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7" customFormat="1">
      <c r="A103" s="405"/>
      <c r="B103" s="522"/>
      <c r="C103" s="6">
        <v>0</v>
      </c>
      <c r="D103" s="6">
        <v>100</v>
      </c>
      <c r="E103" s="6">
        <v>200</v>
      </c>
      <c r="F103" s="6">
        <v>400</v>
      </c>
      <c r="G103" s="6"/>
      <c r="H103" s="6"/>
      <c r="I103" s="6"/>
      <c r="J103" s="523"/>
      <c r="K103" s="523"/>
      <c r="L103" s="524"/>
      <c r="M103" s="525"/>
      <c r="N103" s="2521"/>
      <c r="O103" s="2521"/>
      <c r="P103" s="2512"/>
      <c r="Q103" s="2513"/>
      <c r="R103" s="2491"/>
      <c r="S103" s="2491"/>
      <c r="T103" s="2491"/>
      <c r="U103" s="2491"/>
      <c r="V103" s="2491"/>
      <c r="W103" s="2491"/>
      <c r="X103" s="2491"/>
      <c r="Y103" s="2491"/>
      <c r="Z103" s="2491"/>
      <c r="AA103" s="2491"/>
      <c r="AB103" s="2491"/>
      <c r="AC103" s="2491"/>
    </row>
    <row r="104" spans="1:29" s="407" customFormat="1" ht="15.75" thickBot="1">
      <c r="A104" s="483"/>
      <c r="B104" s="473"/>
      <c r="C104" s="490">
        <v>100</v>
      </c>
      <c r="D104" s="466">
        <v>99</v>
      </c>
      <c r="E104" s="466">
        <v>98</v>
      </c>
      <c r="F104" s="466">
        <v>97</v>
      </c>
      <c r="G104" s="466"/>
      <c r="H104" s="466"/>
      <c r="I104" s="466"/>
      <c r="J104" s="466"/>
      <c r="K104" s="466"/>
      <c r="L104" s="466"/>
      <c r="M104" s="467"/>
      <c r="N104" s="2520"/>
      <c r="O104" s="2520"/>
      <c r="P104" s="2512"/>
      <c r="Q104" s="2513"/>
      <c r="R104" s="2491"/>
      <c r="S104" s="2491"/>
      <c r="T104" s="2491"/>
      <c r="U104" s="2491"/>
      <c r="V104" s="2491"/>
      <c r="W104" s="2491"/>
      <c r="X104" s="2491"/>
      <c r="Y104" s="2491"/>
      <c r="Z104" s="2491"/>
      <c r="AA104" s="2491"/>
      <c r="AB104" s="2491"/>
      <c r="AC104" s="2491"/>
    </row>
    <row r="105" spans="1:29" ht="15" thickTop="1">
      <c r="A105" s="408"/>
      <c r="B105" s="468" t="s">
        <v>1738</v>
      </c>
      <c r="C105" s="3149" t="s">
        <v>3439</v>
      </c>
      <c r="D105" s="484"/>
      <c r="E105" s="512"/>
      <c r="F105" s="512"/>
      <c r="G105" s="512"/>
      <c r="H105" s="512"/>
      <c r="I105" s="512"/>
      <c r="J105" s="512"/>
      <c r="K105" s="513"/>
      <c r="L105" s="514"/>
      <c r="M105" s="515"/>
      <c r="N105" s="2519"/>
      <c r="O105" s="2519"/>
      <c r="P105" s="2511"/>
      <c r="Q105" s="2506"/>
      <c r="R105" s="2485"/>
      <c r="S105" s="2485"/>
      <c r="T105" s="2485"/>
      <c r="U105" s="2485"/>
      <c r="V105" s="2485"/>
      <c r="W105" s="2485"/>
      <c r="X105" s="2485"/>
      <c r="Y105" s="2485"/>
      <c r="Z105" s="2485"/>
      <c r="AA105" s="2485"/>
      <c r="AB105" s="2485"/>
      <c r="AC105" s="2485"/>
    </row>
    <row r="106" spans="1:29" ht="15.75" thickBot="1">
      <c r="A106" s="366"/>
      <c r="B106" s="473"/>
      <c r="C106" s="474">
        <v>100</v>
      </c>
      <c r="D106" s="474">
        <f t="shared" ref="D106:M106" si="24">C106-$K34</f>
        <v>99</v>
      </c>
      <c r="E106" s="474">
        <f t="shared" si="24"/>
        <v>98</v>
      </c>
      <c r="F106" s="474">
        <f t="shared" si="24"/>
        <v>97</v>
      </c>
      <c r="G106" s="474">
        <f t="shared" si="24"/>
        <v>96</v>
      </c>
      <c r="H106" s="474">
        <f t="shared" si="24"/>
        <v>95</v>
      </c>
      <c r="I106" s="474">
        <f t="shared" si="24"/>
        <v>94</v>
      </c>
      <c r="J106" s="474">
        <f t="shared" si="24"/>
        <v>93</v>
      </c>
      <c r="K106" s="474">
        <f t="shared" si="24"/>
        <v>92</v>
      </c>
      <c r="L106" s="474">
        <f t="shared" si="24"/>
        <v>91</v>
      </c>
      <c r="M106" s="475">
        <f t="shared" si="24"/>
        <v>90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8"/>
      <c r="B107" s="468" t="s">
        <v>1740</v>
      </c>
      <c r="C107" s="484"/>
      <c r="D107" s="484"/>
      <c r="E107" s="484"/>
      <c r="F107" s="512"/>
      <c r="G107" s="512"/>
      <c r="H107" s="512"/>
      <c r="I107" s="512"/>
      <c r="J107" s="512"/>
      <c r="K107" s="513"/>
      <c r="L107" s="514"/>
      <c r="M107" s="515"/>
      <c r="N107" s="2519"/>
      <c r="O107" s="2519"/>
      <c r="P107" s="2511"/>
      <c r="Q107" s="2506"/>
      <c r="R107" s="2485"/>
      <c r="S107" s="2485"/>
      <c r="T107" s="2485"/>
      <c r="U107" s="2485"/>
      <c r="V107" s="2485"/>
      <c r="W107" s="2485"/>
      <c r="X107" s="2485"/>
      <c r="Y107" s="2485"/>
      <c r="Z107" s="2485"/>
      <c r="AA107" s="2485"/>
      <c r="AB107" s="2485"/>
      <c r="AC107" s="2485"/>
    </row>
    <row r="108" spans="1:29" ht="15.75"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9"/>
      <c r="O109" s="2519"/>
      <c r="P109" s="2511"/>
      <c r="Q109" s="2506"/>
      <c r="R109" s="2485"/>
      <c r="S109" s="2485"/>
      <c r="T109" s="2485"/>
      <c r="U109" s="2485"/>
      <c r="V109" s="2485"/>
      <c r="W109" s="2485"/>
      <c r="X109" s="2485"/>
      <c r="Y109" s="2485"/>
      <c r="Z109" s="2485"/>
      <c r="AA109" s="2485"/>
      <c r="AB109" s="2485"/>
      <c r="AC109" s="2485"/>
    </row>
    <row r="110" spans="1:29">
      <c r="A110" s="408"/>
      <c r="B110" s="476"/>
      <c r="C110" s="529">
        <v>0.5</v>
      </c>
      <c r="D110" s="529">
        <v>0.6</v>
      </c>
      <c r="E110" s="529">
        <v>0.7</v>
      </c>
      <c r="F110" s="529">
        <v>0.8</v>
      </c>
      <c r="G110" s="529">
        <v>0.9</v>
      </c>
      <c r="H110" s="529">
        <v>1.0001</v>
      </c>
      <c r="I110" s="547"/>
      <c r="J110" s="547"/>
      <c r="K110" s="548"/>
      <c r="L110" s="549"/>
      <c r="M110" s="550"/>
      <c r="N110" s="2519"/>
      <c r="O110" s="2519"/>
      <c r="P110" s="2511"/>
      <c r="Q110" s="2506"/>
      <c r="R110" s="2485"/>
      <c r="S110" s="2485"/>
      <c r="T110" s="2485"/>
      <c r="U110" s="2485"/>
      <c r="V110" s="2485"/>
      <c r="W110" s="2485"/>
      <c r="X110" s="2485"/>
      <c r="Y110" s="2485"/>
      <c r="Z110" s="2485"/>
      <c r="AA110" s="2485"/>
      <c r="AB110" s="2485"/>
      <c r="AC110" s="2485"/>
    </row>
    <row r="111" spans="1:29" ht="15.75" thickBot="1">
      <c r="A111" s="366"/>
      <c r="B111" s="473"/>
      <c r="C111" s="511">
        <v>100</v>
      </c>
      <c r="D111" s="474">
        <f>C111+$K36</f>
        <v>101</v>
      </c>
      <c r="E111" s="474">
        <f t="shared" ref="E111:M111" si="26">D111+$K36</f>
        <v>102</v>
      </c>
      <c r="F111" s="474">
        <f t="shared" si="26"/>
        <v>103</v>
      </c>
      <c r="G111" s="474">
        <f t="shared" si="26"/>
        <v>104</v>
      </c>
      <c r="H111" s="474">
        <f t="shared" si="26"/>
        <v>105</v>
      </c>
      <c r="I111" s="474">
        <f t="shared" si="26"/>
        <v>106</v>
      </c>
      <c r="J111" s="474">
        <f t="shared" si="26"/>
        <v>107</v>
      </c>
      <c r="K111" s="474">
        <f t="shared" si="26"/>
        <v>108</v>
      </c>
      <c r="L111" s="474">
        <f t="shared" si="26"/>
        <v>109</v>
      </c>
      <c r="M111" s="474">
        <f t="shared" si="26"/>
        <v>110</v>
      </c>
      <c r="N111" s="2520"/>
      <c r="O111" s="2520"/>
      <c r="P111" s="2511"/>
      <c r="Q111" s="2506"/>
      <c r="R111" s="2485"/>
      <c r="S111" s="2485"/>
      <c r="T111" s="2485"/>
      <c r="U111" s="2485"/>
      <c r="V111" s="2485"/>
      <c r="W111" s="2485"/>
      <c r="X111" s="2485"/>
      <c r="Y111" s="2485"/>
      <c r="Z111" s="2485"/>
      <c r="AA111" s="2485"/>
      <c r="AB111" s="2485"/>
      <c r="AC111" s="2485"/>
    </row>
    <row r="112" spans="1:29" s="407" customFormat="1" ht="15" thickTop="1">
      <c r="A112" s="405"/>
      <c r="B112" s="468" t="s">
        <v>1742</v>
      </c>
      <c r="C112" s="484"/>
      <c r="D112" s="484"/>
      <c r="E112" s="484"/>
      <c r="F112" s="484"/>
      <c r="G112" s="484"/>
      <c r="H112" s="512"/>
      <c r="I112" s="512"/>
      <c r="J112" s="512"/>
      <c r="K112" s="513"/>
      <c r="L112" s="514"/>
      <c r="M112" s="515"/>
      <c r="N112" s="2521"/>
      <c r="O112" s="2521"/>
      <c r="P112" s="2512"/>
      <c r="Q112" s="2513"/>
      <c r="R112" s="2491"/>
      <c r="S112" s="2491"/>
      <c r="T112" s="2491"/>
      <c r="U112" s="2491"/>
      <c r="V112" s="2491"/>
      <c r="W112" s="2491"/>
      <c r="X112" s="2491"/>
      <c r="Y112" s="2491"/>
      <c r="Z112" s="2491"/>
      <c r="AA112" s="2491"/>
      <c r="AB112" s="2491"/>
      <c r="AC112" s="2491"/>
    </row>
    <row r="113" spans="1:29" s="407" customFormat="1" ht="15.7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8"/>
      <c r="B114" s="468" t="s">
        <v>1806</v>
      </c>
      <c r="C114" s="3149" t="s">
        <v>3440</v>
      </c>
      <c r="D114" s="3149" t="s">
        <v>3441</v>
      </c>
      <c r="E114" s="512"/>
      <c r="F114" s="512"/>
      <c r="G114" s="512"/>
      <c r="H114" s="512"/>
      <c r="I114" s="512"/>
      <c r="J114" s="512"/>
      <c r="K114" s="513"/>
      <c r="L114" s="514"/>
      <c r="M114" s="515"/>
      <c r="N114" s="2519"/>
      <c r="O114" s="2519"/>
      <c r="P114" s="2511"/>
      <c r="Q114" s="2506"/>
      <c r="R114" s="2485"/>
      <c r="S114" s="2485"/>
      <c r="T114" s="2485"/>
      <c r="U114" s="2485"/>
      <c r="V114" s="2485"/>
      <c r="W114" s="2485"/>
      <c r="X114" s="2485"/>
      <c r="Y114" s="2485"/>
      <c r="Z114" s="2485"/>
      <c r="AA114" s="2485"/>
      <c r="AB114" s="2485"/>
      <c r="AC114" s="2485"/>
    </row>
    <row r="115" spans="1:29" ht="15.75" thickBot="1">
      <c r="A115" s="366"/>
      <c r="B115" s="473"/>
      <c r="C115" s="474">
        <v>100</v>
      </c>
      <c r="D115" s="474">
        <f t="shared" ref="D115:M115" si="28">C115-$K38</f>
        <v>97</v>
      </c>
      <c r="E115" s="474">
        <f t="shared" si="28"/>
        <v>94</v>
      </c>
      <c r="F115" s="474">
        <f t="shared" si="28"/>
        <v>91</v>
      </c>
      <c r="G115" s="474">
        <f t="shared" si="28"/>
        <v>88</v>
      </c>
      <c r="H115" s="474">
        <f t="shared" si="28"/>
        <v>85</v>
      </c>
      <c r="I115" s="474">
        <f t="shared" si="28"/>
        <v>82</v>
      </c>
      <c r="J115" s="474">
        <f t="shared" si="28"/>
        <v>79</v>
      </c>
      <c r="K115" s="474">
        <f t="shared" si="28"/>
        <v>76</v>
      </c>
      <c r="L115" s="474">
        <f t="shared" si="28"/>
        <v>73</v>
      </c>
      <c r="M115" s="475">
        <f t="shared" si="28"/>
        <v>70</v>
      </c>
      <c r="N115" s="2520"/>
      <c r="O115" s="2520"/>
      <c r="P115" s="2511"/>
      <c r="Q115" s="2506"/>
      <c r="R115" s="2485"/>
      <c r="S115" s="2485"/>
      <c r="T115" s="2485"/>
      <c r="U115" s="2485"/>
      <c r="V115" s="2485"/>
      <c r="W115" s="2485"/>
      <c r="X115" s="2485"/>
      <c r="Y115" s="2485"/>
      <c r="Z115" s="2485"/>
      <c r="AA115" s="2485"/>
      <c r="AB115" s="2485"/>
      <c r="AC115" s="2485"/>
    </row>
    <row r="116" spans="1:29" ht="28.5" thickTop="1">
      <c r="A116" s="408"/>
      <c r="B116" s="468" t="s">
        <v>1807</v>
      </c>
      <c r="C116" s="3153" t="s">
        <v>3464</v>
      </c>
      <c r="D116" s="3153" t="s">
        <v>3465</v>
      </c>
      <c r="E116" s="484"/>
      <c r="F116" s="484"/>
      <c r="G116" s="484"/>
      <c r="H116" s="512"/>
      <c r="I116" s="512"/>
      <c r="J116" s="512"/>
      <c r="K116" s="513"/>
      <c r="L116" s="514"/>
      <c r="M116" s="515"/>
      <c r="N116" s="2519"/>
      <c r="O116" s="2519"/>
      <c r="P116" s="2511"/>
      <c r="Q116" s="2506"/>
      <c r="R116" s="2485"/>
      <c r="S116" s="2485"/>
      <c r="T116" s="2485"/>
      <c r="U116" s="2485"/>
      <c r="V116" s="2485"/>
      <c r="W116" s="2485"/>
      <c r="X116" s="2485"/>
      <c r="Y116" s="2485"/>
      <c r="Z116" s="2485"/>
      <c r="AA116" s="2485"/>
      <c r="AB116" s="2485"/>
      <c r="AC116" s="2485"/>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20"/>
      <c r="O117" s="2520"/>
      <c r="P117" s="2511"/>
      <c r="Q117" s="2506"/>
      <c r="R117" s="2485"/>
      <c r="S117" s="2485"/>
      <c r="T117" s="2485"/>
      <c r="U117" s="2485"/>
      <c r="V117" s="2485"/>
      <c r="W117" s="2485"/>
      <c r="X117" s="2485"/>
      <c r="Y117" s="2485"/>
      <c r="Z117" s="2485"/>
      <c r="AA117" s="2485"/>
      <c r="AB117" s="2485"/>
      <c r="AC117" s="2485"/>
    </row>
    <row r="118" spans="1:29" ht="15" thickTop="1">
      <c r="A118" s="408"/>
      <c r="B118" s="468" t="s">
        <v>1808</v>
      </c>
      <c r="C118" s="551"/>
      <c r="D118" s="551"/>
      <c r="E118" s="551"/>
      <c r="F118" s="551"/>
      <c r="G118" s="551"/>
      <c r="H118" s="485"/>
      <c r="I118" s="485"/>
      <c r="J118" s="485"/>
      <c r="K118" s="485"/>
      <c r="L118" s="486"/>
      <c r="M118" s="487"/>
      <c r="N118" s="2519"/>
      <c r="O118" s="2519"/>
      <c r="P118" s="2511"/>
      <c r="Q118" s="2506"/>
      <c r="R118" s="2485"/>
      <c r="S118" s="2485"/>
      <c r="T118" s="2485"/>
      <c r="U118" s="2485"/>
      <c r="V118" s="2485"/>
      <c r="W118" s="2485"/>
      <c r="X118" s="2485"/>
      <c r="Y118" s="2485"/>
      <c r="Z118" s="2485"/>
      <c r="AA118" s="2485"/>
      <c r="AB118" s="2485"/>
      <c r="AC118" s="2485"/>
    </row>
    <row r="119" spans="1:29" ht="15.75" thickBot="1">
      <c r="A119" s="366"/>
      <c r="B119" s="473"/>
      <c r="C119" s="490"/>
      <c r="D119" s="466"/>
      <c r="E119" s="466"/>
      <c r="F119" s="466"/>
      <c r="G119" s="466"/>
      <c r="H119" s="466"/>
      <c r="I119" s="466"/>
      <c r="J119" s="466"/>
      <c r="K119" s="466"/>
      <c r="L119" s="466"/>
      <c r="M119" s="467"/>
      <c r="N119" s="2520"/>
      <c r="O119" s="2520"/>
      <c r="P119" s="2511"/>
      <c r="Q119" s="2506"/>
      <c r="R119" s="2485"/>
      <c r="S119" s="2485"/>
      <c r="T119" s="2485"/>
      <c r="U119" s="2485"/>
      <c r="V119" s="2485"/>
      <c r="W119" s="2485"/>
      <c r="X119" s="2485"/>
      <c r="Y119" s="2485"/>
      <c r="Z119" s="2485"/>
      <c r="AA119" s="2485"/>
      <c r="AB119" s="2485"/>
      <c r="AC119" s="2485"/>
    </row>
    <row r="120" spans="1:29" s="407" customFormat="1" ht="15" thickTop="1">
      <c r="A120" s="405"/>
      <c r="B120" s="468" t="s">
        <v>1809</v>
      </c>
      <c r="C120" s="512"/>
      <c r="D120" s="512"/>
      <c r="E120" s="512"/>
      <c r="F120" s="512"/>
      <c r="G120" s="485"/>
      <c r="H120" s="485"/>
      <c r="I120" s="485"/>
      <c r="J120" s="485"/>
      <c r="K120" s="485"/>
      <c r="L120" s="486"/>
      <c r="M120" s="487"/>
      <c r="N120" s="2521"/>
      <c r="O120" s="2521"/>
      <c r="P120" s="2512"/>
      <c r="Q120" s="2513"/>
      <c r="R120" s="2491"/>
      <c r="S120" s="2491"/>
      <c r="T120" s="2491"/>
      <c r="U120" s="2491"/>
      <c r="V120" s="2491"/>
      <c r="W120" s="2491"/>
      <c r="X120" s="2491"/>
      <c r="Y120" s="2491"/>
      <c r="Z120" s="2491"/>
      <c r="AA120" s="2491"/>
      <c r="AB120" s="2491"/>
      <c r="AC120" s="2491"/>
    </row>
    <row r="121" spans="1:29" s="407" customFormat="1" ht="15.7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8"/>
      <c r="B122" s="468" t="s">
        <v>1744</v>
      </c>
      <c r="C122" s="3149" t="s">
        <v>3442</v>
      </c>
      <c r="D122" s="3149" t="s">
        <v>3444</v>
      </c>
      <c r="E122" s="3149" t="s">
        <v>3446</v>
      </c>
      <c r="F122" s="3151" t="s">
        <v>3447</v>
      </c>
      <c r="G122" s="512"/>
      <c r="H122" s="512"/>
      <c r="I122" s="512"/>
      <c r="J122" s="512"/>
      <c r="K122" s="513"/>
      <c r="L122" s="514"/>
      <c r="M122" s="515"/>
      <c r="N122" s="2519"/>
      <c r="O122" s="2519"/>
      <c r="P122" s="2511"/>
      <c r="Q122" s="2506"/>
      <c r="R122" s="2485"/>
      <c r="S122" s="2485"/>
      <c r="T122" s="2485"/>
      <c r="U122" s="2485"/>
      <c r="V122" s="2485"/>
      <c r="W122" s="2485"/>
      <c r="X122" s="2485"/>
      <c r="Y122" s="2485"/>
      <c r="Z122" s="2485"/>
      <c r="AA122" s="2485"/>
      <c r="AB122" s="2485"/>
      <c r="AC122" s="2485"/>
    </row>
    <row r="123" spans="1:29" ht="15.75" thickBot="1">
      <c r="A123" s="366"/>
      <c r="B123" s="473"/>
      <c r="C123" s="474">
        <v>100</v>
      </c>
      <c r="D123" s="474">
        <f t="shared" ref="D123:M123" si="30">C123-$K42</f>
        <v>98</v>
      </c>
      <c r="E123" s="474">
        <f t="shared" si="30"/>
        <v>96</v>
      </c>
      <c r="F123" s="474">
        <f t="shared" si="30"/>
        <v>94</v>
      </c>
      <c r="G123" s="474">
        <f t="shared" si="30"/>
        <v>92</v>
      </c>
      <c r="H123" s="474">
        <f t="shared" si="30"/>
        <v>90</v>
      </c>
      <c r="I123" s="474">
        <f t="shared" si="30"/>
        <v>88</v>
      </c>
      <c r="J123" s="474">
        <f t="shared" si="30"/>
        <v>86</v>
      </c>
      <c r="K123" s="474">
        <f t="shared" si="30"/>
        <v>84</v>
      </c>
      <c r="L123" s="474">
        <f t="shared" si="30"/>
        <v>82</v>
      </c>
      <c r="M123" s="475">
        <f t="shared" si="30"/>
        <v>80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19"/>
      <c r="O124" s="2519"/>
      <c r="P124" s="2512"/>
      <c r="Q124" s="2506"/>
      <c r="R124" s="2485"/>
      <c r="S124" s="2485"/>
      <c r="T124" s="2485"/>
      <c r="U124" s="2485"/>
      <c r="V124" s="2485"/>
      <c r="W124" s="2485"/>
      <c r="X124" s="2485"/>
      <c r="Y124" s="2485"/>
      <c r="Z124" s="2485"/>
      <c r="AA124" s="2485"/>
      <c r="AB124" s="2485"/>
      <c r="AC124" s="2485"/>
    </row>
    <row r="125" spans="1:29" ht="15.75" thickBot="1">
      <c r="A125" s="366"/>
      <c r="B125" s="473"/>
      <c r="C125" s="474">
        <v>100</v>
      </c>
      <c r="D125" s="474">
        <f>C125-$K43</f>
        <v>98</v>
      </c>
      <c r="E125" s="474">
        <f>D125-$K43</f>
        <v>96</v>
      </c>
      <c r="F125" s="474">
        <f>E125-$K43</f>
        <v>94</v>
      </c>
      <c r="G125" s="474">
        <f>F125-$K43</f>
        <v>92</v>
      </c>
      <c r="H125" s="474"/>
      <c r="I125" s="474"/>
      <c r="J125" s="474"/>
      <c r="K125" s="474"/>
      <c r="L125" s="474"/>
      <c r="M125" s="475"/>
      <c r="N125" s="2520"/>
      <c r="O125" s="2520"/>
      <c r="P125" s="2511"/>
      <c r="Q125" s="2506"/>
      <c r="R125" s="2485"/>
      <c r="S125" s="2485"/>
      <c r="T125" s="2485"/>
      <c r="U125" s="2485"/>
      <c r="V125" s="2485"/>
      <c r="W125" s="2485"/>
      <c r="X125" s="2485"/>
      <c r="Y125" s="2485"/>
      <c r="Z125" s="2485"/>
      <c r="AA125" s="2485"/>
      <c r="AB125" s="2485"/>
      <c r="AC125" s="2485"/>
    </row>
    <row r="126" spans="1:29" s="407" customFormat="1" ht="15" thickTop="1">
      <c r="A126" s="405"/>
      <c r="B126" s="468">
        <f>B44</f>
        <v>111</v>
      </c>
      <c r="C126" s="484"/>
      <c r="D126" s="484"/>
      <c r="E126" s="484"/>
      <c r="F126" s="484"/>
      <c r="G126" s="484"/>
      <c r="H126" s="485"/>
      <c r="I126" s="485"/>
      <c r="J126" s="485"/>
      <c r="K126" s="485"/>
      <c r="L126" s="486"/>
      <c r="M126" s="487"/>
      <c r="N126" s="2521"/>
      <c r="O126" s="2521"/>
      <c r="P126" s="2512"/>
      <c r="Q126" s="2513"/>
      <c r="R126" s="2491"/>
      <c r="S126" s="2491"/>
      <c r="T126" s="2491"/>
      <c r="U126" s="2491"/>
      <c r="V126" s="2491"/>
      <c r="W126" s="2491"/>
      <c r="X126" s="2491"/>
      <c r="Y126" s="2491"/>
      <c r="Z126" s="2491"/>
      <c r="AA126" s="2491"/>
      <c r="AB126" s="2491"/>
      <c r="AC126" s="2491"/>
    </row>
    <row r="127" spans="1:29" s="407" customFormat="1" ht="15.75" thickBot="1">
      <c r="A127" s="483"/>
      <c r="B127" s="473"/>
      <c r="C127" s="490"/>
      <c r="D127" s="466"/>
      <c r="E127" s="466"/>
      <c r="F127" s="466"/>
      <c r="G127" s="490"/>
      <c r="H127" s="492"/>
      <c r="I127" s="492"/>
      <c r="J127" s="492"/>
      <c r="K127" s="492"/>
      <c r="L127" s="492"/>
      <c r="M127" s="493"/>
      <c r="N127" s="2521"/>
      <c r="O127" s="2521"/>
      <c r="P127" s="2512"/>
      <c r="Q127" s="2513"/>
      <c r="R127" s="2491"/>
      <c r="S127" s="2491"/>
      <c r="T127" s="2491"/>
      <c r="U127" s="2491"/>
      <c r="V127" s="2491"/>
      <c r="W127" s="2491"/>
      <c r="X127" s="2491"/>
      <c r="Y127" s="2491"/>
      <c r="Z127" s="2491"/>
      <c r="AA127" s="2491"/>
      <c r="AB127" s="2491"/>
      <c r="AC127" s="2491"/>
    </row>
    <row r="128" spans="1:29" ht="15" thickTop="1">
      <c r="A128" s="408"/>
      <c r="B128" s="468">
        <f>B45</f>
        <v>111</v>
      </c>
      <c r="C128" s="484"/>
      <c r="D128" s="484"/>
      <c r="E128" s="484"/>
      <c r="F128" s="484"/>
      <c r="G128" s="512"/>
      <c r="H128" s="512"/>
      <c r="I128" s="512"/>
      <c r="J128" s="512"/>
      <c r="K128" s="513"/>
      <c r="L128" s="514"/>
      <c r="M128" s="515"/>
      <c r="N128" s="2519"/>
      <c r="O128" s="2519"/>
      <c r="P128" s="2511"/>
      <c r="Q128" s="2506"/>
      <c r="R128" s="2485"/>
      <c r="S128" s="2485"/>
      <c r="T128" s="2485"/>
      <c r="U128" s="2485"/>
      <c r="V128" s="2485"/>
      <c r="W128" s="2485"/>
      <c r="X128" s="2485"/>
      <c r="Y128" s="2485"/>
      <c r="Z128" s="2485"/>
      <c r="AA128" s="2485"/>
      <c r="AB128" s="2485"/>
      <c r="AC128" s="2485"/>
    </row>
    <row r="129" spans="1:29" ht="15.75" thickBot="1">
      <c r="A129" s="366"/>
      <c r="B129" s="473"/>
      <c r="C129" s="490"/>
      <c r="D129" s="466"/>
      <c r="E129" s="466"/>
      <c r="F129" s="466"/>
      <c r="G129" s="466"/>
      <c r="H129" s="466"/>
      <c r="I129" s="466"/>
      <c r="J129" s="466"/>
      <c r="K129" s="466"/>
      <c r="L129" s="466"/>
      <c r="M129" s="467"/>
      <c r="N129" s="2520"/>
      <c r="O129" s="2520"/>
      <c r="P129" s="2511"/>
      <c r="Q129" s="2506"/>
      <c r="R129" s="2485"/>
      <c r="S129" s="2485"/>
      <c r="T129" s="2485"/>
      <c r="U129" s="2485"/>
      <c r="V129" s="2485"/>
      <c r="W129" s="2485"/>
      <c r="X129" s="2485"/>
      <c r="Y129" s="2485"/>
      <c r="Z129" s="2485"/>
      <c r="AA129" s="2485"/>
      <c r="AB129" s="2485"/>
      <c r="AC129" s="2485"/>
    </row>
    <row r="130" spans="1:29" ht="15" thickTop="1">
      <c r="A130" s="408"/>
      <c r="B130" s="476">
        <f>B46</f>
        <v>111</v>
      </c>
      <c r="C130" s="484"/>
      <c r="D130" s="484"/>
      <c r="E130" s="484"/>
      <c r="F130" s="484"/>
      <c r="G130" s="516"/>
      <c r="H130" s="516"/>
      <c r="I130" s="516"/>
      <c r="J130" s="516"/>
      <c r="K130" s="31"/>
      <c r="L130" s="456"/>
      <c r="M130" s="519"/>
      <c r="N130" s="2519"/>
      <c r="O130" s="2519"/>
      <c r="P130" s="2511"/>
      <c r="Q130" s="2506"/>
      <c r="R130" s="2485"/>
      <c r="S130" s="2485"/>
      <c r="T130" s="2485"/>
      <c r="U130" s="2485"/>
      <c r="V130" s="2485"/>
      <c r="W130" s="2485"/>
      <c r="X130" s="2485"/>
      <c r="Y130" s="2485"/>
      <c r="Z130" s="2485"/>
      <c r="AA130" s="2485"/>
      <c r="AB130" s="2485"/>
      <c r="AC130" s="2485"/>
    </row>
    <row r="131" spans="1:29" ht="15.75" thickBot="1">
      <c r="A131" s="374"/>
      <c r="B131" s="499"/>
      <c r="C131" s="500"/>
      <c r="D131" s="500"/>
      <c r="E131" s="500"/>
      <c r="F131" s="500"/>
      <c r="G131" s="520"/>
      <c r="H131" s="520"/>
      <c r="I131" s="520"/>
      <c r="J131" s="520"/>
      <c r="K131" s="520"/>
      <c r="L131" s="520"/>
      <c r="M131" s="521"/>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121" priority="14" stopIfTrue="1">
      <formula>$F$52="超过30%"</formula>
    </cfRule>
  </conditionalFormatting>
  <conditionalFormatting sqref="E53">
    <cfRule type="expression" dxfId="120" priority="13" stopIfTrue="1">
      <formula>$F$53="超过20%"</formula>
    </cfRule>
  </conditionalFormatting>
  <conditionalFormatting sqref="E54">
    <cfRule type="expression" dxfId="119" priority="12"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cfRule type="containsText" dxfId="116" priority="15" stopIfTrue="1" operator="containsText" text="超过">
      <formula>NOT(ISERROR(SEARCH("超过",F52)))</formula>
    </cfRule>
  </conditionalFormatting>
  <conditionalFormatting sqref="G52">
    <cfRule type="expression" dxfId="115" priority="10" stopIfTrue="1">
      <formula>$H$52="超过30%"</formula>
    </cfRule>
  </conditionalFormatting>
  <conditionalFormatting sqref="G53">
    <cfRule type="expression" dxfId="114" priority="9" stopIfTrue="1">
      <formula>$H$53="超过20%"</formula>
    </cfRule>
  </conditionalFormatting>
  <conditionalFormatting sqref="G54">
    <cfRule type="expression" dxfId="113" priority="11"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conditionalFormatting sqref="J52:J54">
    <cfRule type="containsText" dxfId="107" priority="8" stopIfTrue="1" operator="containsText" text="超过">
      <formula>NOT(ISERROR(SEARCH("超过",J52)))</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P6:R81"/>
  <sheetViews>
    <sheetView workbookViewId="0">
      <selection activeCell="Q27" sqref="Q27"/>
    </sheetView>
  </sheetViews>
  <sheetFormatPr defaultRowHeight="13.5"/>
  <sheetData>
    <row r="6" spans="16:17">
      <c r="P6" s="1404" t="s">
        <v>3414</v>
      </c>
    </row>
    <row r="7" spans="16:17">
      <c r="P7" s="1404" t="s">
        <v>3415</v>
      </c>
      <c r="Q7">
        <v>84</v>
      </c>
    </row>
    <row r="8" spans="16:17">
      <c r="P8" s="1404" t="s">
        <v>3416</v>
      </c>
      <c r="Q8">
        <v>35715</v>
      </c>
    </row>
    <row r="43" spans="17:18">
      <c r="Q43" s="1404" t="s">
        <v>3417</v>
      </c>
    </row>
    <row r="44" spans="17:18">
      <c r="Q44" s="1404" t="s">
        <v>3415</v>
      </c>
      <c r="R44">
        <v>65.349999999999994</v>
      </c>
    </row>
    <row r="45" spans="17:18">
      <c r="Q45" s="1404" t="s">
        <v>3416</v>
      </c>
      <c r="R45">
        <v>30605</v>
      </c>
    </row>
    <row r="77" spans="16:17">
      <c r="P77" s="1404" t="s">
        <v>3418</v>
      </c>
    </row>
    <row r="78" spans="16:17">
      <c r="P78" s="1404" t="s">
        <v>3415</v>
      </c>
      <c r="Q78">
        <v>190.52</v>
      </c>
    </row>
    <row r="79" spans="16:17">
      <c r="P79" s="1404" t="s">
        <v>3416</v>
      </c>
      <c r="Q79">
        <v>35692</v>
      </c>
    </row>
    <row r="81" spans="16:16">
      <c r="P81" s="1404" t="s">
        <v>3453</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M5:T218"/>
  <sheetViews>
    <sheetView topLeftCell="A211" workbookViewId="0">
      <selection activeCell="S87" sqref="S87"/>
    </sheetView>
  </sheetViews>
  <sheetFormatPr defaultRowHeight="13.5"/>
  <sheetData>
    <row r="5" spans="16:17">
      <c r="P5" s="1404" t="s">
        <v>3476</v>
      </c>
      <c r="Q5" s="1404" t="s">
        <v>3477</v>
      </c>
    </row>
    <row r="6" spans="16:17">
      <c r="P6" s="1404" t="s">
        <v>3478</v>
      </c>
      <c r="Q6" s="1404">
        <v>3</v>
      </c>
    </row>
    <row r="60" spans="13:14">
      <c r="M60" s="1404" t="s">
        <v>3477</v>
      </c>
    </row>
    <row r="61" spans="13:14">
      <c r="M61" s="1404" t="s">
        <v>3478</v>
      </c>
      <c r="N61">
        <v>3.03</v>
      </c>
    </row>
    <row r="85" spans="18:19">
      <c r="R85" s="1404" t="s">
        <v>654</v>
      </c>
      <c r="S85">
        <v>3.6</v>
      </c>
    </row>
    <row r="129" spans="19:20">
      <c r="S129" s="1404" t="s">
        <v>654</v>
      </c>
      <c r="T129">
        <v>3.06</v>
      </c>
    </row>
    <row r="175" spans="19:20">
      <c r="S175" s="1404" t="s">
        <v>654</v>
      </c>
      <c r="T175">
        <v>2.8</v>
      </c>
    </row>
    <row r="218" spans="18:19">
      <c r="R218" s="1404" t="s">
        <v>654</v>
      </c>
      <c r="S218" s="1404">
        <v>3</v>
      </c>
    </row>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2437</v>
      </c>
      <c r="B1" s="2581"/>
      <c r="C1" s="2593"/>
      <c r="D1" s="2593"/>
      <c r="E1" s="2582"/>
      <c r="F1" s="2583"/>
      <c r="G1" s="2584"/>
      <c r="J1" s="2587" t="s">
        <v>2316</v>
      </c>
      <c r="K1" s="2588"/>
      <c r="L1" s="2588"/>
      <c r="M1" s="2588"/>
      <c r="N1" s="2588"/>
      <c r="O1" s="2588"/>
      <c r="P1" s="2588"/>
      <c r="Q1" s="2588"/>
      <c r="R1" s="2589"/>
      <c r="S1" s="2590"/>
      <c r="T1" s="2590"/>
      <c r="U1" s="2590"/>
    </row>
    <row r="2" spans="1:22" s="2602" customFormat="1" ht="13.15" customHeight="1">
      <c r="A2" s="1292" t="s">
        <v>2317</v>
      </c>
      <c r="B2" s="2592" t="e">
        <f>IF(D2="——",C40,C40+E2)</f>
        <v>#DIV/0!</v>
      </c>
      <c r="C2" s="2593" t="s">
        <v>2318</v>
      </c>
      <c r="D2" s="3136" t="s">
        <v>3361</v>
      </c>
      <c r="E2" s="3137"/>
      <c r="F2" s="2595"/>
      <c r="G2" s="2596"/>
      <c r="H2" s="2597"/>
      <c r="I2" s="2598"/>
      <c r="J2" s="3400" t="s">
        <v>2319</v>
      </c>
      <c r="K2" s="3401"/>
      <c r="L2" s="2599" t="s">
        <v>2320</v>
      </c>
      <c r="M2" s="2599" t="s">
        <v>2321</v>
      </c>
      <c r="N2" s="2599" t="s">
        <v>2322</v>
      </c>
      <c r="O2" s="2599" t="s">
        <v>2323</v>
      </c>
      <c r="P2" s="2599" t="s">
        <v>2324</v>
      </c>
      <c r="Q2" s="2600" t="s">
        <v>2325</v>
      </c>
      <c r="R2" s="2601" t="s">
        <v>2326</v>
      </c>
      <c r="S2" s="2590"/>
      <c r="T2" s="2590"/>
      <c r="U2" s="2590"/>
      <c r="V2" s="2598"/>
    </row>
    <row r="3" spans="1:22" s="2602" customFormat="1" ht="13.15" customHeight="1">
      <c r="A3" s="2603" t="s">
        <v>2327</v>
      </c>
      <c r="B3" s="2604" t="e">
        <f>ROUND(B2*10000/B4,0)</f>
        <v>#DIV/0!</v>
      </c>
      <c r="C3" s="2593" t="s">
        <v>2328</v>
      </c>
      <c r="D3" s="2593"/>
      <c r="E3" s="2594"/>
      <c r="F3" s="2595"/>
      <c r="G3" s="2596"/>
      <c r="H3" s="2597"/>
      <c r="I3" s="2598"/>
      <c r="J3" s="3402" t="s">
        <v>2329</v>
      </c>
      <c r="K3" s="3403"/>
      <c r="L3" s="2605"/>
      <c r="M3" s="2605"/>
      <c r="N3" s="2605"/>
      <c r="O3" s="2605"/>
      <c r="P3" s="2605"/>
      <c r="Q3" s="2606"/>
      <c r="R3" s="2607">
        <f>SUM(L3:Q3)</f>
        <v>0</v>
      </c>
      <c r="S3" s="2590"/>
      <c r="T3" s="2590"/>
      <c r="U3" s="2590"/>
      <c r="V3" s="2598"/>
    </row>
    <row r="4" spans="1:22" s="2602" customFormat="1" ht="13.15" customHeight="1">
      <c r="A4" s="2608" t="s">
        <v>2330</v>
      </c>
      <c r="B4" s="2609"/>
      <c r="C4" s="2593"/>
      <c r="D4" s="2593"/>
      <c r="E4" s="2594"/>
      <c r="F4" s="2595"/>
      <c r="G4" s="2596"/>
      <c r="H4" s="2597"/>
      <c r="I4" s="2598"/>
      <c r="J4" s="3402" t="s">
        <v>2331</v>
      </c>
      <c r="K4" s="3403"/>
      <c r="L4" s="2610"/>
      <c r="M4" s="2610"/>
      <c r="N4" s="2610"/>
      <c r="O4" s="2610"/>
      <c r="P4" s="2610"/>
      <c r="Q4" s="2611"/>
      <c r="R4" s="2612">
        <f>SUM(L4:Q4)</f>
        <v>0</v>
      </c>
      <c r="S4" s="2590"/>
      <c r="T4" s="2590"/>
      <c r="U4" s="2590"/>
      <c r="V4" s="2598"/>
    </row>
    <row r="5" spans="1:22" s="2602" customFormat="1" ht="13.15" customHeight="1" thickBot="1">
      <c r="A5" s="2613" t="s">
        <v>2332</v>
      </c>
      <c r="B5" s="2614"/>
      <c r="C5" s="2593"/>
      <c r="D5" s="2615"/>
      <c r="E5" s="2595"/>
      <c r="F5" s="2595"/>
      <c r="G5" s="2596"/>
      <c r="H5" s="2597"/>
      <c r="I5" s="2598"/>
      <c r="J5" s="2616" t="s">
        <v>2333</v>
      </c>
      <c r="K5" s="2617"/>
      <c r="L5" s="2617"/>
      <c r="M5" s="2618"/>
      <c r="N5" s="2618"/>
      <c r="O5" s="2618"/>
      <c r="P5" s="2618"/>
      <c r="Q5" s="2618"/>
      <c r="R5" s="2601">
        <f>SUM(R14,R19,R24,R25,R27,R28)</f>
        <v>0</v>
      </c>
      <c r="S5" s="2590"/>
      <c r="T5" s="2590" t="s">
        <v>2334</v>
      </c>
      <c r="U5" s="2590" t="e">
        <f>ROUND(R5*10000/365/R3,1)</f>
        <v>#DIV/0!</v>
      </c>
      <c r="V5" s="2598"/>
    </row>
    <row r="6" spans="1:22" s="2602" customFormat="1" ht="13.15" customHeight="1" thickBot="1">
      <c r="A6" s="3408" t="s">
        <v>2335</v>
      </c>
      <c r="B6" s="3409"/>
      <c r="C6" s="3410"/>
      <c r="D6" s="2619"/>
      <c r="E6" s="2620"/>
      <c r="F6" s="2621"/>
      <c r="G6" s="2622"/>
      <c r="H6" s="2597"/>
      <c r="I6" s="2598"/>
      <c r="J6" s="3394">
        <v>1</v>
      </c>
      <c r="K6" s="3395" t="s">
        <v>2336</v>
      </c>
      <c r="L6" s="2623" t="s">
        <v>2337</v>
      </c>
      <c r="M6" s="2624" t="s">
        <v>2338</v>
      </c>
      <c r="N6" s="2624" t="s">
        <v>2339</v>
      </c>
      <c r="O6" s="2624" t="s">
        <v>2340</v>
      </c>
      <c r="P6" s="2624" t="s">
        <v>2341</v>
      </c>
      <c r="Q6" s="2624" t="s">
        <v>2342</v>
      </c>
      <c r="R6" s="2607" t="s">
        <v>2343</v>
      </c>
      <c r="S6" s="2590"/>
      <c r="T6" s="2590" t="s">
        <v>2344</v>
      </c>
      <c r="U6" s="2590"/>
      <c r="V6" s="2598"/>
    </row>
    <row r="7" spans="1:22" s="2602" customFormat="1" ht="13.15" customHeight="1">
      <c r="A7" s="2625" t="s">
        <v>2345</v>
      </c>
      <c r="B7" s="2626"/>
      <c r="C7" s="2627"/>
      <c r="D7" s="2628">
        <f>SUM(D9,D10,D11,D17,0)</f>
        <v>0</v>
      </c>
      <c r="E7" s="2629" t="e">
        <f>E9+E10+E11+E17</f>
        <v>#DIV/0!</v>
      </c>
      <c r="F7" s="2630"/>
      <c r="G7" s="2631"/>
      <c r="H7" s="2597"/>
      <c r="I7" s="2598"/>
      <c r="J7" s="3394"/>
      <c r="K7" s="3396"/>
      <c r="L7" s="2632" t="s">
        <v>2346</v>
      </c>
      <c r="M7" s="2633"/>
      <c r="N7" s="2609"/>
      <c r="O7" s="2634"/>
      <c r="P7" s="2634"/>
      <c r="Q7" s="2635">
        <v>365</v>
      </c>
      <c r="R7" s="2636">
        <f>ROUND(M7*N7*O7*P7*Q7/10000,0)</f>
        <v>0</v>
      </c>
      <c r="S7" s="2590"/>
      <c r="T7" s="2590" t="s">
        <v>2347</v>
      </c>
      <c r="U7" s="2590"/>
      <c r="V7" s="2598"/>
    </row>
    <row r="8" spans="1:22" s="2602" customFormat="1" ht="13.15" customHeight="1">
      <c r="A8" s="2637" t="s">
        <v>2348</v>
      </c>
      <c r="B8" s="3411" t="s">
        <v>2349</v>
      </c>
      <c r="C8" s="3412"/>
      <c r="D8" s="2638" t="s">
        <v>2350</v>
      </c>
      <c r="E8" s="2639" t="s">
        <v>2351</v>
      </c>
      <c r="F8" s="2640" t="s">
        <v>2352</v>
      </c>
      <c r="G8" s="2641"/>
      <c r="H8" s="2597"/>
      <c r="I8" s="2598"/>
      <c r="J8" s="3394"/>
      <c r="K8" s="3396"/>
      <c r="L8" s="2632" t="s">
        <v>2353</v>
      </c>
      <c r="M8" s="2633"/>
      <c r="N8" s="2609"/>
      <c r="O8" s="2634"/>
      <c r="P8" s="2634"/>
      <c r="Q8" s="2635">
        <v>365</v>
      </c>
      <c r="R8" s="2636">
        <f t="shared" ref="R8:R13" si="0">ROUND(M8*N8*O8*P8*Q8/10000,0)</f>
        <v>0</v>
      </c>
      <c r="S8" s="2590"/>
      <c r="T8" s="2590" t="s">
        <v>2354</v>
      </c>
      <c r="U8" s="2590"/>
      <c r="V8" s="2598"/>
    </row>
    <row r="9" spans="1:22" s="2602" customFormat="1" ht="13.15" customHeight="1">
      <c r="A9" s="2637">
        <v>1</v>
      </c>
      <c r="B9" s="3411" t="s">
        <v>2355</v>
      </c>
      <c r="C9" s="3412"/>
      <c r="D9" s="2638">
        <f>ROUND(D6*E9,0)</f>
        <v>0</v>
      </c>
      <c r="E9" s="2642"/>
      <c r="F9" s="2643" t="s">
        <v>2356</v>
      </c>
      <c r="G9" s="2622"/>
      <c r="H9" s="2597"/>
      <c r="I9" s="2598"/>
      <c r="J9" s="3394"/>
      <c r="K9" s="3396"/>
      <c r="L9" s="2632" t="s">
        <v>2357</v>
      </c>
      <c r="M9" s="2633"/>
      <c r="N9" s="2609"/>
      <c r="O9" s="2634"/>
      <c r="P9" s="2634"/>
      <c r="Q9" s="2635">
        <v>365</v>
      </c>
      <c r="R9" s="2636">
        <f t="shared" si="0"/>
        <v>0</v>
      </c>
      <c r="S9" s="2590"/>
      <c r="T9" s="2590"/>
      <c r="U9" s="2590"/>
      <c r="V9" s="2598"/>
    </row>
    <row r="10" spans="1:22" s="2602" customFormat="1" ht="13.15" customHeight="1">
      <c r="A10" s="2637">
        <v>2</v>
      </c>
      <c r="B10" s="3411" t="s">
        <v>2358</v>
      </c>
      <c r="C10" s="3412"/>
      <c r="D10" s="2638">
        <f>ROUND(D6*E10,0)</f>
        <v>0</v>
      </c>
      <c r="E10" s="2642"/>
      <c r="F10" s="2643" t="s">
        <v>2359</v>
      </c>
      <c r="G10" s="2622"/>
      <c r="H10" s="2597"/>
      <c r="I10" s="2598"/>
      <c r="J10" s="3394"/>
      <c r="K10" s="3396"/>
      <c r="L10" s="2632" t="s">
        <v>2360</v>
      </c>
      <c r="M10" s="2633"/>
      <c r="N10" s="2609"/>
      <c r="O10" s="2634"/>
      <c r="P10" s="2634"/>
      <c r="Q10" s="2635">
        <v>365</v>
      </c>
      <c r="R10" s="2636">
        <f t="shared" si="0"/>
        <v>0</v>
      </c>
      <c r="S10" s="2590"/>
      <c r="T10" s="2590"/>
      <c r="U10" s="2590"/>
      <c r="V10" s="2598"/>
    </row>
    <row r="11" spans="1:22" s="2602" customFormat="1" ht="13.15" customHeight="1">
      <c r="A11" s="2637">
        <v>3</v>
      </c>
      <c r="B11" s="3411" t="s">
        <v>2361</v>
      </c>
      <c r="C11" s="3412"/>
      <c r="D11" s="2638">
        <f>D12+D14+D15+D16</f>
        <v>0</v>
      </c>
      <c r="E11" s="2644" t="e">
        <f>D11/D6</f>
        <v>#DIV/0!</v>
      </c>
      <c r="F11" s="2640"/>
      <c r="G11" s="2641"/>
      <c r="H11" s="2597"/>
      <c r="I11" s="2598"/>
      <c r="J11" s="3394"/>
      <c r="K11" s="3396"/>
      <c r="L11" s="2632" t="s">
        <v>2362</v>
      </c>
      <c r="M11" s="2633"/>
      <c r="N11" s="2609"/>
      <c r="O11" s="2634"/>
      <c r="P11" s="2634"/>
      <c r="Q11" s="2635">
        <v>365</v>
      </c>
      <c r="R11" s="2636">
        <f t="shared" si="0"/>
        <v>0</v>
      </c>
      <c r="S11" s="2590"/>
      <c r="T11" s="2590"/>
      <c r="U11" s="2590"/>
      <c r="V11" s="2598"/>
    </row>
    <row r="12" spans="1:22" s="2602" customFormat="1" ht="13.15" customHeight="1">
      <c r="A12" s="2645" t="s">
        <v>2363</v>
      </c>
      <c r="B12" s="3404" t="s">
        <v>2364</v>
      </c>
      <c r="C12" s="3405"/>
      <c r="D12" s="2646">
        <f>ROUND(D13*1.2%*(1-30%),0)</f>
        <v>0</v>
      </c>
      <c r="E12" s="2647">
        <v>1.2E-2</v>
      </c>
      <c r="F12" s="2640" t="s">
        <v>2365</v>
      </c>
      <c r="G12" s="2641"/>
      <c r="H12" s="2597"/>
      <c r="I12" s="2598"/>
      <c r="J12" s="3394"/>
      <c r="K12" s="3396"/>
      <c r="L12" s="2632" t="s">
        <v>2366</v>
      </c>
      <c r="M12" s="2633"/>
      <c r="N12" s="2609"/>
      <c r="O12" s="2634"/>
      <c r="P12" s="2634"/>
      <c r="Q12" s="2635">
        <v>365</v>
      </c>
      <c r="R12" s="2636">
        <f t="shared" si="0"/>
        <v>0</v>
      </c>
      <c r="S12" s="2590"/>
      <c r="T12" s="2590"/>
      <c r="U12" s="2590"/>
      <c r="V12" s="2598"/>
    </row>
    <row r="13" spans="1:22" s="2602" customFormat="1" ht="13.15" customHeight="1">
      <c r="A13" s="2645"/>
      <c r="B13" s="2648"/>
      <c r="C13" s="2649" t="s">
        <v>2367</v>
      </c>
      <c r="D13" s="2650"/>
      <c r="E13" s="2651"/>
      <c r="F13" s="2640"/>
      <c r="G13" s="2641"/>
      <c r="H13" s="2597"/>
      <c r="I13" s="2598"/>
      <c r="J13" s="3394"/>
      <c r="K13" s="3396"/>
      <c r="L13" s="2632" t="s">
        <v>2368</v>
      </c>
      <c r="M13" s="2633"/>
      <c r="N13" s="2609"/>
      <c r="O13" s="2634"/>
      <c r="P13" s="2634"/>
      <c r="Q13" s="2635">
        <v>365</v>
      </c>
      <c r="R13" s="2636">
        <f t="shared" si="0"/>
        <v>0</v>
      </c>
      <c r="S13" s="2590"/>
      <c r="T13" s="2590"/>
      <c r="U13" s="2590"/>
      <c r="V13" s="2598"/>
    </row>
    <row r="14" spans="1:22" s="2602" customFormat="1" ht="13.15" customHeight="1">
      <c r="A14" s="2645" t="s">
        <v>2369</v>
      </c>
      <c r="B14" s="3404" t="s">
        <v>2370</v>
      </c>
      <c r="C14" s="3405"/>
      <c r="D14" s="2646">
        <f>ROUND(E14*B5/10000,0)</f>
        <v>0</v>
      </c>
      <c r="E14" s="2635"/>
      <c r="F14" s="2640" t="s">
        <v>2371</v>
      </c>
      <c r="G14" s="2641"/>
      <c r="H14" s="2597"/>
      <c r="I14" s="2598"/>
      <c r="J14" s="3394"/>
      <c r="K14" s="3397"/>
      <c r="L14" s="2652" t="s">
        <v>2372</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2373</v>
      </c>
      <c r="B15" s="3404" t="s">
        <v>2374</v>
      </c>
      <c r="C15" s="3405"/>
      <c r="D15" s="2646">
        <f>ROUND(D6*E15,0)</f>
        <v>0</v>
      </c>
      <c r="E15" s="2647">
        <v>5.5E-2</v>
      </c>
      <c r="F15" s="2640" t="s">
        <v>2375</v>
      </c>
      <c r="G15" s="2622"/>
      <c r="H15" s="2597"/>
      <c r="I15" s="2598"/>
      <c r="J15" s="3394">
        <v>2</v>
      </c>
      <c r="K15" s="3395" t="s">
        <v>2376</v>
      </c>
      <c r="L15" s="2632" t="s">
        <v>2377</v>
      </c>
      <c r="M15" s="2633" t="s">
        <v>2378</v>
      </c>
      <c r="N15" s="2633" t="s">
        <v>2379</v>
      </c>
      <c r="O15" s="2634" t="s">
        <v>2380</v>
      </c>
      <c r="P15" s="2634" t="s">
        <v>2342</v>
      </c>
      <c r="Q15" s="2609" t="s">
        <v>2381</v>
      </c>
      <c r="R15" s="2656" t="s">
        <v>2343</v>
      </c>
      <c r="S15" s="2590"/>
      <c r="T15" s="2590"/>
      <c r="U15" s="2590"/>
      <c r="V15" s="2598"/>
    </row>
    <row r="16" spans="1:22" s="2602" customFormat="1" ht="13.15" customHeight="1">
      <c r="A16" s="2645" t="s">
        <v>2382</v>
      </c>
      <c r="B16" s="3404" t="s">
        <v>2383</v>
      </c>
      <c r="C16" s="3405"/>
      <c r="D16" s="2657">
        <f>D6*E16</f>
        <v>0</v>
      </c>
      <c r="E16" s="2658"/>
      <c r="F16" s="2643" t="s">
        <v>2384</v>
      </c>
      <c r="G16" s="2622"/>
      <c r="H16" s="2597"/>
      <c r="I16" s="2598"/>
      <c r="J16" s="3394"/>
      <c r="K16" s="3396"/>
      <c r="L16" s="2632" t="s">
        <v>2385</v>
      </c>
      <c r="M16" s="2633"/>
      <c r="N16" s="2633"/>
      <c r="O16" s="2634"/>
      <c r="P16" s="2635">
        <v>365</v>
      </c>
      <c r="Q16" s="2609"/>
      <c r="R16" s="2656">
        <f>ROUND(M16*N16*O16*P16/10000,0)</f>
        <v>0</v>
      </c>
      <c r="S16" s="2590"/>
      <c r="T16" s="2590"/>
      <c r="U16" s="2590"/>
      <c r="V16" s="2598"/>
    </row>
    <row r="17" spans="1:22" s="2602" customFormat="1" ht="13.15" customHeight="1" thickBot="1">
      <c r="A17" s="2659">
        <v>4</v>
      </c>
      <c r="B17" s="3406" t="s">
        <v>2386</v>
      </c>
      <c r="C17" s="3407"/>
      <c r="D17" s="2660">
        <f>ROUND(D6*E17,0)</f>
        <v>0</v>
      </c>
      <c r="E17" s="2661"/>
      <c r="F17" s="2662" t="s">
        <v>2387</v>
      </c>
      <c r="G17" s="2622"/>
      <c r="H17" s="2597"/>
      <c r="I17" s="2598"/>
      <c r="J17" s="3394"/>
      <c r="K17" s="3396"/>
      <c r="L17" s="2632" t="s">
        <v>2388</v>
      </c>
      <c r="M17" s="2633"/>
      <c r="N17" s="2633"/>
      <c r="O17" s="2634"/>
      <c r="P17" s="2635">
        <v>365</v>
      </c>
      <c r="Q17" s="2609"/>
      <c r="R17" s="2656">
        <f>ROUND(M17*N17*O17*P17/10000,0)</f>
        <v>0</v>
      </c>
      <c r="S17" s="2590"/>
      <c r="T17" s="2590"/>
      <c r="U17" s="2590"/>
      <c r="V17" s="2598"/>
    </row>
    <row r="18" spans="1:22" s="2602" customFormat="1" ht="13.15" customHeight="1" thickBot="1">
      <c r="A18" s="2625" t="s">
        <v>2389</v>
      </c>
      <c r="B18" s="2626"/>
      <c r="C18" s="2626"/>
      <c r="D18" s="2663">
        <f>ROUND(D6*E18,0)</f>
        <v>0</v>
      </c>
      <c r="E18" s="2664"/>
      <c r="F18" s="2665" t="s">
        <v>2390</v>
      </c>
      <c r="G18" s="2622"/>
      <c r="H18" s="2597"/>
      <c r="I18" s="2598"/>
      <c r="J18" s="3394"/>
      <c r="K18" s="3396"/>
      <c r="L18" s="2632" t="s">
        <v>2391</v>
      </c>
      <c r="M18" s="2633"/>
      <c r="N18" s="2633"/>
      <c r="O18" s="2634"/>
      <c r="P18" s="2635">
        <v>365</v>
      </c>
      <c r="Q18" s="2609"/>
      <c r="R18" s="2656">
        <f>ROUND(M18*N18*O18*P18/10000,0)</f>
        <v>0</v>
      </c>
      <c r="S18" s="2590"/>
      <c r="T18" s="2590"/>
      <c r="U18" s="2590"/>
      <c r="V18" s="2598"/>
    </row>
    <row r="19" spans="1:22" s="2602" customFormat="1" ht="13.15" customHeight="1" thickBot="1">
      <c r="A19" s="2666" t="s">
        <v>2392</v>
      </c>
      <c r="B19" s="2620"/>
      <c r="C19" s="2620"/>
      <c r="D19" s="2620"/>
      <c r="E19" s="2620"/>
      <c r="F19" s="2621"/>
      <c r="G19" s="2641"/>
      <c r="H19" s="2597"/>
      <c r="I19" s="2598"/>
      <c r="J19" s="3394"/>
      <c r="K19" s="3397"/>
      <c r="L19" s="2652" t="s">
        <v>2372</v>
      </c>
      <c r="M19" s="2653"/>
      <c r="N19" s="2653">
        <f>SUM(N16:N18)</f>
        <v>0</v>
      </c>
      <c r="O19" s="2654"/>
      <c r="P19" s="2667" t="s">
        <v>2436</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394">
        <v>3</v>
      </c>
      <c r="K20" s="3395" t="s">
        <v>2393</v>
      </c>
      <c r="L20" s="2632" t="s">
        <v>2394</v>
      </c>
      <c r="M20" s="2633" t="s">
        <v>2395</v>
      </c>
      <c r="N20" s="2670" t="s">
        <v>2396</v>
      </c>
      <c r="O20" s="2634" t="s">
        <v>2397</v>
      </c>
      <c r="P20" s="2635" t="s">
        <v>2398</v>
      </c>
      <c r="Q20" s="2609" t="s">
        <v>2399</v>
      </c>
      <c r="R20" s="2656" t="s">
        <v>2400</v>
      </c>
      <c r="S20" s="2590"/>
      <c r="T20" s="2590"/>
      <c r="U20" s="2590"/>
      <c r="V20" s="2598"/>
    </row>
    <row r="21" spans="1:22" s="2602" customFormat="1" ht="13.15" customHeight="1">
      <c r="A21" s="2625"/>
      <c r="B21" s="2626"/>
      <c r="C21" s="2671" t="s">
        <v>2401</v>
      </c>
      <c r="D21" s="2672" t="s">
        <v>2402</v>
      </c>
      <c r="E21" s="2673" t="s">
        <v>2403</v>
      </c>
      <c r="F21" s="2669"/>
      <c r="G21" s="2641"/>
      <c r="H21" s="2597"/>
      <c r="I21" s="2598"/>
      <c r="J21" s="3394"/>
      <c r="K21" s="3396"/>
      <c r="L21" s="2632" t="s">
        <v>2404</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2405</v>
      </c>
      <c r="D22" s="2676" t="s">
        <v>2406</v>
      </c>
      <c r="E22" s="2677" t="s">
        <v>2407</v>
      </c>
      <c r="F22" s="2669"/>
      <c r="G22" s="2590"/>
      <c r="H22" s="2597"/>
      <c r="I22" s="2598"/>
      <c r="J22" s="3394"/>
      <c r="K22" s="3396"/>
      <c r="L22" s="2632" t="s">
        <v>2408</v>
      </c>
      <c r="M22" s="2633"/>
      <c r="N22" s="2633"/>
      <c r="O22" s="2634"/>
      <c r="P22" s="2635">
        <v>365</v>
      </c>
      <c r="Q22" s="2609"/>
      <c r="R22" s="2674">
        <f>ROUND(M22*N22*O22*P22/10000,0)</f>
        <v>0</v>
      </c>
      <c r="S22" s="2590"/>
      <c r="T22" s="2590"/>
      <c r="U22" s="2590"/>
      <c r="V22" s="2598"/>
    </row>
    <row r="23" spans="1:22" s="2602" customFormat="1" ht="13.15" customHeight="1">
      <c r="A23" s="2678">
        <v>1</v>
      </c>
      <c r="B23" s="2679" t="s">
        <v>2409</v>
      </c>
      <c r="C23" s="2680">
        <f>D6</f>
        <v>0</v>
      </c>
      <c r="D23" s="2681">
        <f>C23*(1+D24)</f>
        <v>0</v>
      </c>
      <c r="E23" s="2682">
        <f>D23*(1+E24)</f>
        <v>0</v>
      </c>
      <c r="F23" s="2683"/>
      <c r="G23" s="2684"/>
      <c r="H23" s="2597"/>
      <c r="I23" s="2598"/>
      <c r="J23" s="3394"/>
      <c r="K23" s="3396"/>
      <c r="L23" s="2632" t="s">
        <v>2410</v>
      </c>
      <c r="M23" s="2633"/>
      <c r="N23" s="2633"/>
      <c r="O23" s="2634"/>
      <c r="P23" s="2635">
        <v>365</v>
      </c>
      <c r="Q23" s="2609"/>
      <c r="R23" s="2674">
        <f>ROUND(M23*N23*O23*P23/10000,0)</f>
        <v>0</v>
      </c>
      <c r="S23" s="2590"/>
      <c r="T23" s="2590"/>
      <c r="U23" s="2590"/>
      <c r="V23" s="2598"/>
    </row>
    <row r="24" spans="1:22" s="2602" customFormat="1" ht="13.15" customHeight="1">
      <c r="A24" s="2685"/>
      <c r="B24" s="2686" t="s">
        <v>2411</v>
      </c>
      <c r="C24" s="2687"/>
      <c r="D24" s="2688"/>
      <c r="E24" s="2689"/>
      <c r="F24" s="2690"/>
      <c r="G24" s="2684"/>
      <c r="H24" s="2597"/>
      <c r="I24" s="2598"/>
      <c r="J24" s="3394"/>
      <c r="K24" s="3397"/>
      <c r="L24" s="2652" t="s">
        <v>2372</v>
      </c>
      <c r="M24" s="2653">
        <f>SUM(M21:M23)</f>
        <v>0</v>
      </c>
      <c r="N24" s="2653"/>
      <c r="O24" s="2654"/>
      <c r="P24" s="2667" t="s">
        <v>2436</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2412</v>
      </c>
      <c r="L25" s="2693"/>
      <c r="M25" s="2693"/>
      <c r="N25" s="2693"/>
      <c r="O25" s="2693"/>
      <c r="P25" s="2694"/>
      <c r="Q25" s="2695">
        <v>0</v>
      </c>
      <c r="R25" s="2668">
        <f>ROUND(R14*Q25,0)</f>
        <v>0</v>
      </c>
      <c r="S25" s="2590"/>
      <c r="T25" s="2590"/>
      <c r="U25" s="2590"/>
      <c r="V25" s="2696"/>
    </row>
    <row r="26" spans="1:22" s="2697" customFormat="1" ht="13.15" customHeight="1">
      <c r="A26" s="2678">
        <v>2</v>
      </c>
      <c r="B26" s="2679" t="s">
        <v>2413</v>
      </c>
      <c r="C26" s="2680">
        <f>D7</f>
        <v>0</v>
      </c>
      <c r="D26" s="2681">
        <f>D23*D27</f>
        <v>0</v>
      </c>
      <c r="E26" s="2682">
        <f>E23*E27</f>
        <v>0</v>
      </c>
      <c r="F26" s="2683"/>
      <c r="G26" s="2684"/>
      <c r="H26" s="2597"/>
      <c r="I26" s="2598"/>
      <c r="J26" s="3398">
        <v>5</v>
      </c>
      <c r="K26" s="2698" t="s">
        <v>2414</v>
      </c>
      <c r="L26" s="2699"/>
      <c r="M26" s="2700"/>
      <c r="N26" s="2701" t="s">
        <v>2415</v>
      </c>
      <c r="O26" s="2701" t="s">
        <v>2416</v>
      </c>
      <c r="P26" s="2702" t="s">
        <v>2417</v>
      </c>
      <c r="Q26" s="2702" t="s">
        <v>2418</v>
      </c>
      <c r="R26" s="2607" t="s">
        <v>2343</v>
      </c>
      <c r="S26" s="2641"/>
      <c r="T26" s="2641"/>
      <c r="U26" s="2641"/>
      <c r="V26" s="2696"/>
    </row>
    <row r="27" spans="1:22" s="2602" customFormat="1" ht="13.15" customHeight="1">
      <c r="A27" s="2685"/>
      <c r="B27" s="2686" t="s">
        <v>2419</v>
      </c>
      <c r="C27" s="2703" t="e">
        <f>E7</f>
        <v>#DIV/0!</v>
      </c>
      <c r="D27" s="2688"/>
      <c r="E27" s="2689"/>
      <c r="F27" s="2690"/>
      <c r="G27" s="2684"/>
      <c r="H27" s="2704"/>
      <c r="I27" s="2696"/>
      <c r="J27" s="3399"/>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2420</v>
      </c>
      <c r="F28" s="2690"/>
      <c r="G28" s="2590"/>
      <c r="H28" s="2704"/>
      <c r="I28" s="2696"/>
      <c r="J28" s="2710">
        <v>6</v>
      </c>
      <c r="K28" s="2711" t="s">
        <v>2421</v>
      </c>
      <c r="L28" s="2712" t="s">
        <v>2422</v>
      </c>
      <c r="M28" s="2713"/>
      <c r="N28" s="2712" t="s">
        <v>2423</v>
      </c>
      <c r="O28" s="2714"/>
      <c r="P28" s="2712" t="s">
        <v>2424</v>
      </c>
      <c r="Q28" s="2715">
        <v>1.4999999999999999E-2</v>
      </c>
      <c r="R28" s="2716"/>
      <c r="S28" s="2590"/>
      <c r="T28" s="2590"/>
      <c r="U28" s="2590"/>
      <c r="V28" s="2696"/>
    </row>
    <row r="29" spans="1:22" s="2697" customFormat="1" ht="13.15" customHeight="1">
      <c r="A29" s="2678">
        <v>3</v>
      </c>
      <c r="B29" s="2679" t="s">
        <v>2425</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2419</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2426</v>
      </c>
      <c r="K31" s="2588"/>
      <c r="L31" s="2588"/>
      <c r="M31" s="2588"/>
      <c r="N31" s="2588"/>
      <c r="O31" s="2588"/>
      <c r="P31" s="2588"/>
      <c r="Q31" s="2588"/>
      <c r="R31" s="2589"/>
      <c r="S31" s="2590"/>
      <c r="T31" s="2590"/>
      <c r="U31" s="2590"/>
      <c r="V31" s="2696"/>
    </row>
    <row r="32" spans="1:22" s="2697" customFormat="1" ht="13.15" customHeight="1">
      <c r="A32" s="2678">
        <v>4</v>
      </c>
      <c r="B32" s="2679" t="s">
        <v>2427</v>
      </c>
      <c r="C32" s="2680">
        <f>C23-C26-C29</f>
        <v>0</v>
      </c>
      <c r="D32" s="2681">
        <f>D23-D26-D29</f>
        <v>0</v>
      </c>
      <c r="E32" s="2682">
        <f>E23-E26-E29</f>
        <v>0</v>
      </c>
      <c r="F32" s="2683"/>
      <c r="G32" s="2590"/>
      <c r="H32" s="2597"/>
      <c r="I32" s="2598"/>
      <c r="J32" s="3400" t="s">
        <v>2319</v>
      </c>
      <c r="K32" s="3401"/>
      <c r="L32" s="2599" t="s">
        <v>2320</v>
      </c>
      <c r="M32" s="2599" t="s">
        <v>2321</v>
      </c>
      <c r="N32" s="2599" t="s">
        <v>2322</v>
      </c>
      <c r="O32" s="2599" t="s">
        <v>2323</v>
      </c>
      <c r="P32" s="2599" t="s">
        <v>2324</v>
      </c>
      <c r="Q32" s="2600" t="s">
        <v>2325</v>
      </c>
      <c r="R32" s="2719" t="s">
        <v>2326</v>
      </c>
      <c r="S32" s="2590"/>
      <c r="T32" s="2590"/>
      <c r="U32" s="2590"/>
      <c r="V32" s="2696"/>
    </row>
    <row r="33" spans="1:23" s="2602" customFormat="1" ht="13.15" customHeight="1">
      <c r="A33" s="2678"/>
      <c r="B33" s="2679"/>
      <c r="C33" s="2680"/>
      <c r="D33" s="2720"/>
      <c r="E33" s="2721"/>
      <c r="F33" s="2683"/>
      <c r="G33" s="2590"/>
      <c r="H33" s="2704"/>
      <c r="I33" s="2696"/>
      <c r="J33" s="3402" t="s">
        <v>2329</v>
      </c>
      <c r="K33" s="3403"/>
      <c r="L33" s="2605"/>
      <c r="M33" s="2605"/>
      <c r="N33" s="2605"/>
      <c r="O33" s="2605"/>
      <c r="P33" s="2605"/>
      <c r="Q33" s="2606"/>
      <c r="R33" s="2722">
        <f>SUM(L33:Q33)</f>
        <v>0</v>
      </c>
      <c r="S33" s="2590"/>
      <c r="T33" s="2590"/>
      <c r="U33" s="2590"/>
      <c r="V33" s="2598"/>
    </row>
    <row r="34" spans="1:23" s="2602" customFormat="1" ht="13.15" customHeight="1">
      <c r="A34" s="2678">
        <v>5</v>
      </c>
      <c r="B34" s="2679" t="s">
        <v>2428</v>
      </c>
      <c r="C34" s="2723"/>
      <c r="D34" s="2724"/>
      <c r="E34" s="2725"/>
      <c r="F34" s="2683"/>
      <c r="G34" s="2590"/>
      <c r="H34" s="2704"/>
      <c r="I34" s="2696"/>
      <c r="J34" s="3402" t="s">
        <v>2331</v>
      </c>
      <c r="K34" s="3403"/>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2429</v>
      </c>
      <c r="C35" s="2727"/>
      <c r="D35" s="2728"/>
      <c r="E35" s="2729"/>
      <c r="F35" s="2683"/>
      <c r="G35" s="2730"/>
      <c r="H35" s="2597"/>
      <c r="I35" s="2696"/>
      <c r="J35" s="2616" t="s">
        <v>2333</v>
      </c>
      <c r="K35" s="2617"/>
      <c r="L35" s="2617"/>
      <c r="M35" s="2618"/>
      <c r="N35" s="2618"/>
      <c r="O35" s="2618"/>
      <c r="P35" s="2618"/>
      <c r="Q35" s="2618"/>
      <c r="R35" s="2731">
        <f>R40+R41+R43</f>
        <v>0</v>
      </c>
      <c r="S35" s="2590"/>
      <c r="T35" s="2590" t="s">
        <v>2334</v>
      </c>
      <c r="U35" s="2590"/>
      <c r="V35" s="2598"/>
    </row>
    <row r="36" spans="1:23" s="2602" customFormat="1" ht="13.15" customHeight="1" thickBot="1">
      <c r="A36" s="2678">
        <v>7</v>
      </c>
      <c r="B36" s="2732" t="s">
        <v>2430</v>
      </c>
      <c r="C36" s="2733"/>
      <c r="D36" s="2734"/>
      <c r="E36" s="2735"/>
      <c r="F36" s="2736">
        <f>C36+D36+E36</f>
        <v>0</v>
      </c>
      <c r="G36" s="2590"/>
      <c r="H36" s="2597"/>
      <c r="I36" s="2598"/>
      <c r="J36" s="3394">
        <v>1</v>
      </c>
      <c r="K36" s="3395" t="s">
        <v>2431</v>
      </c>
      <c r="L36" s="2623"/>
      <c r="M36" s="2624"/>
      <c r="N36" s="2624"/>
      <c r="O36" s="2624"/>
      <c r="P36" s="2624"/>
      <c r="Q36" s="2624"/>
      <c r="R36" s="2607" t="s">
        <v>2343</v>
      </c>
      <c r="S36" s="2590"/>
      <c r="T36" s="2590" t="s">
        <v>2344</v>
      </c>
      <c r="U36" s="2590"/>
      <c r="V36" s="2598"/>
    </row>
    <row r="37" spans="1:23" s="2602" customFormat="1" ht="13.15" customHeight="1">
      <c r="A37" s="2678"/>
      <c r="B37" s="2679"/>
      <c r="C37" s="2679"/>
      <c r="D37" s="2679"/>
      <c r="E37" s="2679"/>
      <c r="F37" s="2683"/>
      <c r="G37" s="2590"/>
      <c r="H37" s="2597"/>
      <c r="I37" s="2598"/>
      <c r="J37" s="3394"/>
      <c r="K37" s="3396"/>
      <c r="L37" s="2632"/>
      <c r="M37" s="2633"/>
      <c r="N37" s="2609"/>
      <c r="O37" s="2634"/>
      <c r="P37" s="2634"/>
      <c r="Q37" s="2635"/>
      <c r="R37" s="2636"/>
      <c r="S37" s="2590"/>
      <c r="T37" s="2590" t="s">
        <v>2347</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394"/>
      <c r="K38" s="3396"/>
      <c r="L38" s="2632"/>
      <c r="M38" s="2633"/>
      <c r="N38" s="2609"/>
      <c r="O38" s="2634"/>
      <c r="P38" s="2634"/>
      <c r="Q38" s="2635"/>
      <c r="R38" s="2636"/>
      <c r="S38" s="2590"/>
      <c r="T38" s="2590" t="s">
        <v>2354</v>
      </c>
      <c r="U38" s="2590"/>
      <c r="V38" s="2598"/>
    </row>
    <row r="39" spans="1:23" s="2602" customFormat="1" ht="13.15" customHeight="1">
      <c r="A39" s="2678">
        <v>9</v>
      </c>
      <c r="B39" s="2679" t="s">
        <v>2432</v>
      </c>
      <c r="C39" s="2646" t="e">
        <f>C38</f>
        <v>#DIV/0!</v>
      </c>
      <c r="D39" s="2679">
        <f>D38/(1+D34)^C36</f>
        <v>0</v>
      </c>
      <c r="E39" s="2679">
        <f>E38/(1+E34)^(C36+D36)</f>
        <v>0</v>
      </c>
      <c r="F39" s="2683"/>
      <c r="G39" s="2598"/>
      <c r="H39" s="2597"/>
      <c r="I39" s="2598"/>
      <c r="J39" s="3394"/>
      <c r="K39" s="3396"/>
      <c r="L39" s="2632"/>
      <c r="M39" s="2633"/>
      <c r="N39" s="2609"/>
      <c r="O39" s="2634"/>
      <c r="P39" s="2634"/>
      <c r="Q39" s="2635"/>
      <c r="R39" s="2636"/>
      <c r="S39" s="2590"/>
      <c r="T39" s="2590"/>
      <c r="U39" s="2590"/>
      <c r="V39" s="2598"/>
    </row>
    <row r="40" spans="1:23" s="2602" customFormat="1" ht="13.15" customHeight="1">
      <c r="A40" s="2737">
        <v>10</v>
      </c>
      <c r="B40" s="2679" t="s">
        <v>2433</v>
      </c>
      <c r="C40" s="2738" t="e">
        <f>C39+D39+E39</f>
        <v>#DIV/0!</v>
      </c>
      <c r="D40" s="2739"/>
      <c r="E40" s="2739"/>
      <c r="F40" s="2740"/>
      <c r="G40" s="2590"/>
      <c r="H40" s="2597"/>
      <c r="I40" s="2598"/>
      <c r="J40" s="3394"/>
      <c r="K40" s="3397"/>
      <c r="L40" s="2652" t="s">
        <v>2372</v>
      </c>
      <c r="M40" s="2653"/>
      <c r="N40" s="2653"/>
      <c r="O40" s="2654"/>
      <c r="P40" s="2654"/>
      <c r="Q40" s="2655"/>
      <c r="R40" s="2601">
        <f>SUM(R37:R39)</f>
        <v>0</v>
      </c>
      <c r="S40" s="2590"/>
      <c r="T40" s="2590"/>
      <c r="U40" s="2590"/>
      <c r="V40" s="2598"/>
    </row>
    <row r="41" spans="1:23" s="2602" customFormat="1" ht="13.15" customHeight="1" thickBot="1">
      <c r="A41" s="2741">
        <v>11</v>
      </c>
      <c r="B41" s="2742" t="s">
        <v>2434</v>
      </c>
      <c r="C41" s="2742" t="e">
        <f>ROUND(C40*10000/B4,0)</f>
        <v>#DIV/0!</v>
      </c>
      <c r="D41" s="2743"/>
      <c r="E41" s="2743"/>
      <c r="F41" s="2744"/>
      <c r="G41" s="2597"/>
      <c r="H41" s="2597"/>
      <c r="I41" s="2598"/>
      <c r="J41" s="2691">
        <v>2</v>
      </c>
      <c r="K41" s="2692" t="s">
        <v>2412</v>
      </c>
      <c r="L41" s="2693"/>
      <c r="M41" s="2693"/>
      <c r="N41" s="2693"/>
      <c r="O41" s="2693"/>
      <c r="P41" s="2694"/>
      <c r="Q41" s="2695"/>
      <c r="R41" s="2668">
        <f>ROUND(R40*Q41,0)</f>
        <v>0</v>
      </c>
      <c r="S41" s="2590"/>
      <c r="T41" s="2590"/>
      <c r="U41" s="2641"/>
      <c r="V41" s="2598"/>
    </row>
    <row r="42" spans="1:23" s="2602" customFormat="1" ht="13.15" customHeight="1">
      <c r="G42" s="2597"/>
      <c r="H42" s="2597"/>
      <c r="I42" s="2598"/>
      <c r="J42" s="3398">
        <v>3</v>
      </c>
      <c r="K42" s="2698" t="s">
        <v>2414</v>
      </c>
      <c r="L42" s="2699"/>
      <c r="M42" s="2700"/>
      <c r="N42" s="2701" t="s">
        <v>2415</v>
      </c>
      <c r="O42" s="2701" t="s">
        <v>2416</v>
      </c>
      <c r="P42" s="2702" t="s">
        <v>2417</v>
      </c>
      <c r="Q42" s="2702" t="s">
        <v>2418</v>
      </c>
      <c r="R42" s="2607" t="s">
        <v>2343</v>
      </c>
      <c r="S42" s="2641"/>
      <c r="T42" s="2641"/>
      <c r="U42" s="2590"/>
      <c r="V42" s="2598"/>
    </row>
    <row r="43" spans="1:23" ht="13.15" customHeight="1">
      <c r="A43" s="2602"/>
      <c r="B43" s="2602"/>
      <c r="C43" s="2602"/>
      <c r="D43" s="2602"/>
      <c r="E43" s="2602"/>
      <c r="F43" s="2602"/>
      <c r="I43" s="2585"/>
      <c r="J43" s="3399"/>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2421</v>
      </c>
      <c r="L44" s="2747" t="s">
        <v>2422</v>
      </c>
      <c r="M44" s="2713"/>
      <c r="N44" s="2747" t="s">
        <v>2423</v>
      </c>
      <c r="O44" s="2713"/>
      <c r="P44" s="2747" t="s">
        <v>2424</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7"/>
      <c r="G1" s="458"/>
      <c r="H1" s="458"/>
      <c r="I1" s="458"/>
      <c r="J1" s="458"/>
      <c r="K1" s="458"/>
      <c r="L1" s="458"/>
      <c r="M1" s="458"/>
      <c r="N1" s="458"/>
      <c r="O1" s="458"/>
      <c r="P1" s="458"/>
      <c r="Q1" s="458"/>
      <c r="R1" s="458"/>
      <c r="S1" s="458"/>
    </row>
    <row r="2" spans="1:22" ht="15.75">
      <c r="A2" s="1727" t="s">
        <v>1462</v>
      </c>
      <c r="B2" s="810">
        <f ca="1">SUMIF(B6:B13,"&lt;&gt;#ref!",B6:B13)</f>
        <v>237.73509999999999</v>
      </c>
      <c r="C2" s="1728" t="s">
        <v>1651</v>
      </c>
      <c r="D2" s="1729" t="s">
        <v>1652</v>
      </c>
      <c r="E2" s="2391">
        <f>SUM(E6:E13)</f>
        <v>227.25</v>
      </c>
      <c r="F2" s="2477"/>
      <c r="G2" s="458"/>
      <c r="H2" s="458"/>
      <c r="I2" s="458"/>
      <c r="J2" s="458"/>
      <c r="K2" s="458"/>
      <c r="L2" s="458"/>
      <c r="M2" s="458"/>
      <c r="N2" s="458"/>
      <c r="O2" s="458"/>
      <c r="P2" s="458"/>
      <c r="Q2" s="458"/>
      <c r="R2" s="458"/>
      <c r="S2" s="458"/>
    </row>
    <row r="3" spans="1:22" ht="15.75">
      <c r="A3" s="1727" t="s">
        <v>686</v>
      </c>
      <c r="B3" s="2385">
        <f ca="1">ROUND(B2*10000/E2,0)</f>
        <v>10461</v>
      </c>
      <c r="C3" s="1728" t="s">
        <v>1659</v>
      </c>
      <c r="D3" s="2477"/>
      <c r="E3" s="2480"/>
      <c r="F3" s="2477"/>
      <c r="G3" s="458"/>
      <c r="H3" s="458"/>
      <c r="I3" s="458"/>
      <c r="J3" s="458"/>
      <c r="K3" s="458"/>
      <c r="L3" s="458"/>
      <c r="M3" s="458"/>
      <c r="N3" s="458"/>
      <c r="O3" s="458"/>
      <c r="P3" s="458"/>
      <c r="Q3" s="458"/>
      <c r="R3" s="458"/>
      <c r="S3" s="458"/>
    </row>
    <row r="4" spans="1:22" ht="15.75">
      <c r="A4" s="2481"/>
      <c r="B4" s="2477"/>
      <c r="C4" s="2477"/>
      <c r="D4" s="2477"/>
      <c r="E4" s="2480"/>
      <c r="F4" s="2477"/>
      <c r="G4" s="458"/>
      <c r="H4" s="458"/>
      <c r="I4" s="458"/>
      <c r="J4" s="458"/>
      <c r="K4" s="458"/>
      <c r="L4" s="458"/>
      <c r="M4" s="458"/>
      <c r="N4" s="458"/>
      <c r="O4" s="458"/>
      <c r="P4" s="458"/>
      <c r="Q4" s="458"/>
      <c r="R4" s="458"/>
      <c r="S4" s="458"/>
    </row>
    <row r="5" spans="1:22" ht="15">
      <c r="A5" s="2387" t="s">
        <v>1653</v>
      </c>
      <c r="B5" s="3413" t="s">
        <v>1654</v>
      </c>
      <c r="C5" s="3414"/>
      <c r="D5" s="2478"/>
      <c r="E5" s="1730" t="s">
        <v>1655</v>
      </c>
      <c r="F5" s="128" t="s">
        <v>1656</v>
      </c>
      <c r="G5" s="458"/>
      <c r="H5" s="458"/>
      <c r="I5" s="458"/>
      <c r="J5" s="458"/>
      <c r="K5" s="458"/>
      <c r="L5" s="458"/>
      <c r="M5" s="458"/>
      <c r="N5" s="458"/>
      <c r="O5" s="458"/>
      <c r="P5" s="458"/>
      <c r="Q5" s="458"/>
      <c r="R5" s="458"/>
      <c r="S5" s="458"/>
    </row>
    <row r="6" spans="1:22">
      <c r="A6" s="2388" t="str">
        <f>'数据-取费表'!AN6</f>
        <v>收益法 (元)</v>
      </c>
      <c r="B6" s="2386">
        <f ca="1">IF(F6="是",'数据-取费表'!AO6,0)</f>
        <v>237.73509999999999</v>
      </c>
      <c r="C6" s="1728" t="s">
        <v>1651</v>
      </c>
      <c r="D6" s="2477"/>
      <c r="E6" s="2390">
        <f>IF(OR(A6=0,F6="否"),0,'数据-取费表'!K6+'数据-取费表'!S6)</f>
        <v>227.25</v>
      </c>
      <c r="F6" s="1731" t="s">
        <v>1657</v>
      </c>
      <c r="G6" s="458"/>
      <c r="H6" s="458"/>
      <c r="I6" s="458"/>
      <c r="J6" s="458"/>
      <c r="K6" s="458"/>
      <c r="L6" s="458"/>
      <c r="M6" s="458"/>
      <c r="N6" s="458"/>
      <c r="O6" s="458"/>
      <c r="P6" s="458"/>
      <c r="Q6" s="458"/>
      <c r="R6" s="458"/>
      <c r="S6" s="458"/>
    </row>
    <row r="7" spans="1:22">
      <c r="A7" s="2388">
        <f>'数据-取费表'!AN7</f>
        <v>0</v>
      </c>
      <c r="B7" s="2386" t="e">
        <f ca="1">IF(F7="是",'数据-取费表'!AO7,0)</f>
        <v>#REF!</v>
      </c>
      <c r="C7" s="1728" t="s">
        <v>1651</v>
      </c>
      <c r="D7" s="2477"/>
      <c r="E7" s="2390">
        <f>IF(OR(A7=0,F7="否"),0,'数据-取费表'!K7+'数据-取费表'!S7)</f>
        <v>0</v>
      </c>
      <c r="F7" s="1731" t="s">
        <v>1657</v>
      </c>
      <c r="G7" s="458"/>
      <c r="H7" s="458"/>
      <c r="I7" s="458"/>
      <c r="J7" s="458"/>
      <c r="K7" s="458"/>
      <c r="L7" s="458"/>
      <c r="M7" s="458"/>
      <c r="N7" s="458"/>
      <c r="O7" s="458"/>
      <c r="P7" s="458"/>
      <c r="Q7" s="458"/>
      <c r="R7" s="458"/>
      <c r="S7" s="458"/>
    </row>
    <row r="8" spans="1:22">
      <c r="A8" s="2388">
        <f>'数据-取费表'!AN8</f>
        <v>0</v>
      </c>
      <c r="B8" s="2386" t="e">
        <f ca="1">IF(F8="是",'数据-取费表'!AO8,0)</f>
        <v>#REF!</v>
      </c>
      <c r="C8" s="1728" t="s">
        <v>1651</v>
      </c>
      <c r="D8" s="2477"/>
      <c r="E8" s="2390">
        <f>IF(OR(A8=0,F8="否"),0,'数据-取费表'!K8+'数据-取费表'!S8)</f>
        <v>0</v>
      </c>
      <c r="F8" s="1731" t="s">
        <v>1657</v>
      </c>
      <c r="G8" s="458"/>
      <c r="H8" s="458"/>
      <c r="I8" s="458"/>
      <c r="J8" s="458"/>
      <c r="K8" s="458"/>
      <c r="L8" s="458"/>
      <c r="M8" s="458"/>
      <c r="N8" s="458"/>
      <c r="O8" s="458"/>
      <c r="P8" s="458"/>
      <c r="Q8" s="458"/>
      <c r="R8" s="458"/>
      <c r="S8" s="458"/>
    </row>
    <row r="9" spans="1:22">
      <c r="A9" s="2388">
        <f>'数据-取费表'!AN9</f>
        <v>0</v>
      </c>
      <c r="B9" s="2386" t="e">
        <f ca="1">IF(F9="是",'数据-取费表'!AO9,0)</f>
        <v>#REF!</v>
      </c>
      <c r="C9" s="1728" t="s">
        <v>1651</v>
      </c>
      <c r="D9" s="2477"/>
      <c r="E9" s="2390">
        <f>IF(OR(A9=0,F9="否"),0,'数据-取费表'!K9+'数据-取费表'!S9)</f>
        <v>0</v>
      </c>
      <c r="F9" s="1731" t="s">
        <v>1657</v>
      </c>
      <c r="G9" s="458"/>
      <c r="H9" s="458"/>
      <c r="I9" s="458"/>
      <c r="J9" s="458"/>
      <c r="K9" s="458"/>
      <c r="L9" s="458"/>
      <c r="M9" s="458"/>
      <c r="N9" s="458"/>
      <c r="O9" s="458"/>
      <c r="P9" s="458"/>
      <c r="Q9" s="458"/>
      <c r="R9" s="458"/>
      <c r="S9" s="458"/>
    </row>
    <row r="10" spans="1:22">
      <c r="A10" s="2388">
        <f>'数据-取费表'!AN10</f>
        <v>0</v>
      </c>
      <c r="B10" s="2386" t="e">
        <f ca="1">IF(F10="是",'数据-取费表'!AO10,0)</f>
        <v>#REF!</v>
      </c>
      <c r="C10" s="1728" t="s">
        <v>1651</v>
      </c>
      <c r="D10" s="2477"/>
      <c r="E10" s="2390">
        <f>IF(OR(A10=0,F10="否"),0,'数据-取费表'!K10+'数据-取费表'!S10)</f>
        <v>0</v>
      </c>
      <c r="F10" s="1731" t="s">
        <v>1657</v>
      </c>
      <c r="G10" s="458"/>
      <c r="H10" s="458"/>
      <c r="I10" s="458"/>
      <c r="J10" s="458"/>
      <c r="K10" s="458"/>
      <c r="L10" s="458"/>
      <c r="M10" s="458"/>
      <c r="N10" s="458"/>
      <c r="O10" s="458"/>
      <c r="P10" s="458"/>
      <c r="Q10" s="458"/>
      <c r="R10" s="458"/>
      <c r="S10" s="458"/>
    </row>
    <row r="11" spans="1:22">
      <c r="A11" s="2388">
        <f>'数据-取费表'!AN11</f>
        <v>0</v>
      </c>
      <c r="B11" s="2386" t="e">
        <f ca="1">IF(F11="是",'数据-取费表'!AO11,0)</f>
        <v>#REF!</v>
      </c>
      <c r="C11" s="1728" t="s">
        <v>1651</v>
      </c>
      <c r="D11" s="2477"/>
      <c r="E11" s="2390">
        <f>IF(OR(A11=0,F11="否"),0,'数据-取费表'!K11+'数据-取费表'!S11)</f>
        <v>0</v>
      </c>
      <c r="F11" s="1731" t="s">
        <v>1657</v>
      </c>
      <c r="G11" s="458"/>
      <c r="H11" s="458"/>
      <c r="I11" s="458"/>
      <c r="J11" s="458"/>
      <c r="K11" s="458"/>
      <c r="L11" s="458"/>
      <c r="M11" s="458"/>
      <c r="N11" s="458"/>
      <c r="O11" s="458"/>
      <c r="P11" s="458"/>
      <c r="Q11" s="458"/>
      <c r="R11" s="458"/>
      <c r="S11" s="458"/>
    </row>
    <row r="12" spans="1:22">
      <c r="A12" s="2388">
        <f>'数据-取费表'!AN12</f>
        <v>0</v>
      </c>
      <c r="B12" s="2386" t="e">
        <f ca="1">IF(F12="是",'数据-取费表'!AO12,0)</f>
        <v>#REF!</v>
      </c>
      <c r="C12" s="1728" t="s">
        <v>1651</v>
      </c>
      <c r="D12" s="2477"/>
      <c r="E12" s="2390">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89">
        <f>'数据-取费表'!AN13</f>
        <v>0</v>
      </c>
      <c r="B13" s="2386" t="e">
        <f ca="1">IF(F13="是",'数据-取费表'!AO13,0)</f>
        <v>#REF!</v>
      </c>
      <c r="C13" s="1732" t="s">
        <v>1651</v>
      </c>
      <c r="D13" s="2479"/>
      <c r="E13" s="2390">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36">
      <c r="A4" s="1381" t="str">
        <f>"受贵公司委托，我公司对"&amp;项目基本情况!S1&amp;"进行了预评估。"</f>
        <v>受贵公司委托，我公司对北京市怀柔区开放路46号楼1至2层23房地产抵押价值进行了预评估。</v>
      </c>
    </row>
    <row r="5" spans="1:1" ht="18.75">
      <c r="A5" s="1382" t="s">
        <v>899</v>
      </c>
    </row>
    <row r="6" spans="1:1" ht="18.75">
      <c r="A6" s="1383" t="s">
        <v>900</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估价对象为北京市怀柔区开放路46号楼1至2层23房地产，为李晓明所有。根据《国有土地使用证》[]，估价对象（分摊）出让国有建设用地使用权面积为0平方米，建筑面积为227.25平方米。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开放路46号楼1至2层23房地产,属李晓明开发建设的商业项目，该项目尚在开发建设中。根据《国有土地使用证》[]，估价对象（分摊）出让国有建设用地使用权面积为0平方米，规划建筑面积为227.25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怀柔区开放路46号楼1至2层23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2024年10月15日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15日，估价对象规划用途为商业，土地取得方式为出让，出让国有建设用地使用权剩余土地使用年限为16.95，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16.95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1" t="str">
        <f>IF(项目基本情况!B9="房地产市场价值","——",IF(项目基本情况!E9="——","",定义!C57))</f>
        <v/>
      </c>
    </row>
    <row r="23" spans="1:1" ht="18.75">
      <c r="A23" s="1380" t="s">
        <v>896</v>
      </c>
    </row>
    <row r="24" spans="1:1" ht="18">
      <c r="A24" s="1386" t="str">
        <f>"本次评估采用的主估价方法为"&amp;结果表!K4&amp;"和"&amp;结果表!L4&amp;"。"</f>
        <v>本次评估采用的主估价方法为比较法和收益法。</v>
      </c>
    </row>
    <row r="25" spans="1:1" ht="18">
      <c r="A25" s="1386"/>
    </row>
    <row r="26" spans="1:1" ht="18.75">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1661</v>
      </c>
      <c r="C1" s="1154" t="s">
        <v>1662</v>
      </c>
      <c r="D1" s="1141"/>
      <c r="E1" s="3122"/>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3"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2"/>
      <c r="M2" s="2483"/>
      <c r="N2" s="2483"/>
      <c r="O2" s="2483"/>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227.25</v>
      </c>
      <c r="E3" s="853"/>
      <c r="F3" s="1742"/>
      <c r="G3" s="853"/>
      <c r="H3" s="853"/>
      <c r="I3" s="853"/>
      <c r="J3" s="853"/>
      <c r="K3" s="1739"/>
      <c r="L3" s="2482"/>
      <c r="M3" s="2483"/>
      <c r="N3" s="2483"/>
      <c r="O3" s="2483"/>
      <c r="P3" s="1740"/>
      <c r="Q3" s="1741"/>
      <c r="R3" s="1741"/>
      <c r="S3" s="1741"/>
      <c r="T3" s="1741"/>
      <c r="U3" s="1741"/>
      <c r="V3" s="1741"/>
      <c r="W3" s="1741"/>
      <c r="X3" s="1741"/>
      <c r="Y3" s="1741"/>
      <c r="Z3" s="1741"/>
      <c r="AA3" s="1741"/>
      <c r="AB3" s="1741"/>
      <c r="AC3" s="997"/>
    </row>
    <row r="4" spans="1:29" ht="15">
      <c r="A4" s="344" t="s">
        <v>1666</v>
      </c>
      <c r="B4" s="345"/>
      <c r="C4" s="3365" t="s">
        <v>1667</v>
      </c>
      <c r="D4" s="3366"/>
      <c r="E4" s="3367" t="s">
        <v>1668</v>
      </c>
      <c r="F4" s="3368"/>
      <c r="G4" s="3365" t="s">
        <v>1669</v>
      </c>
      <c r="H4" s="3366"/>
      <c r="I4" s="3365" t="s">
        <v>1670</v>
      </c>
      <c r="J4" s="3366"/>
      <c r="K4" s="1743" t="s">
        <v>1671</v>
      </c>
      <c r="L4" s="2484"/>
      <c r="M4" s="2485"/>
      <c r="N4" s="2485"/>
      <c r="O4" s="2485"/>
      <c r="P4" s="3369" t="s">
        <v>1672</v>
      </c>
      <c r="Q4" s="3370"/>
      <c r="R4" s="3375" t="s">
        <v>1668</v>
      </c>
      <c r="S4" s="3376"/>
      <c r="T4" s="3375" t="s">
        <v>1669</v>
      </c>
      <c r="U4" s="3376"/>
      <c r="V4" s="3348" t="s">
        <v>1670</v>
      </c>
      <c r="W4" s="3348"/>
      <c r="X4" s="1264"/>
      <c r="Y4" s="3375" t="s">
        <v>1672</v>
      </c>
      <c r="Z4" s="3376"/>
      <c r="AA4" s="3362" t="s">
        <v>1668</v>
      </c>
      <c r="AB4" s="3362" t="s">
        <v>1669</v>
      </c>
      <c r="AC4" s="3362" t="s">
        <v>1670</v>
      </c>
    </row>
    <row r="5" spans="1:29" ht="15">
      <c r="A5" s="347"/>
      <c r="B5" s="348"/>
      <c r="C5" s="3383" t="s">
        <v>1673</v>
      </c>
      <c r="D5" s="3384"/>
      <c r="E5" s="3390" t="s">
        <v>1674</v>
      </c>
      <c r="F5" s="3391"/>
      <c r="G5" s="3383" t="s">
        <v>1675</v>
      </c>
      <c r="H5" s="3384"/>
      <c r="I5" s="3383" t="s">
        <v>1676</v>
      </c>
      <c r="J5" s="3384"/>
      <c r="K5" s="1744"/>
      <c r="L5" s="2484"/>
      <c r="M5" s="2485"/>
      <c r="N5" s="2485"/>
      <c r="O5" s="2485"/>
      <c r="P5" s="3371"/>
      <c r="Q5" s="3372"/>
      <c r="R5" s="3377"/>
      <c r="S5" s="3378"/>
      <c r="T5" s="3377"/>
      <c r="U5" s="3378"/>
      <c r="V5" s="3348"/>
      <c r="W5" s="3348"/>
      <c r="X5" s="1264"/>
      <c r="Y5" s="3377"/>
      <c r="Z5" s="3378"/>
      <c r="AA5" s="3363"/>
      <c r="AB5" s="3363"/>
      <c r="AC5" s="3363"/>
    </row>
    <row r="6" spans="1:29" ht="15.75" thickBot="1">
      <c r="A6" s="349"/>
      <c r="B6" s="350"/>
      <c r="C6" s="3381" t="s">
        <v>1677</v>
      </c>
      <c r="D6" s="3382"/>
      <c r="E6" s="3388" t="s">
        <v>1677</v>
      </c>
      <c r="F6" s="3389"/>
      <c r="G6" s="3381" t="s">
        <v>1677</v>
      </c>
      <c r="H6" s="3382"/>
      <c r="I6" s="3381" t="s">
        <v>1677</v>
      </c>
      <c r="J6" s="3382"/>
      <c r="K6" s="1744" t="s">
        <v>1678</v>
      </c>
      <c r="L6" s="2484"/>
      <c r="M6" s="2485"/>
      <c r="N6" s="2485"/>
      <c r="O6" s="2485"/>
      <c r="P6" s="3373"/>
      <c r="Q6" s="3374"/>
      <c r="R6" s="3377"/>
      <c r="S6" s="3378"/>
      <c r="T6" s="3379"/>
      <c r="U6" s="3380"/>
      <c r="V6" s="3348"/>
      <c r="W6" s="3348"/>
      <c r="X6" s="1264"/>
      <c r="Y6" s="3379"/>
      <c r="Z6" s="3380"/>
      <c r="AA6" s="3364"/>
      <c r="AB6" s="3364"/>
      <c r="AC6" s="3364"/>
    </row>
    <row r="7" spans="1:29" s="101" customFormat="1" ht="15.75" thickBot="1">
      <c r="A7" s="351" t="s">
        <v>1679</v>
      </c>
      <c r="B7" s="352"/>
      <c r="C7" s="353">
        <f>'数据-取费表'!B2</f>
        <v>45580</v>
      </c>
      <c r="D7" s="354">
        <v>100</v>
      </c>
      <c r="E7" s="355"/>
      <c r="F7" s="356">
        <f>SUMIF(58:58,YEAR(E7)&amp;"-"&amp;MONTH(E7),59:59)</f>
        <v>0</v>
      </c>
      <c r="G7" s="355"/>
      <c r="H7" s="354">
        <f>SUMIF(58:58,YEAR(G7)&amp;"-"&amp;MONTH(G7),59:59)</f>
        <v>0</v>
      </c>
      <c r="I7" s="355"/>
      <c r="J7" s="354">
        <f>SUMIF(58:58,YEAR(I7)&amp;"-"&amp;MONTH(I7),59:59)</f>
        <v>0</v>
      </c>
      <c r="K7" s="1745"/>
      <c r="L7" s="2486"/>
      <c r="M7" s="2438"/>
      <c r="N7" s="2438"/>
      <c r="O7" s="2438"/>
      <c r="P7" s="3385" t="s">
        <v>1680</v>
      </c>
      <c r="Q7" s="3387"/>
      <c r="R7" s="663" t="s">
        <v>20</v>
      </c>
      <c r="S7" s="664">
        <f t="shared" ref="S7:S15" si="0">F7</f>
        <v>0</v>
      </c>
      <c r="T7" s="663" t="s">
        <v>20</v>
      </c>
      <c r="U7" s="664">
        <f t="shared" ref="U7:U15" si="1">H7</f>
        <v>0</v>
      </c>
      <c r="V7" s="663" t="s">
        <v>20</v>
      </c>
      <c r="W7" s="664">
        <f t="shared" ref="W7:W15" si="2">J7</f>
        <v>0</v>
      </c>
      <c r="X7" s="665"/>
      <c r="Y7" s="3385" t="s">
        <v>1680</v>
      </c>
      <c r="Z7" s="3386"/>
      <c r="AA7" s="50" t="e">
        <f>D7/F7</f>
        <v>#DIV/0!</v>
      </c>
      <c r="AB7" s="50" t="e">
        <f>D7/H7</f>
        <v>#DIV/0!</v>
      </c>
      <c r="AC7" s="50" t="e">
        <f>D7/J7</f>
        <v>#DIV/0!</v>
      </c>
    </row>
    <row r="8" spans="1:29" s="101" customFormat="1" ht="15.7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6"/>
      <c r="M8" s="2438"/>
      <c r="N8" s="2438"/>
      <c r="O8" s="2438"/>
      <c r="P8" s="3385" t="s">
        <v>1683</v>
      </c>
      <c r="Q8" s="3386"/>
      <c r="R8" s="663" t="s">
        <v>20</v>
      </c>
      <c r="S8" s="664">
        <f t="shared" si="0"/>
        <v>100</v>
      </c>
      <c r="T8" s="663" t="s">
        <v>20</v>
      </c>
      <c r="U8" s="664">
        <f t="shared" si="1"/>
        <v>100</v>
      </c>
      <c r="V8" s="663" t="s">
        <v>20</v>
      </c>
      <c r="W8" s="664">
        <f t="shared" si="2"/>
        <v>100</v>
      </c>
      <c r="X8" s="665"/>
      <c r="Y8" s="3385" t="s">
        <v>1683</v>
      </c>
      <c r="Z8" s="3386"/>
      <c r="AA8" s="50">
        <f t="shared" ref="AA8:AA19" si="3">D8/F8</f>
        <v>1</v>
      </c>
      <c r="AB8" s="50">
        <f t="shared" ref="AB8:AB19" si="4">D8/H8</f>
        <v>1</v>
      </c>
      <c r="AC8" s="50">
        <f t="shared" ref="AC8:AC19" si="5">D8/J8</f>
        <v>1</v>
      </c>
    </row>
    <row r="9" spans="1:29" s="101" customFormat="1">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5"/>
      <c r="L9" s="2486"/>
      <c r="M9" s="2438"/>
      <c r="N9" s="2438"/>
      <c r="O9" s="2438"/>
      <c r="P9" s="3361" t="s">
        <v>1686</v>
      </c>
      <c r="Q9" s="529" t="str">
        <f t="shared" ref="Q9:Q15" si="6">B9</f>
        <v>用途</v>
      </c>
      <c r="R9" s="663" t="s">
        <v>14</v>
      </c>
      <c r="S9" s="664">
        <f t="shared" si="0"/>
        <v>100</v>
      </c>
      <c r="T9" s="663" t="s">
        <v>14</v>
      </c>
      <c r="U9" s="664">
        <f t="shared" si="1"/>
        <v>100</v>
      </c>
      <c r="V9" s="663" t="s">
        <v>14</v>
      </c>
      <c r="W9" s="664">
        <f t="shared" si="2"/>
        <v>100</v>
      </c>
      <c r="X9" s="665"/>
      <c r="Y9" s="3246" t="s">
        <v>1687</v>
      </c>
      <c r="Z9" s="50" t="str">
        <f t="shared" ref="Z9:Z15" si="7">Q9</f>
        <v>用途</v>
      </c>
      <c r="AA9" s="50">
        <f t="shared" si="3"/>
        <v>1</v>
      </c>
      <c r="AB9" s="50">
        <f t="shared" si="4"/>
        <v>1</v>
      </c>
      <c r="AC9" s="50">
        <f t="shared" si="5"/>
        <v>1</v>
      </c>
    </row>
    <row r="10" spans="1:29" s="365" customFormat="1" ht="27">
      <c r="A10" s="362"/>
      <c r="B10" s="363" t="s">
        <v>1688</v>
      </c>
      <c r="C10" s="3130"/>
      <c r="D10" s="118">
        <v>100</v>
      </c>
      <c r="E10" s="3131"/>
      <c r="F10" s="363">
        <f>SUMIF(65:65,E10,66:66)-SUMIF(65:65,C10,66:66)+100</f>
        <v>100</v>
      </c>
      <c r="G10" s="3130"/>
      <c r="H10" s="118">
        <f>SUMIF(65:65,G10,66:66)-SUMIF(65:65,C10,66:66)+100</f>
        <v>100</v>
      </c>
      <c r="I10" s="3130"/>
      <c r="J10" s="118">
        <f>SUMIF(65:65,I10,66:66)-SUMIF(65:65,C10,66:66)+100</f>
        <v>100</v>
      </c>
      <c r="K10" s="1745"/>
      <c r="L10" s="2487"/>
      <c r="M10" s="2488"/>
      <c r="N10" s="2488"/>
      <c r="O10" s="2488"/>
      <c r="P10" s="3361"/>
      <c r="Q10" s="529" t="str">
        <f t="shared" si="6"/>
        <v>土地使用年限（年）</v>
      </c>
      <c r="R10" s="663" t="s">
        <v>14</v>
      </c>
      <c r="S10" s="664">
        <f t="shared" si="0"/>
        <v>100</v>
      </c>
      <c r="T10" s="663" t="s">
        <v>14</v>
      </c>
      <c r="U10" s="664">
        <f t="shared" si="1"/>
        <v>100</v>
      </c>
      <c r="V10" s="663" t="s">
        <v>14</v>
      </c>
      <c r="W10" s="664">
        <f t="shared" si="2"/>
        <v>100</v>
      </c>
      <c r="X10" s="665"/>
      <c r="Y10" s="3246"/>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9"/>
      <c r="M11" s="2485"/>
      <c r="N11" s="2485"/>
      <c r="O11" s="2485"/>
      <c r="P11" s="3361"/>
      <c r="Q11" s="529" t="str">
        <f t="shared" si="6"/>
        <v>容积率</v>
      </c>
      <c r="R11" s="663" t="s">
        <v>18</v>
      </c>
      <c r="S11" s="664" t="e">
        <f t="shared" si="0"/>
        <v>#N/A</v>
      </c>
      <c r="T11" s="663" t="s">
        <v>18</v>
      </c>
      <c r="U11" s="664" t="e">
        <f t="shared" si="1"/>
        <v>#N/A</v>
      </c>
      <c r="V11" s="663" t="s">
        <v>18</v>
      </c>
      <c r="W11" s="664" t="e">
        <f t="shared" si="2"/>
        <v>#N/A</v>
      </c>
      <c r="X11" s="665"/>
      <c r="Y11" s="3246"/>
      <c r="Z11" s="50" t="str">
        <f t="shared" si="7"/>
        <v>容积率</v>
      </c>
      <c r="AA11" s="50" t="e">
        <f t="shared" si="3"/>
        <v>#N/A</v>
      </c>
      <c r="AB11" s="50" t="e">
        <f t="shared" si="4"/>
        <v>#N/A</v>
      </c>
      <c r="AC11" s="50"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6"/>
      <c r="M12" s="2438"/>
      <c r="N12" s="2438"/>
      <c r="O12" s="2438"/>
      <c r="P12" s="3361"/>
      <c r="Q12" s="529">
        <f t="shared" si="6"/>
        <v>111</v>
      </c>
      <c r="R12" s="663" t="s">
        <v>18</v>
      </c>
      <c r="S12" s="664">
        <f t="shared" si="0"/>
        <v>100</v>
      </c>
      <c r="T12" s="663" t="s">
        <v>18</v>
      </c>
      <c r="U12" s="664">
        <f t="shared" si="1"/>
        <v>100</v>
      </c>
      <c r="V12" s="663" t="s">
        <v>18</v>
      </c>
      <c r="W12" s="664">
        <f t="shared" si="2"/>
        <v>100</v>
      </c>
      <c r="X12" s="665"/>
      <c r="Y12" s="3246"/>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90"/>
      <c r="M13" s="2485"/>
      <c r="N13" s="2485"/>
      <c r="O13" s="2485"/>
      <c r="P13" s="3361"/>
      <c r="Q13" s="529">
        <f t="shared" si="6"/>
        <v>111</v>
      </c>
      <c r="R13" s="663" t="s">
        <v>18</v>
      </c>
      <c r="S13" s="664">
        <f t="shared" si="0"/>
        <v>100</v>
      </c>
      <c r="T13" s="663" t="s">
        <v>18</v>
      </c>
      <c r="U13" s="664">
        <f t="shared" si="1"/>
        <v>100</v>
      </c>
      <c r="V13" s="663" t="s">
        <v>18</v>
      </c>
      <c r="W13" s="664">
        <f t="shared" si="2"/>
        <v>100</v>
      </c>
      <c r="X13" s="665"/>
      <c r="Y13" s="3246"/>
      <c r="Z13" s="50">
        <f t="shared" si="7"/>
        <v>111</v>
      </c>
      <c r="AA13" s="50">
        <f t="shared" si="3"/>
        <v>1</v>
      </c>
      <c r="AB13" s="50">
        <f t="shared" si="4"/>
        <v>1</v>
      </c>
      <c r="AC13" s="50">
        <f t="shared" si="5"/>
        <v>1</v>
      </c>
    </row>
    <row r="14" spans="1:29" ht="15.75"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90"/>
      <c r="M14" s="2485"/>
      <c r="N14" s="2485"/>
      <c r="O14" s="2485"/>
      <c r="P14" s="3361"/>
      <c r="Q14" s="529">
        <f t="shared" si="6"/>
        <v>111</v>
      </c>
      <c r="R14" s="663" t="s">
        <v>18</v>
      </c>
      <c r="S14" s="664">
        <f t="shared" si="0"/>
        <v>100</v>
      </c>
      <c r="T14" s="663" t="s">
        <v>18</v>
      </c>
      <c r="U14" s="664">
        <f t="shared" si="1"/>
        <v>100</v>
      </c>
      <c r="V14" s="663" t="s">
        <v>18</v>
      </c>
      <c r="W14" s="664">
        <f t="shared" si="2"/>
        <v>100</v>
      </c>
      <c r="X14" s="665"/>
      <c r="Y14" s="3246"/>
      <c r="Z14" s="50">
        <f t="shared" si="7"/>
        <v>111</v>
      </c>
      <c r="AA14" s="50">
        <f t="shared" si="3"/>
        <v>1</v>
      </c>
      <c r="AB14" s="50">
        <f t="shared" si="4"/>
        <v>1</v>
      </c>
      <c r="AC14" s="50">
        <f t="shared" si="5"/>
        <v>1</v>
      </c>
    </row>
    <row r="15" spans="1:29" ht="85.5">
      <c r="A15" s="378" t="s">
        <v>1690</v>
      </c>
      <c r="B15" s="58" t="s">
        <v>1257</v>
      </c>
      <c r="C15" s="1749"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c r="L15" s="2490"/>
      <c r="M15" s="2485"/>
      <c r="N15" s="2485"/>
      <c r="O15" s="2485"/>
      <c r="P15" s="3352" t="s">
        <v>1691</v>
      </c>
      <c r="Q15" s="1262" t="str">
        <f t="shared" si="6"/>
        <v>居住社区成熟度</v>
      </c>
      <c r="R15" s="666" t="s">
        <v>18</v>
      </c>
      <c r="S15" s="667">
        <f t="shared" si="0"/>
        <v>100</v>
      </c>
      <c r="T15" s="666" t="s">
        <v>18</v>
      </c>
      <c r="U15" s="667">
        <f t="shared" si="1"/>
        <v>100</v>
      </c>
      <c r="V15" s="666" t="s">
        <v>18</v>
      </c>
      <c r="W15" s="667">
        <f t="shared" si="2"/>
        <v>100</v>
      </c>
      <c r="X15" s="1264"/>
      <c r="Y15" s="3354"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90"/>
      <c r="M16" s="2485"/>
      <c r="N16" s="2485"/>
      <c r="O16" s="2485"/>
      <c r="P16" s="3353"/>
      <c r="Q16" s="1262"/>
      <c r="R16" s="666"/>
      <c r="S16" s="667"/>
      <c r="T16" s="666"/>
      <c r="U16" s="667"/>
      <c r="V16" s="666"/>
      <c r="W16" s="667"/>
      <c r="X16" s="1264"/>
      <c r="Y16" s="3355"/>
      <c r="Z16" s="1263"/>
      <c r="AA16" s="1263">
        <v>1</v>
      </c>
      <c r="AB16" s="1263">
        <v>1</v>
      </c>
      <c r="AC16" s="1263">
        <v>1</v>
      </c>
    </row>
    <row r="17" spans="1:29" ht="71.25">
      <c r="A17" s="366"/>
      <c r="B17" s="389" t="s">
        <v>1259</v>
      </c>
      <c r="C17" s="1753"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90"/>
      <c r="M17" s="2485"/>
      <c r="N17" s="2485"/>
      <c r="O17" s="2485"/>
      <c r="P17" s="3353"/>
      <c r="Q17" s="1262" t="str">
        <f>B17</f>
        <v>交通便捷度</v>
      </c>
      <c r="R17" s="666" t="s">
        <v>18</v>
      </c>
      <c r="S17" s="667">
        <f>F17</f>
        <v>100</v>
      </c>
      <c r="T17" s="666" t="s">
        <v>18</v>
      </c>
      <c r="U17" s="667">
        <f>H17</f>
        <v>100</v>
      </c>
      <c r="V17" s="666" t="s">
        <v>18</v>
      </c>
      <c r="W17" s="667">
        <f>J17</f>
        <v>100</v>
      </c>
      <c r="X17" s="1264"/>
      <c r="Y17" s="3355"/>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90"/>
      <c r="M18" s="2485"/>
      <c r="N18" s="2485"/>
      <c r="O18" s="2485"/>
      <c r="P18" s="3353"/>
      <c r="Q18" s="1262"/>
      <c r="R18" s="666"/>
      <c r="S18" s="667"/>
      <c r="T18" s="666"/>
      <c r="U18" s="667"/>
      <c r="V18" s="666"/>
      <c r="W18" s="667"/>
      <c r="X18" s="1264"/>
      <c r="Y18" s="3355"/>
      <c r="Z18" s="1263"/>
      <c r="AA18" s="1263">
        <v>1</v>
      </c>
      <c r="AB18" s="1263">
        <v>1</v>
      </c>
      <c r="AC18" s="1263">
        <v>1</v>
      </c>
    </row>
    <row r="19" spans="1:29" ht="42.75">
      <c r="A19" s="366"/>
      <c r="B19" s="389" t="s">
        <v>1258</v>
      </c>
      <c r="C19" s="1753"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c r="L19" s="2490"/>
      <c r="M19" s="2485"/>
      <c r="N19" s="2485"/>
      <c r="O19" s="2485"/>
      <c r="P19" s="3353"/>
      <c r="Q19" s="1262" t="str">
        <f>B19</f>
        <v>公共配套设施</v>
      </c>
      <c r="R19" s="666" t="s">
        <v>18</v>
      </c>
      <c r="S19" s="667">
        <f>F19</f>
        <v>100</v>
      </c>
      <c r="T19" s="666" t="s">
        <v>18</v>
      </c>
      <c r="U19" s="667">
        <f>H19</f>
        <v>100</v>
      </c>
      <c r="V19" s="666" t="s">
        <v>18</v>
      </c>
      <c r="W19" s="667">
        <f>J19</f>
        <v>100</v>
      </c>
      <c r="X19" s="1264"/>
      <c r="Y19" s="3355"/>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90"/>
      <c r="M20" s="2485"/>
      <c r="N20" s="2485"/>
      <c r="O20" s="2485"/>
      <c r="P20" s="3353"/>
      <c r="Q20" s="1262"/>
      <c r="R20" s="666"/>
      <c r="S20" s="667"/>
      <c r="T20" s="666"/>
      <c r="U20" s="667"/>
      <c r="V20" s="666"/>
      <c r="W20" s="667"/>
      <c r="X20" s="1264"/>
      <c r="Y20" s="3355"/>
      <c r="Z20" s="1263"/>
      <c r="AA20" s="1263">
        <v>1</v>
      </c>
      <c r="AB20" s="1263">
        <v>1</v>
      </c>
      <c r="AC20" s="1263">
        <v>1</v>
      </c>
    </row>
    <row r="21" spans="1:29" ht="28.5">
      <c r="A21" s="366"/>
      <c r="B21" s="585" t="s">
        <v>1260</v>
      </c>
      <c r="C21" s="1753"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c r="L21" s="2490"/>
      <c r="M21" s="2485"/>
      <c r="N21" s="2485"/>
      <c r="O21" s="2485"/>
      <c r="P21" s="3353"/>
      <c r="Q21" s="1262" t="str">
        <f>B21</f>
        <v>基础设施水平</v>
      </c>
      <c r="R21" s="666" t="s">
        <v>14</v>
      </c>
      <c r="S21" s="667">
        <f>F21</f>
        <v>100</v>
      </c>
      <c r="T21" s="666" t="s">
        <v>14</v>
      </c>
      <c r="U21" s="667">
        <f>H21</f>
        <v>100</v>
      </c>
      <c r="V21" s="666" t="s">
        <v>14</v>
      </c>
      <c r="W21" s="667">
        <f>J21</f>
        <v>100</v>
      </c>
      <c r="X21" s="1264"/>
      <c r="Y21" s="3355"/>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90"/>
      <c r="M22" s="2485"/>
      <c r="N22" s="2485"/>
      <c r="O22" s="2485"/>
      <c r="P22" s="3353"/>
      <c r="Q22" s="1262"/>
      <c r="R22" s="666"/>
      <c r="S22" s="667"/>
      <c r="T22" s="666"/>
      <c r="U22" s="667"/>
      <c r="V22" s="666"/>
      <c r="W22" s="667"/>
      <c r="X22" s="1264"/>
      <c r="Y22" s="3355"/>
      <c r="Z22" s="1263"/>
      <c r="AA22" s="1263">
        <v>1</v>
      </c>
      <c r="AB22" s="1263">
        <v>1</v>
      </c>
      <c r="AC22" s="1263">
        <v>1</v>
      </c>
    </row>
    <row r="23" spans="1:29" ht="42.75">
      <c r="A23" s="366"/>
      <c r="B23" s="389" t="s">
        <v>1261</v>
      </c>
      <c r="C23" s="1753"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c r="L23" s="2490"/>
      <c r="M23" s="2485"/>
      <c r="N23" s="2485"/>
      <c r="O23" s="2485"/>
      <c r="P23" s="3353"/>
      <c r="Q23" s="1262" t="str">
        <f>B23</f>
        <v>自然及人文环境</v>
      </c>
      <c r="R23" s="666" t="s">
        <v>18</v>
      </c>
      <c r="S23" s="667">
        <f>F23</f>
        <v>100</v>
      </c>
      <c r="T23" s="666" t="s">
        <v>18</v>
      </c>
      <c r="U23" s="667">
        <f>H23</f>
        <v>100</v>
      </c>
      <c r="V23" s="666" t="s">
        <v>18</v>
      </c>
      <c r="W23" s="667">
        <f>J23</f>
        <v>100</v>
      </c>
      <c r="X23" s="1264"/>
      <c r="Y23" s="3355"/>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90"/>
      <c r="M24" s="2485"/>
      <c r="N24" s="2485"/>
      <c r="O24" s="2485"/>
      <c r="P24" s="3353"/>
      <c r="Q24" s="1262"/>
      <c r="R24" s="666"/>
      <c r="S24" s="667"/>
      <c r="T24" s="666"/>
      <c r="U24" s="667"/>
      <c r="V24" s="666"/>
      <c r="W24" s="667"/>
      <c r="X24" s="1264"/>
      <c r="Y24" s="3355"/>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90"/>
      <c r="M25" s="2485"/>
      <c r="N25" s="2485"/>
      <c r="O25" s="2485"/>
      <c r="P25" s="3353"/>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55"/>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90"/>
      <c r="M26" s="2485"/>
      <c r="N26" s="2485"/>
      <c r="O26" s="2485"/>
      <c r="P26" s="3353"/>
      <c r="Q26" s="1262" t="str">
        <f t="shared" si="11"/>
        <v>朝向</v>
      </c>
      <c r="R26" s="666" t="s">
        <v>18</v>
      </c>
      <c r="S26" s="667">
        <f t="shared" si="12"/>
        <v>100</v>
      </c>
      <c r="T26" s="666" t="s">
        <v>18</v>
      </c>
      <c r="U26" s="667">
        <f t="shared" si="13"/>
        <v>100</v>
      </c>
      <c r="V26" s="666" t="s">
        <v>18</v>
      </c>
      <c r="W26" s="667">
        <f t="shared" si="14"/>
        <v>100</v>
      </c>
      <c r="X26" s="1264"/>
      <c r="Y26" s="3355"/>
      <c r="Z26" s="1263" t="str">
        <f>Q26</f>
        <v>朝向</v>
      </c>
      <c r="AA26" s="1263">
        <f t="shared" si="15"/>
        <v>1</v>
      </c>
      <c r="AB26" s="1263">
        <f t="shared" si="16"/>
        <v>1</v>
      </c>
      <c r="AC26" s="1263">
        <f t="shared" si="17"/>
        <v>1</v>
      </c>
    </row>
    <row r="27" spans="1:29" s="101"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6"/>
      <c r="M27" s="2438"/>
      <c r="N27" s="2438"/>
      <c r="O27" s="2438"/>
      <c r="P27" s="3353"/>
      <c r="Q27" s="529">
        <f t="shared" si="11"/>
        <v>111</v>
      </c>
      <c r="R27" s="663" t="s">
        <v>18</v>
      </c>
      <c r="S27" s="664">
        <f t="shared" si="12"/>
        <v>100</v>
      </c>
      <c r="T27" s="663" t="s">
        <v>18</v>
      </c>
      <c r="U27" s="664">
        <f t="shared" si="13"/>
        <v>100</v>
      </c>
      <c r="V27" s="663" t="s">
        <v>18</v>
      </c>
      <c r="W27" s="664">
        <f t="shared" si="14"/>
        <v>100</v>
      </c>
      <c r="X27" s="665"/>
      <c r="Y27" s="3355"/>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90"/>
      <c r="M28" s="2485"/>
      <c r="N28" s="2485"/>
      <c r="O28" s="2485"/>
      <c r="P28" s="3353"/>
      <c r="Q28" s="1262">
        <f t="shared" si="11"/>
        <v>111</v>
      </c>
      <c r="R28" s="666" t="s">
        <v>18</v>
      </c>
      <c r="S28" s="667">
        <f t="shared" si="12"/>
        <v>100</v>
      </c>
      <c r="T28" s="666" t="s">
        <v>18</v>
      </c>
      <c r="U28" s="667">
        <f t="shared" si="13"/>
        <v>100</v>
      </c>
      <c r="V28" s="666" t="s">
        <v>18</v>
      </c>
      <c r="W28" s="667">
        <f t="shared" si="14"/>
        <v>100</v>
      </c>
      <c r="X28" s="1264"/>
      <c r="Y28" s="3355"/>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90"/>
      <c r="M29" s="2485"/>
      <c r="N29" s="2485"/>
      <c r="O29" s="2485"/>
      <c r="P29" s="3353"/>
      <c r="Q29" s="1262">
        <f t="shared" si="11"/>
        <v>111</v>
      </c>
      <c r="R29" s="666" t="s">
        <v>18</v>
      </c>
      <c r="S29" s="667">
        <f t="shared" si="12"/>
        <v>100</v>
      </c>
      <c r="T29" s="666" t="s">
        <v>18</v>
      </c>
      <c r="U29" s="667">
        <f t="shared" si="13"/>
        <v>100</v>
      </c>
      <c r="V29" s="666" t="s">
        <v>18</v>
      </c>
      <c r="W29" s="667">
        <f t="shared" si="14"/>
        <v>100</v>
      </c>
      <c r="X29" s="1264"/>
      <c r="Y29" s="3355"/>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90"/>
      <c r="M30" s="2485"/>
      <c r="N30" s="2485"/>
      <c r="O30" s="2485"/>
      <c r="P30" s="3353"/>
      <c r="Q30" s="1262">
        <f t="shared" si="11"/>
        <v>111</v>
      </c>
      <c r="R30" s="666" t="s">
        <v>18</v>
      </c>
      <c r="S30" s="667">
        <f t="shared" si="12"/>
        <v>100</v>
      </c>
      <c r="T30" s="666" t="s">
        <v>18</v>
      </c>
      <c r="U30" s="667">
        <f t="shared" si="13"/>
        <v>100</v>
      </c>
      <c r="V30" s="666" t="s">
        <v>18</v>
      </c>
      <c r="W30" s="667">
        <f t="shared" si="14"/>
        <v>100</v>
      </c>
      <c r="X30" s="1264"/>
      <c r="Y30" s="3355"/>
      <c r="Z30" s="1263">
        <f t="shared" si="18"/>
        <v>111</v>
      </c>
      <c r="AA30" s="1263">
        <f t="shared" si="15"/>
        <v>1</v>
      </c>
      <c r="AB30" s="1263">
        <f t="shared" si="16"/>
        <v>1</v>
      </c>
      <c r="AC30" s="1263">
        <f t="shared" si="17"/>
        <v>1</v>
      </c>
    </row>
    <row r="31" spans="1:29" ht="15.75"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90"/>
      <c r="M31" s="2485"/>
      <c r="N31" s="2485"/>
      <c r="O31" s="2485"/>
      <c r="P31" s="3353"/>
      <c r="Q31" s="1262">
        <f t="shared" si="11"/>
        <v>111</v>
      </c>
      <c r="R31" s="666" t="s">
        <v>18</v>
      </c>
      <c r="S31" s="667">
        <f t="shared" si="12"/>
        <v>100</v>
      </c>
      <c r="T31" s="666" t="s">
        <v>18</v>
      </c>
      <c r="U31" s="667">
        <f t="shared" si="13"/>
        <v>100</v>
      </c>
      <c r="V31" s="666" t="s">
        <v>18</v>
      </c>
      <c r="W31" s="667">
        <f t="shared" si="14"/>
        <v>100</v>
      </c>
      <c r="X31" s="1264"/>
      <c r="Y31" s="3355"/>
      <c r="Z31" s="1263">
        <f t="shared" si="18"/>
        <v>111</v>
      </c>
      <c r="AA31" s="1263">
        <f t="shared" si="15"/>
        <v>1</v>
      </c>
      <c r="AB31" s="1263">
        <f t="shared" si="16"/>
        <v>1</v>
      </c>
      <c r="AC31" s="1263">
        <f t="shared" si="17"/>
        <v>1</v>
      </c>
    </row>
    <row r="32" spans="1:29" ht="15">
      <c r="A32" s="378" t="s">
        <v>1694</v>
      </c>
      <c r="B32" s="60"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90"/>
      <c r="M32" s="2485"/>
      <c r="N32" s="2485"/>
      <c r="O32" s="2485"/>
      <c r="P32" s="3356" t="s">
        <v>1696</v>
      </c>
      <c r="Q32" s="1262" t="str">
        <f t="shared" si="11"/>
        <v>建筑类型</v>
      </c>
      <c r="R32" s="666" t="s">
        <v>18</v>
      </c>
      <c r="S32" s="667">
        <f t="shared" si="12"/>
        <v>100</v>
      </c>
      <c r="T32" s="666" t="s">
        <v>18</v>
      </c>
      <c r="U32" s="667">
        <f t="shared" si="13"/>
        <v>100</v>
      </c>
      <c r="V32" s="666" t="s">
        <v>18</v>
      </c>
      <c r="W32" s="667">
        <f t="shared" si="14"/>
        <v>100</v>
      </c>
      <c r="X32" s="1264"/>
      <c r="Y32" s="3359"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89"/>
      <c r="M33" s="2491"/>
      <c r="N33" s="2491"/>
      <c r="O33" s="2491"/>
      <c r="P33" s="3357"/>
      <c r="Q33" s="530" t="str">
        <f t="shared" si="11"/>
        <v>项目建筑规模</v>
      </c>
      <c r="R33" s="668" t="s">
        <v>18</v>
      </c>
      <c r="S33" s="669" t="e">
        <f t="shared" si="12"/>
        <v>#N/A</v>
      </c>
      <c r="T33" s="668" t="s">
        <v>18</v>
      </c>
      <c r="U33" s="669" t="e">
        <f t="shared" si="13"/>
        <v>#N/A</v>
      </c>
      <c r="V33" s="668" t="s">
        <v>18</v>
      </c>
      <c r="W33" s="669" t="e">
        <f t="shared" si="14"/>
        <v>#N/A</v>
      </c>
      <c r="X33" s="670"/>
      <c r="Y33" s="3359"/>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90"/>
      <c r="M34" s="2485"/>
      <c r="N34" s="2485"/>
      <c r="O34" s="2485"/>
      <c r="P34" s="3357"/>
      <c r="Q34" s="1262" t="str">
        <f t="shared" si="11"/>
        <v>建筑结构</v>
      </c>
      <c r="R34" s="666" t="s">
        <v>18</v>
      </c>
      <c r="S34" s="667">
        <f t="shared" si="12"/>
        <v>100</v>
      </c>
      <c r="T34" s="666" t="s">
        <v>18</v>
      </c>
      <c r="U34" s="667">
        <f t="shared" si="13"/>
        <v>100</v>
      </c>
      <c r="V34" s="666" t="s">
        <v>18</v>
      </c>
      <c r="W34" s="667">
        <f t="shared" si="14"/>
        <v>100</v>
      </c>
      <c r="X34" s="1264"/>
      <c r="Y34" s="3359"/>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90"/>
      <c r="M35" s="2485"/>
      <c r="N35" s="2485"/>
      <c r="O35" s="2485"/>
      <c r="P35" s="3357"/>
      <c r="Q35" s="1262" t="str">
        <f t="shared" si="11"/>
        <v>建筑品质</v>
      </c>
      <c r="R35" s="666" t="s">
        <v>18</v>
      </c>
      <c r="S35" s="667">
        <f t="shared" si="12"/>
        <v>100</v>
      </c>
      <c r="T35" s="666" t="s">
        <v>18</v>
      </c>
      <c r="U35" s="667">
        <f t="shared" si="13"/>
        <v>100</v>
      </c>
      <c r="V35" s="666" t="s">
        <v>18</v>
      </c>
      <c r="W35" s="667">
        <f t="shared" si="14"/>
        <v>100</v>
      </c>
      <c r="X35" s="1264"/>
      <c r="Y35" s="3359"/>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90"/>
      <c r="M36" s="2485"/>
      <c r="N36" s="2485"/>
      <c r="O36" s="2485"/>
      <c r="P36" s="3357"/>
      <c r="Q36" s="1262" t="str">
        <f t="shared" si="11"/>
        <v>公共部分装修</v>
      </c>
      <c r="R36" s="666" t="s">
        <v>18</v>
      </c>
      <c r="S36" s="667">
        <f t="shared" si="12"/>
        <v>100</v>
      </c>
      <c r="T36" s="666" t="s">
        <v>18</v>
      </c>
      <c r="U36" s="667">
        <f t="shared" si="13"/>
        <v>100</v>
      </c>
      <c r="V36" s="666" t="s">
        <v>18</v>
      </c>
      <c r="W36" s="667">
        <f t="shared" si="14"/>
        <v>100</v>
      </c>
      <c r="X36" s="1264"/>
      <c r="Y36" s="3359"/>
      <c r="Z36" s="1263" t="str">
        <f t="shared" si="18"/>
        <v>公共部分装修</v>
      </c>
      <c r="AA36" s="1263">
        <f t="shared" si="15"/>
        <v>1</v>
      </c>
      <c r="AB36" s="1263">
        <f t="shared" si="16"/>
        <v>1</v>
      </c>
      <c r="AC36" s="1263">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6"/>
      <c r="M37" s="2438"/>
      <c r="N37" s="2438"/>
      <c r="O37" s="2438"/>
      <c r="P37" s="3357"/>
      <c r="Q37" s="529" t="str">
        <f t="shared" si="11"/>
        <v>成新度</v>
      </c>
      <c r="R37" s="663" t="s">
        <v>18</v>
      </c>
      <c r="S37" s="664" t="e">
        <f t="shared" si="12"/>
        <v>#N/A</v>
      </c>
      <c r="T37" s="663" t="s">
        <v>18</v>
      </c>
      <c r="U37" s="664" t="e">
        <f t="shared" si="13"/>
        <v>#N/A</v>
      </c>
      <c r="V37" s="663" t="s">
        <v>18</v>
      </c>
      <c r="W37" s="664" t="e">
        <f t="shared" si="14"/>
        <v>#N/A</v>
      </c>
      <c r="X37" s="665"/>
      <c r="Y37" s="3359"/>
      <c r="Z37" s="50" t="str">
        <f t="shared" si="18"/>
        <v>成新度</v>
      </c>
      <c r="AA37" s="50" t="e">
        <f t="shared" si="15"/>
        <v>#N/A</v>
      </c>
      <c r="AB37" s="50" t="e">
        <f t="shared" si="16"/>
        <v>#N/A</v>
      </c>
      <c r="AC37" s="50"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90"/>
      <c r="M38" s="2485"/>
      <c r="N38" s="2485"/>
      <c r="O38" s="2485"/>
      <c r="P38" s="3357" t="s">
        <v>1696</v>
      </c>
      <c r="Q38" s="1262" t="str">
        <f t="shared" si="11"/>
        <v>物业管理</v>
      </c>
      <c r="R38" s="666" t="s">
        <v>18</v>
      </c>
      <c r="S38" s="667">
        <f t="shared" si="12"/>
        <v>100</v>
      </c>
      <c r="T38" s="666" t="s">
        <v>18</v>
      </c>
      <c r="U38" s="667">
        <f t="shared" si="13"/>
        <v>100</v>
      </c>
      <c r="V38" s="666" t="s">
        <v>18</v>
      </c>
      <c r="W38" s="667">
        <f t="shared" si="14"/>
        <v>100</v>
      </c>
      <c r="X38" s="1264"/>
      <c r="Y38" s="3359"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90"/>
      <c r="M39" s="2485"/>
      <c r="N39" s="2485"/>
      <c r="O39" s="2485"/>
      <c r="P39" s="3357"/>
      <c r="Q39" s="1262" t="str">
        <f t="shared" si="11"/>
        <v>市政基础设施</v>
      </c>
      <c r="R39" s="666" t="s">
        <v>18</v>
      </c>
      <c r="S39" s="667">
        <f t="shared" si="12"/>
        <v>100</v>
      </c>
      <c r="T39" s="666" t="s">
        <v>18</v>
      </c>
      <c r="U39" s="667">
        <f t="shared" si="13"/>
        <v>100</v>
      </c>
      <c r="V39" s="666" t="s">
        <v>18</v>
      </c>
      <c r="W39" s="667">
        <f t="shared" si="14"/>
        <v>100</v>
      </c>
      <c r="X39" s="1264"/>
      <c r="Y39" s="3359"/>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90"/>
      <c r="M40" s="2485"/>
      <c r="N40" s="2485"/>
      <c r="O40" s="2485"/>
      <c r="P40" s="3357"/>
      <c r="Q40" s="1262" t="str">
        <f t="shared" si="11"/>
        <v>房型</v>
      </c>
      <c r="R40" s="666" t="s">
        <v>18</v>
      </c>
      <c r="S40" s="667">
        <f t="shared" si="12"/>
        <v>100</v>
      </c>
      <c r="T40" s="666" t="s">
        <v>18</v>
      </c>
      <c r="U40" s="667">
        <f t="shared" si="13"/>
        <v>100</v>
      </c>
      <c r="V40" s="666" t="s">
        <v>18</v>
      </c>
      <c r="W40" s="667">
        <f t="shared" si="14"/>
        <v>100</v>
      </c>
      <c r="X40" s="1264"/>
      <c r="Y40" s="3359"/>
      <c r="Z40" s="1263" t="str">
        <f t="shared" si="18"/>
        <v>房型</v>
      </c>
      <c r="AA40" s="1263">
        <f t="shared" si="15"/>
        <v>1</v>
      </c>
      <c r="AB40" s="1263">
        <f t="shared" si="16"/>
        <v>1</v>
      </c>
      <c r="AC40" s="1263">
        <f t="shared" si="17"/>
        <v>1</v>
      </c>
    </row>
    <row r="41" spans="1:29" s="407" customFormat="1" ht="28.5">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89"/>
      <c r="M41" s="2491"/>
      <c r="N41" s="2491"/>
      <c r="O41" s="2491"/>
      <c r="P41" s="3357"/>
      <c r="Q41" s="530" t="str">
        <f t="shared" si="11"/>
        <v>单套/主力户型建筑面积</v>
      </c>
      <c r="R41" s="668" t="s">
        <v>18</v>
      </c>
      <c r="S41" s="669">
        <f t="shared" si="12"/>
        <v>100</v>
      </c>
      <c r="T41" s="668" t="s">
        <v>18</v>
      </c>
      <c r="U41" s="669">
        <f t="shared" si="13"/>
        <v>100</v>
      </c>
      <c r="V41" s="668" t="s">
        <v>18</v>
      </c>
      <c r="W41" s="669">
        <f t="shared" si="14"/>
        <v>100</v>
      </c>
      <c r="X41" s="670"/>
      <c r="Y41" s="3359"/>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90"/>
      <c r="M42" s="2485"/>
      <c r="N42" s="2485"/>
      <c r="O42" s="2485"/>
      <c r="P42" s="3357"/>
      <c r="Q42" s="1262" t="str">
        <f t="shared" si="11"/>
        <v>内部装修</v>
      </c>
      <c r="R42" s="666" t="s">
        <v>18</v>
      </c>
      <c r="S42" s="667">
        <f t="shared" si="12"/>
        <v>100</v>
      </c>
      <c r="T42" s="666" t="s">
        <v>18</v>
      </c>
      <c r="U42" s="667">
        <f t="shared" si="13"/>
        <v>100</v>
      </c>
      <c r="V42" s="666" t="s">
        <v>18</v>
      </c>
      <c r="W42" s="667">
        <f t="shared" si="14"/>
        <v>100</v>
      </c>
      <c r="X42" s="1264"/>
      <c r="Y42" s="3359"/>
      <c r="Z42" s="1263" t="str">
        <f t="shared" si="18"/>
        <v>内部装修</v>
      </c>
      <c r="AA42" s="1263">
        <f t="shared" si="15"/>
        <v>1</v>
      </c>
      <c r="AB42" s="1263">
        <f t="shared" si="16"/>
        <v>1</v>
      </c>
      <c r="AC42" s="1263">
        <f t="shared" si="17"/>
        <v>1</v>
      </c>
    </row>
    <row r="43" spans="1:29" ht="15">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90"/>
      <c r="M43" s="2485"/>
      <c r="N43" s="2485"/>
      <c r="O43" s="2485"/>
      <c r="P43" s="3357"/>
      <c r="Q43" s="1262" t="str">
        <f t="shared" si="11"/>
        <v>内部装修维护情况</v>
      </c>
      <c r="R43" s="666" t="s">
        <v>18</v>
      </c>
      <c r="S43" s="667">
        <f t="shared" si="12"/>
        <v>100</v>
      </c>
      <c r="T43" s="666" t="s">
        <v>18</v>
      </c>
      <c r="U43" s="667">
        <f t="shared" si="13"/>
        <v>100</v>
      </c>
      <c r="V43" s="666" t="s">
        <v>18</v>
      </c>
      <c r="W43" s="667">
        <f t="shared" si="14"/>
        <v>100</v>
      </c>
      <c r="X43" s="1264"/>
      <c r="Y43" s="3359"/>
      <c r="Z43" s="1263" t="str">
        <f t="shared" si="18"/>
        <v>内部装修维护情况</v>
      </c>
      <c r="AA43" s="1263">
        <f t="shared" si="15"/>
        <v>1</v>
      </c>
      <c r="AB43" s="1263">
        <f t="shared" si="16"/>
        <v>1</v>
      </c>
      <c r="AC43" s="1263">
        <f t="shared" si="17"/>
        <v>1</v>
      </c>
    </row>
    <row r="44" spans="1:29" s="101"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6"/>
      <c r="M44" s="2438"/>
      <c r="N44" s="2438"/>
      <c r="O44" s="2438"/>
      <c r="P44" s="3357"/>
      <c r="Q44" s="529">
        <f t="shared" si="11"/>
        <v>111</v>
      </c>
      <c r="R44" s="663" t="s">
        <v>18</v>
      </c>
      <c r="S44" s="664">
        <f t="shared" si="12"/>
        <v>100</v>
      </c>
      <c r="T44" s="663" t="s">
        <v>18</v>
      </c>
      <c r="U44" s="664">
        <f t="shared" si="13"/>
        <v>100</v>
      </c>
      <c r="V44" s="663" t="s">
        <v>18</v>
      </c>
      <c r="W44" s="664">
        <f t="shared" si="14"/>
        <v>100</v>
      </c>
      <c r="X44" s="665"/>
      <c r="Y44" s="3359"/>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90"/>
      <c r="M45" s="2485"/>
      <c r="N45" s="2485"/>
      <c r="O45" s="2485"/>
      <c r="P45" s="3357"/>
      <c r="Q45" s="1262">
        <f t="shared" si="11"/>
        <v>111</v>
      </c>
      <c r="R45" s="666" t="s">
        <v>18</v>
      </c>
      <c r="S45" s="667">
        <f t="shared" si="12"/>
        <v>100</v>
      </c>
      <c r="T45" s="666" t="s">
        <v>18</v>
      </c>
      <c r="U45" s="667">
        <f t="shared" si="13"/>
        <v>100</v>
      </c>
      <c r="V45" s="666" t="s">
        <v>18</v>
      </c>
      <c r="W45" s="667">
        <f t="shared" si="14"/>
        <v>100</v>
      </c>
      <c r="X45" s="1264"/>
      <c r="Y45" s="3359"/>
      <c r="Z45" s="1263">
        <f t="shared" si="18"/>
        <v>111</v>
      </c>
      <c r="AA45" s="1263">
        <f t="shared" si="15"/>
        <v>1</v>
      </c>
      <c r="AB45" s="1263">
        <f t="shared" si="16"/>
        <v>1</v>
      </c>
      <c r="AC45" s="1263">
        <f t="shared" si="17"/>
        <v>1</v>
      </c>
    </row>
    <row r="46" spans="1:29" ht="15.75"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90"/>
      <c r="M46" s="2485"/>
      <c r="N46" s="2485"/>
      <c r="O46" s="2485"/>
      <c r="P46" s="3358"/>
      <c r="Q46" s="1262">
        <f t="shared" si="11"/>
        <v>111</v>
      </c>
      <c r="R46" s="666" t="s">
        <v>17</v>
      </c>
      <c r="S46" s="667">
        <f t="shared" si="12"/>
        <v>100</v>
      </c>
      <c r="T46" s="666" t="s">
        <v>17</v>
      </c>
      <c r="U46" s="667">
        <f t="shared" si="13"/>
        <v>100</v>
      </c>
      <c r="V46" s="666" t="s">
        <v>17</v>
      </c>
      <c r="W46" s="667">
        <f t="shared" si="14"/>
        <v>100</v>
      </c>
      <c r="X46" s="1264"/>
      <c r="Y46" s="3360"/>
      <c r="Z46" s="1263">
        <f t="shared" si="18"/>
        <v>111</v>
      </c>
      <c r="AA46" s="1263">
        <f t="shared" si="15"/>
        <v>1</v>
      </c>
      <c r="AB46" s="1263">
        <f t="shared" si="16"/>
        <v>1</v>
      </c>
      <c r="AC46" s="1263">
        <f t="shared" si="17"/>
        <v>1</v>
      </c>
    </row>
    <row r="47" spans="1:29" ht="15">
      <c r="A47" s="415" t="s">
        <v>1708</v>
      </c>
      <c r="B47" s="416"/>
      <c r="C47" s="1080" t="s">
        <v>16</v>
      </c>
      <c r="D47" s="417"/>
      <c r="E47" s="418"/>
      <c r="F47" s="419"/>
      <c r="G47" s="420"/>
      <c r="H47" s="421"/>
      <c r="I47" s="418"/>
      <c r="J47" s="421"/>
      <c r="K47" s="1766"/>
      <c r="L47" s="2492"/>
      <c r="M47" s="2485"/>
      <c r="N47" s="2485"/>
      <c r="O47" s="2485"/>
      <c r="P47" s="3347" t="str">
        <f>A47</f>
        <v>成交单价（元/平方米）</v>
      </c>
      <c r="Q47" s="3347"/>
      <c r="R47" s="3348">
        <f>E47</f>
        <v>0</v>
      </c>
      <c r="S47" s="3348"/>
      <c r="T47" s="3348">
        <f>G47</f>
        <v>0</v>
      </c>
      <c r="U47" s="3348"/>
      <c r="V47" s="3348">
        <f>I47</f>
        <v>0</v>
      </c>
      <c r="W47" s="3348"/>
      <c r="X47" s="384"/>
      <c r="Y47" s="672"/>
      <c r="Z47" s="384"/>
      <c r="AA47" s="384"/>
      <c r="AB47" s="384"/>
      <c r="AC47" s="384"/>
    </row>
    <row r="48" spans="1:29" ht="15.75" thickBot="1">
      <c r="A48" s="422" t="s">
        <v>1709</v>
      </c>
      <c r="B48" s="423"/>
      <c r="C48" s="1081" t="e">
        <f>R49</f>
        <v>#DIV/0!</v>
      </c>
      <c r="D48" s="2140" t="s">
        <v>2138</v>
      </c>
      <c r="E48" s="1082" t="e">
        <f>R48</f>
        <v>#DIV/0!</v>
      </c>
      <c r="F48" s="2141"/>
      <c r="G48" s="1081" t="e">
        <f>T48</f>
        <v>#DIV/0!</v>
      </c>
      <c r="H48" s="2141"/>
      <c r="I48" s="1082" t="e">
        <f>V48</f>
        <v>#DIV/0!</v>
      </c>
      <c r="J48" s="2141"/>
      <c r="K48" s="2142">
        <f>F48+H48+J48</f>
        <v>0</v>
      </c>
      <c r="L48" s="2492"/>
      <c r="M48" s="2485"/>
      <c r="N48" s="2485"/>
      <c r="O48" s="2485"/>
      <c r="P48" s="3347" t="str">
        <f>A48</f>
        <v>比较价值（元/平方米）</v>
      </c>
      <c r="Q48" s="3347"/>
      <c r="R48" s="3348" t="e">
        <f>IF(F1="售价",ROUND(PRODUCT(R47,AA7:AA46),0),ROUND(PRODUCT(R47,AA7:AA46),1))</f>
        <v>#DIV/0!</v>
      </c>
      <c r="S48" s="3348"/>
      <c r="T48" s="3348" t="e">
        <f>IF(F1="售价",ROUND(PRODUCT(T47,AB7:AB46),0),ROUND(PRODUCT(T47,AB7:AB46),1))</f>
        <v>#DIV/0!</v>
      </c>
      <c r="U48" s="3348"/>
      <c r="V48" s="3348" t="e">
        <f>IF(F1="售价",ROUND(PRODUCT(V47,AC7:AC46),0),ROUND(PRODUCT(V47,AC7:AC46),1))</f>
        <v>#DIV/0!</v>
      </c>
      <c r="W48" s="3348"/>
      <c r="X48" s="384"/>
      <c r="Y48" s="384"/>
      <c r="Z48" s="384"/>
      <c r="AA48" s="384"/>
      <c r="AB48" s="384"/>
      <c r="AC48" s="384"/>
    </row>
    <row r="49" spans="1:29" ht="15.75" thickBot="1">
      <c r="A49" s="426" t="s">
        <v>1710</v>
      </c>
      <c r="B49" s="427"/>
      <c r="C49" s="1083" t="e">
        <f>R49</f>
        <v>#DIV/0!</v>
      </c>
      <c r="D49" s="350"/>
      <c r="E49" s="350"/>
      <c r="F49" s="350"/>
      <c r="G49" s="350"/>
      <c r="H49" s="350"/>
      <c r="I49" s="350"/>
      <c r="J49" s="350"/>
      <c r="K49" s="1767"/>
      <c r="L49" s="2492"/>
      <c r="M49" s="2485"/>
      <c r="N49" s="2485"/>
      <c r="O49" s="2485"/>
      <c r="P49" s="3349" t="str">
        <f>A49</f>
        <v>估价对象XX用房的比较价值（楼面单价，元/平方米）</v>
      </c>
      <c r="Q49" s="3350"/>
      <c r="R49" s="3351" t="e">
        <f>IF(F1="售价",ROUND(IF(D48="简单平均",AVERAGE(R48:V48),R48*F48+T48*H48+V48*J48),0),ROUND(IF(D48="简单平均",AVERAGE(R48:V48),R48*F48+T48*H48+V48*J48),1))</f>
        <v>#DIV/0!</v>
      </c>
      <c r="S49" s="3351"/>
      <c r="T49" s="3351"/>
      <c r="U49" s="3351"/>
      <c r="V49" s="3351"/>
      <c r="W49" s="3351"/>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7"/>
      <c r="L52" s="2493"/>
      <c r="M52" s="2485"/>
      <c r="N52" s="2485"/>
      <c r="O52" s="2485"/>
    </row>
    <row r="53" spans="1:29" ht="13.5" customHeight="1">
      <c r="A53" s="2485"/>
      <c r="B53" s="2485"/>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7"/>
      <c r="L53" s="2493"/>
      <c r="M53" s="2485"/>
      <c r="N53" s="2485"/>
      <c r="O53" s="2485"/>
    </row>
    <row r="54" spans="1:29" s="436" customFormat="1" ht="13.5" customHeight="1">
      <c r="A54" s="2495"/>
      <c r="B54" s="2495"/>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0"/>
      <c r="L54" s="2494"/>
      <c r="M54" s="2495"/>
      <c r="N54" s="2495"/>
      <c r="O54" s="2495"/>
      <c r="P54" s="1769"/>
    </row>
    <row r="55" spans="1:29" s="436" customFormat="1">
      <c r="A55" s="2495"/>
      <c r="B55" s="2498"/>
      <c r="C55" s="2499"/>
      <c r="D55" s="2495"/>
      <c r="E55" s="2495"/>
      <c r="F55" s="2495"/>
      <c r="G55" s="2495"/>
      <c r="H55" s="2495"/>
      <c r="I55" s="2495"/>
      <c r="J55" s="2495"/>
      <c r="K55" s="2500"/>
      <c r="L55" s="2494"/>
      <c r="M55" s="2495"/>
      <c r="N55" s="2495"/>
      <c r="O55" s="2495"/>
      <c r="P55" s="1769"/>
    </row>
    <row r="56" spans="1:29">
      <c r="A56" s="2485"/>
      <c r="B56" s="2498"/>
      <c r="C56" s="2499"/>
      <c r="D56" s="2485"/>
      <c r="E56" s="2485"/>
      <c r="F56" s="2485"/>
      <c r="G56" s="2485"/>
      <c r="H56" s="2485"/>
      <c r="I56" s="2485"/>
      <c r="J56" s="2485"/>
      <c r="K56" s="2497"/>
      <c r="L56" s="2493"/>
      <c r="M56" s="2485"/>
      <c r="N56" s="2485"/>
      <c r="O56" s="2485"/>
    </row>
    <row r="57" spans="1:29" ht="21.75" thickBot="1">
      <c r="A57" s="657" t="s">
        <v>1714</v>
      </c>
      <c r="B57" s="384"/>
      <c r="C57" s="658"/>
      <c r="D57" s="658"/>
      <c r="E57" s="658"/>
      <c r="F57" s="659"/>
      <c r="G57" s="659"/>
      <c r="H57" s="658"/>
      <c r="I57" s="658"/>
      <c r="J57" s="658"/>
      <c r="K57" s="886"/>
      <c r="L57" s="887"/>
      <c r="M57" s="885"/>
      <c r="N57" s="885"/>
      <c r="O57" s="885"/>
      <c r="P57" s="1770"/>
      <c r="Q57" s="438"/>
    </row>
    <row r="58" spans="1:29" s="441" customFormat="1" ht="15">
      <c r="A58" s="439" t="s">
        <v>1715</v>
      </c>
      <c r="B58" s="440"/>
      <c r="C58" s="1104" t="str">
        <f>YEAR(C7)&amp;"-"&amp;MONTH(C7)</f>
        <v>2024-10</v>
      </c>
      <c r="D58" s="1103">
        <f>EDATE(C58,-1)</f>
        <v>45536</v>
      </c>
      <c r="E58" s="1103">
        <f>EDATE(D58,-1)</f>
        <v>45505</v>
      </c>
      <c r="F58" s="1103">
        <f t="shared" ref="F58:O58" si="19">EDATE(E58,-1)</f>
        <v>45474</v>
      </c>
      <c r="G58" s="1103">
        <f t="shared" si="19"/>
        <v>45444</v>
      </c>
      <c r="H58" s="1103">
        <f t="shared" si="19"/>
        <v>45413</v>
      </c>
      <c r="I58" s="1103">
        <f t="shared" si="19"/>
        <v>45383</v>
      </c>
      <c r="J58" s="1103">
        <f t="shared" si="19"/>
        <v>45352</v>
      </c>
      <c r="K58" s="1103">
        <f t="shared" si="19"/>
        <v>45323</v>
      </c>
      <c r="L58" s="1103">
        <f t="shared" si="19"/>
        <v>45292</v>
      </c>
      <c r="M58" s="1103">
        <f t="shared" si="19"/>
        <v>45261</v>
      </c>
      <c r="N58" s="1103">
        <f t="shared" si="19"/>
        <v>45231</v>
      </c>
      <c r="O58" s="1103">
        <f t="shared" si="19"/>
        <v>45200</v>
      </c>
      <c r="P58" s="1099"/>
    </row>
    <row r="59" spans="1:29" s="101" customFormat="1" ht="15">
      <c r="A59" s="442"/>
      <c r="B59" s="1771"/>
      <c r="C59" s="1101">
        <v>100</v>
      </c>
      <c r="D59" s="444"/>
      <c r="E59" s="445"/>
      <c r="F59" s="445"/>
      <c r="G59" s="445"/>
      <c r="H59" s="445"/>
      <c r="I59" s="445"/>
      <c r="J59" s="445"/>
      <c r="K59" s="445"/>
      <c r="L59" s="445"/>
      <c r="M59" s="446"/>
      <c r="N59" s="445"/>
      <c r="O59" s="446"/>
      <c r="P59" s="1772"/>
    </row>
    <row r="60" spans="1:29" s="101" customFormat="1" ht="15.75" thickBot="1">
      <c r="A60" s="448" t="s">
        <v>1716</v>
      </c>
      <c r="B60" s="449"/>
      <c r="C60" s="450"/>
      <c r="D60" s="451"/>
      <c r="E60" s="451"/>
      <c r="F60" s="451"/>
      <c r="G60" s="451"/>
      <c r="H60" s="451"/>
      <c r="I60" s="451"/>
      <c r="J60" s="451"/>
      <c r="K60" s="451"/>
      <c r="L60" s="451"/>
      <c r="M60" s="452"/>
      <c r="N60" s="451"/>
      <c r="O60" s="452"/>
      <c r="P60" s="1772"/>
      <c r="Q60" s="438"/>
    </row>
    <row r="61" spans="1:29" s="101" customFormat="1" ht="15">
      <c r="A61" s="454" t="s">
        <v>1717</v>
      </c>
      <c r="B61" s="443"/>
      <c r="C61" s="455" t="s">
        <v>1718</v>
      </c>
      <c r="D61" s="31"/>
      <c r="E61" s="31"/>
      <c r="F61" s="31"/>
      <c r="G61" s="31"/>
      <c r="H61" s="31"/>
      <c r="I61" s="31"/>
      <c r="J61" s="31"/>
      <c r="K61" s="31"/>
      <c r="L61" s="456"/>
      <c r="M61" s="457"/>
      <c r="N61" s="877"/>
      <c r="O61" s="877"/>
      <c r="P61" s="1773"/>
      <c r="Q61" s="438"/>
    </row>
    <row r="62" spans="1:29" s="101" customFormat="1" ht="15.75" thickBot="1">
      <c r="A62" s="454"/>
      <c r="B62" s="443"/>
      <c r="C62" s="444">
        <v>100</v>
      </c>
      <c r="D62" s="445"/>
      <c r="E62" s="445"/>
      <c r="F62" s="445"/>
      <c r="G62" s="445"/>
      <c r="H62" s="445"/>
      <c r="I62" s="445"/>
      <c r="J62" s="445"/>
      <c r="K62" s="445"/>
      <c r="L62" s="445"/>
      <c r="M62" s="447"/>
      <c r="N62" s="877"/>
      <c r="O62" s="877"/>
      <c r="P62" s="1772"/>
      <c r="Q62" s="438"/>
    </row>
    <row r="63" spans="1:29">
      <c r="A63" s="378" t="s">
        <v>1719</v>
      </c>
      <c r="B63" s="459" t="s">
        <v>1685</v>
      </c>
      <c r="C63" s="460">
        <f>C9</f>
        <v>0</v>
      </c>
      <c r="D63" s="461"/>
      <c r="E63" s="461"/>
      <c r="F63" s="461"/>
      <c r="G63" s="461"/>
      <c r="H63" s="461"/>
      <c r="I63" s="461"/>
      <c r="J63" s="461"/>
      <c r="K63" s="462"/>
      <c r="L63" s="463"/>
      <c r="M63" s="464"/>
      <c r="N63" s="878"/>
      <c r="O63" s="878"/>
      <c r="P63" s="1774"/>
      <c r="Q63" s="438"/>
    </row>
    <row r="64" spans="1:29" ht="15.75" thickBot="1">
      <c r="A64" s="366"/>
      <c r="B64" s="465"/>
      <c r="C64" s="466">
        <v>100</v>
      </c>
      <c r="D64" s="466"/>
      <c r="E64" s="466"/>
      <c r="F64" s="466"/>
      <c r="G64" s="466"/>
      <c r="H64" s="466"/>
      <c r="I64" s="466"/>
      <c r="J64" s="466"/>
      <c r="K64" s="466"/>
      <c r="L64" s="466"/>
      <c r="M64" s="467"/>
      <c r="N64" s="879"/>
      <c r="O64" s="879"/>
      <c r="P64" s="1774"/>
      <c r="Q64" s="438"/>
    </row>
    <row r="65" spans="1:17" ht="27.75" thickTop="1">
      <c r="A65" s="366"/>
      <c r="B65" s="468" t="s">
        <v>1688</v>
      </c>
      <c r="C65" s="512"/>
      <c r="D65" s="512"/>
      <c r="E65" s="512"/>
      <c r="F65" s="512"/>
      <c r="G65" s="512"/>
      <c r="H65" s="512"/>
      <c r="I65" s="512"/>
      <c r="J65" s="512"/>
      <c r="K65" s="512"/>
      <c r="L65" s="512"/>
      <c r="M65" s="512"/>
      <c r="N65" s="879"/>
      <c r="O65" s="879"/>
      <c r="P65" s="1774"/>
      <c r="Q65" s="438"/>
    </row>
    <row r="66" spans="1:17" ht="15.75" thickBot="1">
      <c r="A66" s="366"/>
      <c r="B66" s="473"/>
      <c r="C66" s="466"/>
      <c r="D66" s="466"/>
      <c r="E66" s="466"/>
      <c r="F66" s="466"/>
      <c r="G66" s="466"/>
      <c r="H66" s="466"/>
      <c r="I66" s="466"/>
      <c r="J66" s="466"/>
      <c r="K66" s="466"/>
      <c r="L66" s="466"/>
      <c r="M66" s="467"/>
      <c r="N66" s="879"/>
      <c r="O66" s="879"/>
      <c r="P66" s="1774"/>
      <c r="Q66" s="438"/>
    </row>
    <row r="67" spans="1:17" ht="15.7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ht="15">
      <c r="A68" s="366"/>
      <c r="B68" s="478"/>
      <c r="C68" s="479"/>
      <c r="D68" s="479"/>
      <c r="E68" s="479"/>
      <c r="F68" s="479"/>
      <c r="G68" s="479"/>
      <c r="H68" s="479"/>
      <c r="I68" s="479"/>
      <c r="J68" s="479"/>
      <c r="K68" s="480"/>
      <c r="L68" s="481"/>
      <c r="M68" s="482"/>
      <c r="N68" s="878"/>
      <c r="O68" s="878"/>
      <c r="P68" s="1774"/>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5.75" thickTop="1">
      <c r="A70" s="483"/>
      <c r="B70" s="468">
        <f>B12</f>
        <v>111</v>
      </c>
      <c r="C70" s="484"/>
      <c r="D70" s="484"/>
      <c r="E70" s="484"/>
      <c r="F70" s="484"/>
      <c r="G70" s="484"/>
      <c r="H70" s="485"/>
      <c r="I70" s="485"/>
      <c r="J70" s="485"/>
      <c r="K70" s="485"/>
      <c r="L70" s="486"/>
      <c r="M70" s="487"/>
      <c r="N70" s="880"/>
      <c r="O70" s="880"/>
      <c r="P70" s="1775"/>
      <c r="Q70" s="489"/>
    </row>
    <row r="71" spans="1:17" s="407" customFormat="1" ht="15.75" thickBot="1">
      <c r="A71" s="483"/>
      <c r="B71" s="473"/>
      <c r="C71" s="490"/>
      <c r="D71" s="466"/>
      <c r="E71" s="466"/>
      <c r="F71" s="466"/>
      <c r="G71" s="466"/>
      <c r="H71" s="466"/>
      <c r="I71" s="466"/>
      <c r="J71" s="466"/>
      <c r="K71" s="466"/>
      <c r="L71" s="466"/>
      <c r="M71" s="467"/>
      <c r="N71" s="879"/>
      <c r="O71" s="879"/>
      <c r="P71" s="1775"/>
      <c r="Q71" s="489"/>
    </row>
    <row r="72" spans="1:17" s="407" customFormat="1" ht="15.75" thickTop="1">
      <c r="A72" s="483"/>
      <c r="B72" s="468">
        <f>B13</f>
        <v>111</v>
      </c>
      <c r="C72" s="484"/>
      <c r="D72" s="484"/>
      <c r="E72" s="484"/>
      <c r="F72" s="484"/>
      <c r="G72" s="484"/>
      <c r="H72" s="485"/>
      <c r="I72" s="485"/>
      <c r="J72" s="485"/>
      <c r="K72" s="485"/>
      <c r="L72" s="486"/>
      <c r="M72" s="487"/>
      <c r="N72" s="880"/>
      <c r="O72" s="880"/>
      <c r="P72" s="1776"/>
      <c r="Q72" s="491"/>
    </row>
    <row r="73" spans="1:17" s="407" customFormat="1" ht="15.75" thickBot="1">
      <c r="A73" s="483"/>
      <c r="B73" s="473"/>
      <c r="C73" s="490"/>
      <c r="D73" s="490"/>
      <c r="E73" s="490"/>
      <c r="F73" s="490"/>
      <c r="G73" s="490"/>
      <c r="H73" s="492"/>
      <c r="I73" s="492"/>
      <c r="J73" s="492"/>
      <c r="K73" s="492"/>
      <c r="L73" s="492"/>
      <c r="M73" s="493"/>
      <c r="N73" s="880"/>
      <c r="O73" s="880"/>
      <c r="P73" s="1775"/>
      <c r="Q73" s="489"/>
    </row>
    <row r="74" spans="1:17" s="407" customFormat="1" ht="15.75" thickTop="1">
      <c r="A74" s="483"/>
      <c r="B74" s="476">
        <f>B14</f>
        <v>111</v>
      </c>
      <c r="C74" s="484"/>
      <c r="D74" s="484"/>
      <c r="E74" s="484"/>
      <c r="F74" s="484"/>
      <c r="G74" s="31"/>
      <c r="H74" s="494"/>
      <c r="I74" s="494"/>
      <c r="J74" s="494"/>
      <c r="K74" s="494"/>
      <c r="L74" s="495"/>
      <c r="M74" s="496"/>
      <c r="N74" s="880"/>
      <c r="O74" s="880"/>
      <c r="P74" s="1777"/>
      <c r="Q74" s="489"/>
    </row>
    <row r="75" spans="1:17" s="407" customFormat="1" ht="15.75" thickBot="1">
      <c r="A75" s="498"/>
      <c r="B75" s="499"/>
      <c r="C75" s="500"/>
      <c r="D75" s="500"/>
      <c r="E75" s="500"/>
      <c r="F75" s="500"/>
      <c r="G75" s="500"/>
      <c r="H75" s="501"/>
      <c r="I75" s="501"/>
      <c r="J75" s="501"/>
      <c r="K75" s="501"/>
      <c r="L75" s="501"/>
      <c r="M75" s="502"/>
      <c r="N75" s="880"/>
      <c r="O75" s="880"/>
      <c r="P75" s="1775"/>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7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5.7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1" customFormat="1" ht="15.75" thickTop="1">
      <c r="A86" s="369"/>
      <c r="B86" s="468" t="s">
        <v>1734</v>
      </c>
      <c r="C86" s="484"/>
      <c r="D86" s="484"/>
      <c r="E86" s="484"/>
      <c r="F86" s="484"/>
      <c r="G86" s="484"/>
      <c r="H86" s="484"/>
      <c r="I86" s="484"/>
      <c r="J86" s="484"/>
      <c r="K86" s="484"/>
      <c r="L86" s="509"/>
      <c r="M86" s="510"/>
      <c r="N86" s="877"/>
      <c r="O86" s="877"/>
      <c r="P86" s="1774"/>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1" customFormat="1" ht="15.75" thickTop="1">
      <c r="A88" s="369"/>
      <c r="B88" s="468" t="s">
        <v>1735</v>
      </c>
      <c r="C88" s="484"/>
      <c r="D88" s="484"/>
      <c r="E88" s="484"/>
      <c r="F88" s="1779"/>
      <c r="G88" s="484"/>
      <c r="H88" s="484"/>
      <c r="I88" s="484"/>
      <c r="J88" s="484"/>
      <c r="K88" s="484"/>
      <c r="L88" s="484"/>
      <c r="M88" s="510"/>
      <c r="N88" s="877"/>
      <c r="O88" s="877"/>
      <c r="P88" s="1774"/>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5.75" thickTop="1">
      <c r="A90" s="483"/>
      <c r="B90" s="468">
        <f>B27</f>
        <v>111</v>
      </c>
      <c r="C90" s="484"/>
      <c r="D90" s="484"/>
      <c r="E90" s="484"/>
      <c r="F90" s="484"/>
      <c r="G90" s="484"/>
      <c r="H90" s="485"/>
      <c r="I90" s="485"/>
      <c r="J90" s="485"/>
      <c r="K90" s="485"/>
      <c r="L90" s="486"/>
      <c r="M90" s="487"/>
      <c r="N90" s="880"/>
      <c r="O90" s="880"/>
      <c r="P90" s="1775"/>
      <c r="Q90" s="489"/>
    </row>
    <row r="91" spans="1:17" s="407" customFormat="1" ht="15.75" thickBot="1">
      <c r="A91" s="483"/>
      <c r="B91" s="473"/>
      <c r="C91" s="490"/>
      <c r="D91" s="490"/>
      <c r="E91" s="490"/>
      <c r="F91" s="490"/>
      <c r="G91" s="490"/>
      <c r="H91" s="492"/>
      <c r="I91" s="492"/>
      <c r="J91" s="492"/>
      <c r="K91" s="492"/>
      <c r="L91" s="492"/>
      <c r="M91" s="493"/>
      <c r="N91" s="880"/>
      <c r="O91" s="880"/>
      <c r="P91" s="1775"/>
      <c r="Q91" s="489"/>
    </row>
    <row r="92" spans="1:17" ht="15.75" thickTop="1">
      <c r="A92" s="366"/>
      <c r="B92" s="468">
        <f>B28</f>
        <v>111</v>
      </c>
      <c r="C92" s="484"/>
      <c r="D92" s="484"/>
      <c r="E92" s="484"/>
      <c r="F92" s="484"/>
      <c r="G92" s="512"/>
      <c r="H92" s="512"/>
      <c r="I92" s="512"/>
      <c r="J92" s="512"/>
      <c r="K92" s="513"/>
      <c r="L92" s="514"/>
      <c r="M92" s="515"/>
      <c r="N92" s="878"/>
      <c r="O92" s="878"/>
      <c r="P92" s="1774"/>
      <c r="Q92" s="438"/>
    </row>
    <row r="93" spans="1:17" ht="15.75" thickBot="1">
      <c r="A93" s="366"/>
      <c r="B93" s="473"/>
      <c r="C93" s="490"/>
      <c r="D93" s="466"/>
      <c r="E93" s="466"/>
      <c r="F93" s="466"/>
      <c r="G93" s="466"/>
      <c r="H93" s="466"/>
      <c r="I93" s="466"/>
      <c r="J93" s="466"/>
      <c r="K93" s="466"/>
      <c r="L93" s="466"/>
      <c r="M93" s="467"/>
      <c r="N93" s="879"/>
      <c r="O93" s="879"/>
      <c r="P93" s="1774"/>
      <c r="Q93" s="438"/>
    </row>
    <row r="94" spans="1:17" ht="15.75" thickTop="1">
      <c r="A94" s="366"/>
      <c r="B94" s="468">
        <f>B29</f>
        <v>111</v>
      </c>
      <c r="C94" s="484"/>
      <c r="D94" s="484"/>
      <c r="E94" s="484"/>
      <c r="F94" s="484"/>
      <c r="G94" s="512"/>
      <c r="H94" s="512"/>
      <c r="I94" s="512"/>
      <c r="J94" s="512"/>
      <c r="K94" s="513"/>
      <c r="L94" s="514"/>
      <c r="M94" s="515"/>
      <c r="N94" s="878"/>
      <c r="O94" s="878"/>
      <c r="P94" s="1774"/>
      <c r="Q94" s="438"/>
    </row>
    <row r="95" spans="1:17" ht="15.75" thickBot="1">
      <c r="A95" s="366"/>
      <c r="B95" s="473"/>
      <c r="C95" s="490"/>
      <c r="D95" s="490"/>
      <c r="E95" s="490"/>
      <c r="F95" s="490"/>
      <c r="G95" s="466"/>
      <c r="H95" s="466"/>
      <c r="I95" s="466"/>
      <c r="J95" s="466"/>
      <c r="K95" s="466"/>
      <c r="L95" s="466"/>
      <c r="M95" s="467"/>
      <c r="N95" s="879"/>
      <c r="O95" s="879"/>
      <c r="P95" s="1774"/>
      <c r="Q95" s="438"/>
    </row>
    <row r="96" spans="1:17" ht="15.75" thickTop="1">
      <c r="A96" s="366"/>
      <c r="B96" s="468">
        <f>B30</f>
        <v>111</v>
      </c>
      <c r="C96" s="484"/>
      <c r="D96" s="484"/>
      <c r="E96" s="484"/>
      <c r="F96" s="484"/>
      <c r="G96" s="512"/>
      <c r="H96" s="512"/>
      <c r="I96" s="512"/>
      <c r="J96" s="512"/>
      <c r="K96" s="513"/>
      <c r="L96" s="514"/>
      <c r="M96" s="515"/>
      <c r="N96" s="878"/>
      <c r="O96" s="878"/>
      <c r="P96" s="1774"/>
      <c r="Q96" s="438"/>
    </row>
    <row r="97" spans="1:17" ht="15.75" thickBot="1">
      <c r="A97" s="366"/>
      <c r="B97" s="473"/>
      <c r="C97" s="500"/>
      <c r="D97" s="500"/>
      <c r="E97" s="500"/>
      <c r="F97" s="500"/>
      <c r="G97" s="466"/>
      <c r="H97" s="466"/>
      <c r="I97" s="466"/>
      <c r="J97" s="466"/>
      <c r="K97" s="466"/>
      <c r="L97" s="466"/>
      <c r="M97" s="467"/>
      <c r="N97" s="879"/>
      <c r="O97" s="879"/>
      <c r="P97" s="1774"/>
      <c r="Q97" s="438"/>
    </row>
    <row r="98" spans="1:17" ht="15.75" thickTop="1">
      <c r="A98" s="366"/>
      <c r="B98" s="476">
        <f>B31</f>
        <v>111</v>
      </c>
      <c r="C98" s="516"/>
      <c r="D98" s="516"/>
      <c r="E98" s="516"/>
      <c r="F98" s="516"/>
      <c r="G98" s="516"/>
      <c r="H98" s="516"/>
      <c r="I98" s="516"/>
      <c r="J98" s="516"/>
      <c r="K98" s="517"/>
      <c r="L98" s="518"/>
      <c r="M98" s="519"/>
      <c r="N98" s="878"/>
      <c r="O98" s="878"/>
      <c r="P98" s="1774"/>
      <c r="Q98" s="438"/>
    </row>
    <row r="99" spans="1:17" ht="15.75" thickBot="1">
      <c r="A99" s="374"/>
      <c r="B99" s="499"/>
      <c r="C99" s="520"/>
      <c r="D99" s="520"/>
      <c r="E99" s="520"/>
      <c r="F99" s="520"/>
      <c r="G99" s="520"/>
      <c r="H99" s="520"/>
      <c r="I99" s="520"/>
      <c r="J99" s="520"/>
      <c r="K99" s="520"/>
      <c r="L99" s="520"/>
      <c r="M99" s="521"/>
      <c r="N99" s="879"/>
      <c r="O99" s="879"/>
      <c r="P99" s="1774"/>
      <c r="Q99" s="438"/>
    </row>
    <row r="100" spans="1:17">
      <c r="A100" s="378" t="s">
        <v>1694</v>
      </c>
      <c r="B100" s="459" t="s">
        <v>1736</v>
      </c>
      <c r="C100" s="461"/>
      <c r="D100" s="461"/>
      <c r="E100" s="461"/>
      <c r="F100" s="461"/>
      <c r="G100" s="461"/>
      <c r="H100" s="461"/>
      <c r="I100" s="461"/>
      <c r="J100" s="461"/>
      <c r="K100" s="462"/>
      <c r="L100" s="463"/>
      <c r="M100" s="464"/>
      <c r="N100" s="878"/>
      <c r="O100" s="878"/>
      <c r="P100" s="1774"/>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7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5.75"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8.5"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5.75"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5"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5.75" thickBot="1">
      <c r="A127" s="483"/>
      <c r="B127" s="473"/>
      <c r="C127" s="490"/>
      <c r="D127" s="466"/>
      <c r="E127" s="466"/>
      <c r="F127" s="466"/>
      <c r="G127" s="490"/>
      <c r="H127" s="492"/>
      <c r="I127" s="492"/>
      <c r="J127" s="492"/>
      <c r="K127" s="492"/>
      <c r="L127" s="492"/>
      <c r="M127" s="493"/>
      <c r="N127" s="880"/>
      <c r="O127" s="880"/>
      <c r="P127" s="1775"/>
      <c r="Q127" s="489"/>
    </row>
    <row r="128" spans="1:17" ht="15" thickTop="1">
      <c r="A128" s="408"/>
      <c r="B128" s="468">
        <f>B45</f>
        <v>111</v>
      </c>
      <c r="C128" s="484"/>
      <c r="D128" s="484"/>
      <c r="E128" s="484"/>
      <c r="F128" s="484"/>
      <c r="G128" s="512"/>
      <c r="H128" s="512"/>
      <c r="I128" s="512"/>
      <c r="J128" s="512"/>
      <c r="K128" s="513"/>
      <c r="L128" s="514"/>
      <c r="M128" s="515"/>
      <c r="N128" s="878"/>
      <c r="O128" s="878"/>
      <c r="P128" s="1774"/>
      <c r="Q128" s="438"/>
    </row>
    <row r="129" spans="1:17" ht="15.75" thickBot="1">
      <c r="A129" s="366"/>
      <c r="B129" s="473"/>
      <c r="C129" s="490"/>
      <c r="D129" s="490"/>
      <c r="E129" s="490"/>
      <c r="F129" s="490"/>
      <c r="G129" s="466"/>
      <c r="H129" s="466"/>
      <c r="I129" s="466"/>
      <c r="J129" s="466"/>
      <c r="K129" s="466"/>
      <c r="L129" s="466"/>
      <c r="M129" s="467"/>
      <c r="N129" s="879"/>
      <c r="O129" s="879"/>
      <c r="P129" s="1774"/>
      <c r="Q129" s="438"/>
    </row>
    <row r="130" spans="1:17" ht="15" thickTop="1">
      <c r="A130" s="408"/>
      <c r="B130" s="476">
        <f>B46</f>
        <v>111</v>
      </c>
      <c r="C130" s="484"/>
      <c r="D130" s="484"/>
      <c r="E130" s="484"/>
      <c r="F130" s="484"/>
      <c r="G130" s="516"/>
      <c r="H130" s="516"/>
      <c r="I130" s="516"/>
      <c r="J130" s="516"/>
      <c r="K130" s="31"/>
      <c r="L130" s="456"/>
      <c r="M130" s="519"/>
      <c r="N130" s="878"/>
      <c r="O130" s="878"/>
      <c r="P130" s="1774"/>
      <c r="Q130" s="438"/>
    </row>
    <row r="131" spans="1:17" ht="15.75"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1810</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227.25</v>
      </c>
      <c r="E3" s="1804"/>
      <c r="F3" s="855"/>
      <c r="G3" s="854"/>
      <c r="H3" s="854"/>
      <c r="I3" s="854"/>
      <c r="J3" s="854"/>
      <c r="K3" s="856"/>
      <c r="L3" s="2501"/>
      <c r="M3" s="2502"/>
      <c r="N3" s="2502"/>
      <c r="O3" s="2502"/>
      <c r="P3" s="340"/>
      <c r="Q3" s="340"/>
      <c r="R3" s="340"/>
      <c r="S3" s="340"/>
      <c r="T3" s="340"/>
      <c r="U3" s="340"/>
      <c r="V3" s="340"/>
      <c r="W3" s="340"/>
      <c r="X3" s="340"/>
      <c r="Y3" s="340"/>
      <c r="Z3" s="340"/>
      <c r="AA3" s="340"/>
      <c r="AB3" s="340"/>
      <c r="AC3" s="662"/>
    </row>
    <row r="4" spans="1:29" ht="15">
      <c r="A4" s="344" t="s">
        <v>1769</v>
      </c>
      <c r="B4" s="345"/>
      <c r="C4" s="3365" t="s">
        <v>1770</v>
      </c>
      <c r="D4" s="3366"/>
      <c r="E4" s="3367" t="s">
        <v>1771</v>
      </c>
      <c r="F4" s="3368"/>
      <c r="G4" s="3365" t="s">
        <v>1772</v>
      </c>
      <c r="H4" s="3366"/>
      <c r="I4" s="3365" t="s">
        <v>1773</v>
      </c>
      <c r="J4" s="3366"/>
      <c r="K4" s="536" t="s">
        <v>1774</v>
      </c>
      <c r="L4" s="2484"/>
      <c r="M4" s="2485"/>
      <c r="N4" s="2485"/>
      <c r="O4" s="2485"/>
      <c r="P4" s="3421" t="s">
        <v>1775</v>
      </c>
      <c r="Q4" s="3422"/>
      <c r="R4" s="3425" t="s">
        <v>1771</v>
      </c>
      <c r="S4" s="3426"/>
      <c r="T4" s="3425" t="s">
        <v>1772</v>
      </c>
      <c r="U4" s="3426"/>
      <c r="V4" s="3427" t="s">
        <v>1773</v>
      </c>
      <c r="W4" s="3427"/>
      <c r="X4" s="1808"/>
      <c r="Y4" s="3425" t="s">
        <v>1775</v>
      </c>
      <c r="Z4" s="3426"/>
      <c r="AA4" s="3429" t="s">
        <v>1771</v>
      </c>
      <c r="AB4" s="3429" t="s">
        <v>1772</v>
      </c>
      <c r="AC4" s="3418" t="s">
        <v>1773</v>
      </c>
    </row>
    <row r="5" spans="1:29" ht="15">
      <c r="A5" s="347"/>
      <c r="B5" s="348"/>
      <c r="C5" s="3383" t="s">
        <v>1673</v>
      </c>
      <c r="D5" s="3384"/>
      <c r="E5" s="3390" t="s">
        <v>1674</v>
      </c>
      <c r="F5" s="3391"/>
      <c r="G5" s="3383" t="s">
        <v>1675</v>
      </c>
      <c r="H5" s="3384"/>
      <c r="I5" s="3383" t="s">
        <v>1676</v>
      </c>
      <c r="J5" s="3384"/>
      <c r="K5" s="536"/>
      <c r="L5" s="2484"/>
      <c r="M5" s="2485"/>
      <c r="N5" s="2485"/>
      <c r="O5" s="2485"/>
      <c r="P5" s="3423"/>
      <c r="Q5" s="3372"/>
      <c r="R5" s="3377"/>
      <c r="S5" s="3378"/>
      <c r="T5" s="3377"/>
      <c r="U5" s="3378"/>
      <c r="V5" s="3348"/>
      <c r="W5" s="3348"/>
      <c r="X5" s="1264"/>
      <c r="Y5" s="3377"/>
      <c r="Z5" s="3378"/>
      <c r="AA5" s="3363"/>
      <c r="AB5" s="3363"/>
      <c r="AC5" s="3419"/>
    </row>
    <row r="6" spans="1:29" ht="15.75" thickBot="1">
      <c r="A6" s="349"/>
      <c r="B6" s="350"/>
      <c r="C6" s="3381" t="s">
        <v>1677</v>
      </c>
      <c r="D6" s="3382"/>
      <c r="E6" s="3388" t="s">
        <v>1677</v>
      </c>
      <c r="F6" s="3389"/>
      <c r="G6" s="3381" t="s">
        <v>1677</v>
      </c>
      <c r="H6" s="3382"/>
      <c r="I6" s="3381" t="s">
        <v>1677</v>
      </c>
      <c r="J6" s="3382"/>
      <c r="K6" s="536" t="s">
        <v>1678</v>
      </c>
      <c r="L6" s="2484"/>
      <c r="M6" s="2485"/>
      <c r="N6" s="2485"/>
      <c r="O6" s="2485"/>
      <c r="P6" s="3424"/>
      <c r="Q6" s="3374"/>
      <c r="R6" s="3377"/>
      <c r="S6" s="3378"/>
      <c r="T6" s="3379"/>
      <c r="U6" s="3380"/>
      <c r="V6" s="3348"/>
      <c r="W6" s="3348"/>
      <c r="X6" s="1264"/>
      <c r="Y6" s="3379"/>
      <c r="Z6" s="3380"/>
      <c r="AA6" s="3364"/>
      <c r="AB6" s="3364"/>
      <c r="AC6" s="3420"/>
    </row>
    <row r="7" spans="1:29" s="101" customFormat="1" ht="15.75" thickBot="1">
      <c r="A7" s="351" t="s">
        <v>1679</v>
      </c>
      <c r="B7" s="352"/>
      <c r="C7" s="353">
        <f>'数据-取费表'!B2</f>
        <v>45580</v>
      </c>
      <c r="D7" s="354">
        <v>100</v>
      </c>
      <c r="E7" s="355"/>
      <c r="F7" s="356">
        <f>SUMIF(59:59,YEAR(E7)&amp;"-"&amp;MONTH(E7),60:60)</f>
        <v>0</v>
      </c>
      <c r="G7" s="355"/>
      <c r="H7" s="354">
        <f>SUMIF(59:59,YEAR(G7)&amp;"-"&amp;MONTH(G7),60:60)</f>
        <v>0</v>
      </c>
      <c r="I7" s="355"/>
      <c r="J7" s="354">
        <f>SUMIF(59:59,YEAR(I7)&amp;"-"&amp;MONTH(I7),60:60)</f>
        <v>0</v>
      </c>
      <c r="K7" s="38"/>
      <c r="L7" s="2486"/>
      <c r="M7" s="2438"/>
      <c r="N7" s="2438"/>
      <c r="O7" s="2438"/>
      <c r="P7" s="3428" t="s">
        <v>1680</v>
      </c>
      <c r="Q7" s="3387"/>
      <c r="R7" s="663" t="s">
        <v>14</v>
      </c>
      <c r="S7" s="664">
        <f t="shared" ref="S7:S15" si="0">F7</f>
        <v>0</v>
      </c>
      <c r="T7" s="663" t="s">
        <v>14</v>
      </c>
      <c r="U7" s="664">
        <f t="shared" ref="U7:U15" si="1">H7</f>
        <v>0</v>
      </c>
      <c r="V7" s="663" t="s">
        <v>14</v>
      </c>
      <c r="W7" s="664">
        <f t="shared" ref="W7:W15" si="2">J7</f>
        <v>0</v>
      </c>
      <c r="X7" s="665"/>
      <c r="Y7" s="3385" t="s">
        <v>1680</v>
      </c>
      <c r="Z7" s="3386"/>
      <c r="AA7" s="50" t="e">
        <f>D7/F7</f>
        <v>#DIV/0!</v>
      </c>
      <c r="AB7" s="50" t="e">
        <f>D7/H7</f>
        <v>#DIV/0!</v>
      </c>
      <c r="AC7" s="801"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6"/>
      <c r="M8" s="2438"/>
      <c r="N8" s="2438"/>
      <c r="O8" s="2438"/>
      <c r="P8" s="3428" t="s">
        <v>1683</v>
      </c>
      <c r="Q8" s="3386"/>
      <c r="R8" s="663" t="s">
        <v>14</v>
      </c>
      <c r="S8" s="664">
        <f t="shared" si="0"/>
        <v>100</v>
      </c>
      <c r="T8" s="663" t="s">
        <v>14</v>
      </c>
      <c r="U8" s="664">
        <f t="shared" si="1"/>
        <v>100</v>
      </c>
      <c r="V8" s="663" t="s">
        <v>14</v>
      </c>
      <c r="W8" s="664">
        <f t="shared" si="2"/>
        <v>100</v>
      </c>
      <c r="X8" s="665"/>
      <c r="Y8" s="3385" t="s">
        <v>1683</v>
      </c>
      <c r="Z8" s="3386"/>
      <c r="AA8" s="50">
        <f t="shared" ref="AA8:AA47" si="3">D8/F8</f>
        <v>1</v>
      </c>
      <c r="AB8" s="50">
        <f t="shared" ref="AB8:AB47" si="4">D8/H8</f>
        <v>1</v>
      </c>
      <c r="AC8" s="801">
        <f t="shared" ref="AC8:AC47" si="5">D8/J8</f>
        <v>1</v>
      </c>
    </row>
    <row r="9" spans="1:29" s="101"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6"/>
      <c r="M9" s="2438"/>
      <c r="N9" s="2438"/>
      <c r="O9" s="2438"/>
      <c r="P9" s="3361" t="s">
        <v>1686</v>
      </c>
      <c r="Q9" s="529" t="str">
        <f t="shared" ref="Q9:Q15" si="6">B9</f>
        <v>用途</v>
      </c>
      <c r="R9" s="663" t="s">
        <v>14</v>
      </c>
      <c r="S9" s="664">
        <f t="shared" si="0"/>
        <v>100</v>
      </c>
      <c r="T9" s="663" t="s">
        <v>14</v>
      </c>
      <c r="U9" s="664">
        <f t="shared" si="1"/>
        <v>100</v>
      </c>
      <c r="V9" s="663" t="s">
        <v>14</v>
      </c>
      <c r="W9" s="664">
        <f t="shared" si="2"/>
        <v>100</v>
      </c>
      <c r="X9" s="665"/>
      <c r="Y9" s="3246" t="s">
        <v>1687</v>
      </c>
      <c r="Z9" s="50" t="str">
        <f t="shared" ref="Z9:Z15" si="7">Q9</f>
        <v>用途</v>
      </c>
      <c r="AA9" s="50">
        <f t="shared" si="3"/>
        <v>1</v>
      </c>
      <c r="AB9" s="50">
        <f t="shared" si="4"/>
        <v>1</v>
      </c>
      <c r="AC9" s="801">
        <f t="shared" si="5"/>
        <v>1</v>
      </c>
    </row>
    <row r="10" spans="1:29" s="365" customFormat="1" ht="27">
      <c r="A10" s="362"/>
      <c r="B10" s="363" t="s">
        <v>1688</v>
      </c>
      <c r="C10" s="3130"/>
      <c r="D10" s="118">
        <v>100</v>
      </c>
      <c r="E10" s="3130"/>
      <c r="F10" s="118">
        <f>SUMIF(66:66,E10,67:67)-SUMIF(66:66,C10,67:67)+100</f>
        <v>100</v>
      </c>
      <c r="G10" s="3131"/>
      <c r="H10" s="118">
        <f>SUMIF(66:66,G10,67:67)-SUMIF(66:66,C10,67:67)+100</f>
        <v>100</v>
      </c>
      <c r="I10" s="3130"/>
      <c r="J10" s="118">
        <f>SUMIF(66:66,I10,67:67)-SUMIF(66:66,C10,67:67)+100</f>
        <v>100</v>
      </c>
      <c r="K10" s="38"/>
      <c r="L10" s="2487"/>
      <c r="M10" s="2488"/>
      <c r="N10" s="2488"/>
      <c r="O10" s="2488"/>
      <c r="P10" s="3361"/>
      <c r="Q10" s="529" t="str">
        <f t="shared" si="6"/>
        <v>土地使用年限（年）</v>
      </c>
      <c r="R10" s="663" t="s">
        <v>14</v>
      </c>
      <c r="S10" s="664">
        <f t="shared" si="0"/>
        <v>100</v>
      </c>
      <c r="T10" s="663" t="s">
        <v>14</v>
      </c>
      <c r="U10" s="664">
        <f t="shared" si="1"/>
        <v>100</v>
      </c>
      <c r="V10" s="663" t="s">
        <v>14</v>
      </c>
      <c r="W10" s="664">
        <f t="shared" si="2"/>
        <v>100</v>
      </c>
      <c r="X10" s="665"/>
      <c r="Y10" s="3246"/>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9"/>
      <c r="M11" s="2485"/>
      <c r="N11" s="2485"/>
      <c r="O11" s="2485"/>
      <c r="P11" s="3361"/>
      <c r="Q11" s="529" t="str">
        <f t="shared" si="6"/>
        <v>容积率</v>
      </c>
      <c r="R11" s="663" t="s">
        <v>14</v>
      </c>
      <c r="S11" s="664">
        <f t="shared" si="0"/>
        <v>100</v>
      </c>
      <c r="T11" s="663" t="s">
        <v>14</v>
      </c>
      <c r="U11" s="664">
        <f t="shared" si="1"/>
        <v>100</v>
      </c>
      <c r="V11" s="663" t="s">
        <v>14</v>
      </c>
      <c r="W11" s="664">
        <f t="shared" si="2"/>
        <v>100</v>
      </c>
      <c r="X11" s="665"/>
      <c r="Y11" s="3246"/>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6"/>
      <c r="M12" s="2438"/>
      <c r="N12" s="2438"/>
      <c r="O12" s="2438"/>
      <c r="P12" s="3361"/>
      <c r="Q12" s="529">
        <f t="shared" si="6"/>
        <v>111</v>
      </c>
      <c r="R12" s="663" t="s">
        <v>14</v>
      </c>
      <c r="S12" s="664">
        <f t="shared" si="0"/>
        <v>100</v>
      </c>
      <c r="T12" s="663" t="s">
        <v>14</v>
      </c>
      <c r="U12" s="664">
        <f t="shared" si="1"/>
        <v>100</v>
      </c>
      <c r="V12" s="663" t="s">
        <v>14</v>
      </c>
      <c r="W12" s="664">
        <f t="shared" si="2"/>
        <v>100</v>
      </c>
      <c r="X12" s="665"/>
      <c r="Y12" s="3246"/>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90"/>
      <c r="M13" s="2485"/>
      <c r="N13" s="2485"/>
      <c r="O13" s="2485"/>
      <c r="P13" s="3361"/>
      <c r="Q13" s="529">
        <f t="shared" si="6"/>
        <v>111</v>
      </c>
      <c r="R13" s="663" t="s">
        <v>14</v>
      </c>
      <c r="S13" s="664">
        <f t="shared" si="0"/>
        <v>100</v>
      </c>
      <c r="T13" s="663" t="s">
        <v>14</v>
      </c>
      <c r="U13" s="664">
        <f t="shared" si="1"/>
        <v>100</v>
      </c>
      <c r="V13" s="663" t="s">
        <v>14</v>
      </c>
      <c r="W13" s="664">
        <f t="shared" si="2"/>
        <v>100</v>
      </c>
      <c r="X13" s="665"/>
      <c r="Y13" s="3246"/>
      <c r="Z13" s="50">
        <f t="shared" si="7"/>
        <v>111</v>
      </c>
      <c r="AA13" s="50">
        <f t="shared" si="3"/>
        <v>1</v>
      </c>
      <c r="AB13" s="50">
        <f t="shared" si="4"/>
        <v>1</v>
      </c>
      <c r="AC13" s="801">
        <f t="shared" si="5"/>
        <v>1</v>
      </c>
    </row>
    <row r="14" spans="1:29" ht="15.75"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90"/>
      <c r="M14" s="2485"/>
      <c r="N14" s="2485"/>
      <c r="O14" s="2485"/>
      <c r="P14" s="3361"/>
      <c r="Q14" s="529">
        <f t="shared" si="6"/>
        <v>111</v>
      </c>
      <c r="R14" s="663" t="s">
        <v>14</v>
      </c>
      <c r="S14" s="664">
        <f t="shared" si="0"/>
        <v>100</v>
      </c>
      <c r="T14" s="663" t="s">
        <v>14</v>
      </c>
      <c r="U14" s="664">
        <f t="shared" si="1"/>
        <v>100</v>
      </c>
      <c r="V14" s="663" t="s">
        <v>14</v>
      </c>
      <c r="W14" s="664">
        <f t="shared" si="2"/>
        <v>100</v>
      </c>
      <c r="X14" s="665"/>
      <c r="Y14" s="3246"/>
      <c r="Z14" s="50">
        <f t="shared" si="7"/>
        <v>111</v>
      </c>
      <c r="AA14" s="50">
        <f t="shared" si="3"/>
        <v>1</v>
      </c>
      <c r="AB14" s="50">
        <f t="shared" si="4"/>
        <v>1</v>
      </c>
      <c r="AC14" s="801">
        <f t="shared" si="5"/>
        <v>1</v>
      </c>
    </row>
    <row r="15" spans="1:29" ht="71.25">
      <c r="A15" s="378" t="s">
        <v>1690</v>
      </c>
      <c r="B15" s="553" t="s">
        <v>1811</v>
      </c>
      <c r="C15" s="1810"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90"/>
      <c r="M15" s="2485"/>
      <c r="N15" s="2485"/>
      <c r="O15" s="2485"/>
      <c r="P15" s="3352" t="s">
        <v>1691</v>
      </c>
      <c r="Q15" s="1262" t="str">
        <f t="shared" si="6"/>
        <v>办公集聚程度</v>
      </c>
      <c r="R15" s="666" t="s">
        <v>14</v>
      </c>
      <c r="S15" s="667">
        <f t="shared" si="0"/>
        <v>100</v>
      </c>
      <c r="T15" s="666" t="s">
        <v>14</v>
      </c>
      <c r="U15" s="667">
        <f t="shared" si="1"/>
        <v>100</v>
      </c>
      <c r="V15" s="666" t="s">
        <v>14</v>
      </c>
      <c r="W15" s="667">
        <f t="shared" si="2"/>
        <v>100</v>
      </c>
      <c r="X15" s="1264"/>
      <c r="Y15" s="3354" t="s">
        <v>1691</v>
      </c>
      <c r="Z15" s="1263" t="str">
        <f t="shared" si="7"/>
        <v>办公集聚程度</v>
      </c>
      <c r="AA15" s="1263">
        <f t="shared" si="3"/>
        <v>1</v>
      </c>
      <c r="AB15" s="1263">
        <f t="shared" si="4"/>
        <v>1</v>
      </c>
      <c r="AC15" s="1811">
        <f t="shared" si="5"/>
        <v>1</v>
      </c>
    </row>
    <row r="16" spans="1:29" ht="15">
      <c r="A16" s="366"/>
      <c r="B16" s="554"/>
      <c r="C16" s="1757"/>
      <c r="D16" s="386"/>
      <c r="E16" s="385"/>
      <c r="F16" s="386"/>
      <c r="G16" s="1757"/>
      <c r="H16" s="388"/>
      <c r="I16" s="385"/>
      <c r="J16" s="386"/>
      <c r="K16" s="540"/>
      <c r="L16" s="2490"/>
      <c r="M16" s="2485"/>
      <c r="N16" s="2485"/>
      <c r="O16" s="2485"/>
      <c r="P16" s="3353"/>
      <c r="Q16" s="1262"/>
      <c r="R16" s="666"/>
      <c r="S16" s="667"/>
      <c r="T16" s="666"/>
      <c r="U16" s="667"/>
      <c r="V16" s="666"/>
      <c r="W16" s="667"/>
      <c r="X16" s="1264"/>
      <c r="Y16" s="3355"/>
      <c r="Z16" s="1263"/>
      <c r="AA16" s="1263">
        <v>1</v>
      </c>
      <c r="AB16" s="1263">
        <v>1</v>
      </c>
      <c r="AC16" s="1811">
        <v>1</v>
      </c>
    </row>
    <row r="17" spans="1:29" ht="71.25">
      <c r="A17" s="366"/>
      <c r="B17" s="555" t="s">
        <v>1259</v>
      </c>
      <c r="C17" s="1812"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90"/>
      <c r="M17" s="2485"/>
      <c r="N17" s="2485"/>
      <c r="O17" s="2485"/>
      <c r="P17" s="3353"/>
      <c r="Q17" s="1262" t="str">
        <f>B17</f>
        <v>交通便捷度</v>
      </c>
      <c r="R17" s="666" t="s">
        <v>14</v>
      </c>
      <c r="S17" s="667">
        <f>F17</f>
        <v>100</v>
      </c>
      <c r="T17" s="666" t="s">
        <v>14</v>
      </c>
      <c r="U17" s="667">
        <f>H17</f>
        <v>100</v>
      </c>
      <c r="V17" s="666" t="s">
        <v>14</v>
      </c>
      <c r="W17" s="667">
        <f>J17</f>
        <v>100</v>
      </c>
      <c r="X17" s="1264"/>
      <c r="Y17" s="3355"/>
      <c r="Z17" s="1263" t="str">
        <f>Q17</f>
        <v>交通便捷度</v>
      </c>
      <c r="AA17" s="1263">
        <f t="shared" si="3"/>
        <v>1</v>
      </c>
      <c r="AB17" s="1263">
        <f t="shared" si="4"/>
        <v>1</v>
      </c>
      <c r="AC17" s="1811">
        <f t="shared" si="5"/>
        <v>1</v>
      </c>
    </row>
    <row r="18" spans="1:29" ht="15">
      <c r="A18" s="366"/>
      <c r="B18" s="400"/>
      <c r="C18" s="1813"/>
      <c r="D18" s="388"/>
      <c r="E18" s="1755"/>
      <c r="F18" s="388"/>
      <c r="G18" s="1756"/>
      <c r="H18" s="386"/>
      <c r="I18" s="1756"/>
      <c r="J18" s="386"/>
      <c r="K18" s="540"/>
      <c r="L18" s="2490"/>
      <c r="M18" s="2485"/>
      <c r="N18" s="2485"/>
      <c r="O18" s="2485"/>
      <c r="P18" s="3353"/>
      <c r="Q18" s="1262"/>
      <c r="R18" s="666"/>
      <c r="S18" s="667"/>
      <c r="T18" s="666"/>
      <c r="U18" s="667"/>
      <c r="V18" s="666"/>
      <c r="W18" s="667"/>
      <c r="X18" s="1264"/>
      <c r="Y18" s="3355"/>
      <c r="Z18" s="1263"/>
      <c r="AA18" s="1263">
        <v>1</v>
      </c>
      <c r="AB18" s="1263">
        <v>1</v>
      </c>
      <c r="AC18" s="1811">
        <v>1</v>
      </c>
    </row>
    <row r="19" spans="1:29" ht="42.75">
      <c r="A19" s="366"/>
      <c r="B19" s="555" t="s">
        <v>1812</v>
      </c>
      <c r="C19" s="1812" t="str">
        <f>估价对象房地状况!C7</f>
        <v>估价对象所在区域公共配套设施齐备情况</v>
      </c>
      <c r="D19" s="393">
        <v>100</v>
      </c>
      <c r="E19" s="397"/>
      <c r="F19" s="393">
        <f>SUMIF(81:81,E20,82:82)-SUMIF(81:81,C20,82:82)+100</f>
        <v>100</v>
      </c>
      <c r="G19" s="395"/>
      <c r="H19" s="388">
        <f>SUMIF(81:81,G20,82:82)-SUMIF(81:81,C20,82:82)+100</f>
        <v>100</v>
      </c>
      <c r="I19" s="395"/>
      <c r="J19" s="388">
        <f>SUMIF(81:81,I20,82:82)-SUMIF(81:81,C20,82:82)+100</f>
        <v>100</v>
      </c>
      <c r="K19" s="539"/>
      <c r="L19" s="2490"/>
      <c r="M19" s="2485"/>
      <c r="N19" s="2485"/>
      <c r="O19" s="2485"/>
      <c r="P19" s="3353"/>
      <c r="Q19" s="1262" t="str">
        <f>B19</f>
        <v>公共配套设施</v>
      </c>
      <c r="R19" s="666" t="s">
        <v>14</v>
      </c>
      <c r="S19" s="667">
        <f>F19</f>
        <v>100</v>
      </c>
      <c r="T19" s="666" t="s">
        <v>14</v>
      </c>
      <c r="U19" s="667">
        <f>H19</f>
        <v>100</v>
      </c>
      <c r="V19" s="666" t="s">
        <v>14</v>
      </c>
      <c r="W19" s="667">
        <f>J19</f>
        <v>100</v>
      </c>
      <c r="X19" s="1264"/>
      <c r="Y19" s="3355"/>
      <c r="Z19" s="1263" t="str">
        <f>Q19</f>
        <v>公共配套设施</v>
      </c>
      <c r="AA19" s="1263">
        <f t="shared" si="3"/>
        <v>1</v>
      </c>
      <c r="AB19" s="1263">
        <f t="shared" si="4"/>
        <v>1</v>
      </c>
      <c r="AC19" s="1811">
        <f t="shared" si="5"/>
        <v>1</v>
      </c>
    </row>
    <row r="20" spans="1:29" ht="15">
      <c r="A20" s="366"/>
      <c r="B20" s="400"/>
      <c r="C20" s="1757"/>
      <c r="D20" s="386"/>
      <c r="E20" s="1750"/>
      <c r="F20" s="386"/>
      <c r="G20" s="1751"/>
      <c r="H20" s="386"/>
      <c r="I20" s="1751"/>
      <c r="J20" s="386"/>
      <c r="K20" s="540"/>
      <c r="L20" s="2490"/>
      <c r="M20" s="2485"/>
      <c r="N20" s="2485"/>
      <c r="O20" s="2485"/>
      <c r="P20" s="3353"/>
      <c r="Q20" s="1262"/>
      <c r="R20" s="666"/>
      <c r="S20" s="667"/>
      <c r="T20" s="666"/>
      <c r="U20" s="667"/>
      <c r="V20" s="666"/>
      <c r="W20" s="667"/>
      <c r="X20" s="1264"/>
      <c r="Y20" s="3355"/>
      <c r="Z20" s="1263"/>
      <c r="AA20" s="1263">
        <v>1</v>
      </c>
      <c r="AB20" s="1263">
        <v>1</v>
      </c>
      <c r="AC20" s="1811">
        <v>1</v>
      </c>
    </row>
    <row r="21" spans="1:29" ht="28.5">
      <c r="A21" s="366"/>
      <c r="B21" s="556" t="s">
        <v>1813</v>
      </c>
      <c r="C21" s="1812"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90"/>
      <c r="M21" s="2485"/>
      <c r="N21" s="2485"/>
      <c r="O21" s="2485"/>
      <c r="P21" s="3353"/>
      <c r="Q21" s="1262" t="str">
        <f>B21</f>
        <v>基础设施水平</v>
      </c>
      <c r="R21" s="666" t="s">
        <v>14</v>
      </c>
      <c r="S21" s="667">
        <f>F21</f>
        <v>100</v>
      </c>
      <c r="T21" s="666" t="s">
        <v>14</v>
      </c>
      <c r="U21" s="667">
        <f>H21</f>
        <v>100</v>
      </c>
      <c r="V21" s="666" t="s">
        <v>14</v>
      </c>
      <c r="W21" s="667">
        <f>J21</f>
        <v>100</v>
      </c>
      <c r="X21" s="1264"/>
      <c r="Y21" s="3355"/>
      <c r="Z21" s="1263" t="str">
        <f>Q21</f>
        <v>基础设施水平</v>
      </c>
      <c r="AA21" s="1263">
        <f t="shared" ref="AA21" si="8">D21/F21</f>
        <v>1</v>
      </c>
      <c r="AB21" s="1263">
        <f t="shared" ref="AB21" si="9">D21/H21</f>
        <v>1</v>
      </c>
      <c r="AC21" s="1811">
        <f t="shared" ref="AC21" si="10">D21/J21</f>
        <v>1</v>
      </c>
    </row>
    <row r="22" spans="1:29" ht="15">
      <c r="A22" s="366"/>
      <c r="B22" s="556"/>
      <c r="C22" s="1813"/>
      <c r="D22" s="386"/>
      <c r="E22" s="385"/>
      <c r="F22" s="386"/>
      <c r="G22" s="1757"/>
      <c r="H22" s="386"/>
      <c r="I22" s="1757"/>
      <c r="J22" s="386"/>
      <c r="K22" s="1063"/>
      <c r="L22" s="2490"/>
      <c r="M22" s="2485"/>
      <c r="N22" s="2485"/>
      <c r="O22" s="2485"/>
      <c r="P22" s="3353"/>
      <c r="Q22" s="1262"/>
      <c r="R22" s="666"/>
      <c r="S22" s="667"/>
      <c r="T22" s="666"/>
      <c r="U22" s="667"/>
      <c r="V22" s="666"/>
      <c r="W22" s="667"/>
      <c r="X22" s="1264"/>
      <c r="Y22" s="3355"/>
      <c r="Z22" s="1263"/>
      <c r="AA22" s="1263">
        <v>1</v>
      </c>
      <c r="AB22" s="1263">
        <v>1</v>
      </c>
      <c r="AC22" s="1811">
        <v>1</v>
      </c>
    </row>
    <row r="23" spans="1:29" ht="42.75">
      <c r="A23" s="366"/>
      <c r="B23" s="555" t="s">
        <v>1814</v>
      </c>
      <c r="C23" s="1812"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539"/>
      <c r="L23" s="2490"/>
      <c r="M23" s="2485"/>
      <c r="N23" s="2485"/>
      <c r="O23" s="2485"/>
      <c r="P23" s="3353"/>
      <c r="Q23" s="1262" t="str">
        <f>B23</f>
        <v>环境质量</v>
      </c>
      <c r="R23" s="666" t="s">
        <v>14</v>
      </c>
      <c r="S23" s="667">
        <f>F23</f>
        <v>100</v>
      </c>
      <c r="T23" s="666" t="s">
        <v>14</v>
      </c>
      <c r="U23" s="667">
        <f>H23</f>
        <v>100</v>
      </c>
      <c r="V23" s="666" t="s">
        <v>14</v>
      </c>
      <c r="W23" s="667">
        <f>J23</f>
        <v>100</v>
      </c>
      <c r="X23" s="1264"/>
      <c r="Y23" s="3355"/>
      <c r="Z23" s="1263" t="str">
        <f>Q23</f>
        <v>环境质量</v>
      </c>
      <c r="AA23" s="1263">
        <f t="shared" si="3"/>
        <v>1</v>
      </c>
      <c r="AB23" s="1263">
        <f t="shared" si="4"/>
        <v>1</v>
      </c>
      <c r="AC23" s="1811">
        <f t="shared" si="5"/>
        <v>1</v>
      </c>
    </row>
    <row r="24" spans="1:29" ht="15">
      <c r="A24" s="366"/>
      <c r="B24" s="556"/>
      <c r="C24" s="1757"/>
      <c r="D24" s="386"/>
      <c r="E24" s="1750"/>
      <c r="F24" s="386"/>
      <c r="G24" s="1751"/>
      <c r="H24" s="386"/>
      <c r="I24" s="1751"/>
      <c r="J24" s="386"/>
      <c r="K24" s="540"/>
      <c r="L24" s="2490"/>
      <c r="M24" s="2485"/>
      <c r="N24" s="2485"/>
      <c r="O24" s="2485"/>
      <c r="P24" s="3353"/>
      <c r="Q24" s="1262"/>
      <c r="R24" s="666"/>
      <c r="S24" s="667"/>
      <c r="T24" s="666"/>
      <c r="U24" s="667"/>
      <c r="V24" s="666"/>
      <c r="W24" s="667"/>
      <c r="X24" s="1264"/>
      <c r="Y24" s="3355"/>
      <c r="Z24" s="1263"/>
      <c r="AA24" s="1263">
        <v>1</v>
      </c>
      <c r="AB24" s="1263">
        <v>1</v>
      </c>
      <c r="AC24" s="1811">
        <v>1</v>
      </c>
    </row>
    <row r="25" spans="1:29" ht="27">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c r="L25" s="2490"/>
      <c r="M25" s="2485"/>
      <c r="N25" s="2485"/>
      <c r="O25" s="2485"/>
      <c r="P25" s="3353"/>
      <c r="Q25" s="1262" t="str">
        <f>B25</f>
        <v>毗邻道路的类型与等级</v>
      </c>
      <c r="R25" s="666" t="s">
        <v>14</v>
      </c>
      <c r="S25" s="667">
        <f>F25</f>
        <v>100</v>
      </c>
      <c r="T25" s="666" t="s">
        <v>14</v>
      </c>
      <c r="U25" s="667">
        <f>H25</f>
        <v>100</v>
      </c>
      <c r="V25" s="666" t="s">
        <v>14</v>
      </c>
      <c r="W25" s="667">
        <f>J25</f>
        <v>100</v>
      </c>
      <c r="X25" s="1264"/>
      <c r="Y25" s="3355"/>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90"/>
      <c r="M26" s="2485"/>
      <c r="N26" s="2485"/>
      <c r="O26" s="2485"/>
      <c r="P26" s="3353"/>
      <c r="Q26" s="1262"/>
      <c r="R26" s="666"/>
      <c r="S26" s="667"/>
      <c r="T26" s="666"/>
      <c r="U26" s="667"/>
      <c r="V26" s="666"/>
      <c r="W26" s="667"/>
      <c r="X26" s="1264"/>
      <c r="Y26" s="3355"/>
      <c r="Z26" s="1263"/>
      <c r="AA26" s="1263">
        <v>1</v>
      </c>
      <c r="AB26" s="1263">
        <v>1</v>
      </c>
      <c r="AC26" s="1811">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90"/>
      <c r="M27" s="2485"/>
      <c r="N27" s="2485"/>
      <c r="O27" s="2485"/>
      <c r="P27" s="3353"/>
      <c r="Q27" s="1262" t="str">
        <f t="shared" ref="Q27:Q47" si="11">B27</f>
        <v>楼层</v>
      </c>
      <c r="R27" s="666" t="s">
        <v>14</v>
      </c>
      <c r="S27" s="667">
        <f>F27</f>
        <v>100</v>
      </c>
      <c r="T27" s="666" t="s">
        <v>14</v>
      </c>
      <c r="U27" s="667">
        <f>H27</f>
        <v>100</v>
      </c>
      <c r="V27" s="666" t="s">
        <v>14</v>
      </c>
      <c r="W27" s="667">
        <f>J27</f>
        <v>100</v>
      </c>
      <c r="X27" s="1264"/>
      <c r="Y27" s="3355"/>
      <c r="Z27" s="1263" t="str">
        <f>Q27</f>
        <v>楼层</v>
      </c>
      <c r="AA27" s="1263">
        <f t="shared" si="3"/>
        <v>1</v>
      </c>
      <c r="AB27" s="1263">
        <f t="shared" si="4"/>
        <v>1</v>
      </c>
      <c r="AC27" s="1811">
        <f t="shared" si="5"/>
        <v>1</v>
      </c>
    </row>
    <row r="28" spans="1:29" s="101" customFormat="1" ht="15">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6"/>
      <c r="M28" s="2438"/>
      <c r="N28" s="2438"/>
      <c r="O28" s="2438"/>
      <c r="P28" s="3353"/>
      <c r="Q28" s="529" t="str">
        <f t="shared" si="11"/>
        <v>朝向</v>
      </c>
      <c r="R28" s="663" t="s">
        <v>14</v>
      </c>
      <c r="S28" s="664">
        <f>F28</f>
        <v>100</v>
      </c>
      <c r="T28" s="663" t="s">
        <v>14</v>
      </c>
      <c r="U28" s="664">
        <f>H28</f>
        <v>100</v>
      </c>
      <c r="V28" s="663" t="s">
        <v>14</v>
      </c>
      <c r="W28" s="664">
        <f>J28</f>
        <v>100</v>
      </c>
      <c r="X28" s="665"/>
      <c r="Y28" s="3355"/>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90"/>
      <c r="M29" s="2485"/>
      <c r="N29" s="2485"/>
      <c r="O29" s="2485"/>
      <c r="P29" s="3353"/>
      <c r="Q29" s="1262">
        <f t="shared" si="11"/>
        <v>111</v>
      </c>
      <c r="R29" s="666" t="s">
        <v>14</v>
      </c>
      <c r="S29" s="667">
        <f t="shared" ref="S29:S47" si="12">F29</f>
        <v>100</v>
      </c>
      <c r="T29" s="666" t="s">
        <v>14</v>
      </c>
      <c r="U29" s="667">
        <f t="shared" ref="U29:U47" si="13">H29</f>
        <v>100</v>
      </c>
      <c r="V29" s="666" t="s">
        <v>14</v>
      </c>
      <c r="W29" s="667">
        <f t="shared" ref="W29:W47" si="14">J29</f>
        <v>100</v>
      </c>
      <c r="X29" s="1264"/>
      <c r="Y29" s="3355"/>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90"/>
      <c r="M30" s="2485"/>
      <c r="N30" s="2485"/>
      <c r="O30" s="2485"/>
      <c r="P30" s="3353"/>
      <c r="Q30" s="1262">
        <f t="shared" si="11"/>
        <v>111</v>
      </c>
      <c r="R30" s="666" t="s">
        <v>14</v>
      </c>
      <c r="S30" s="667">
        <f t="shared" si="12"/>
        <v>100</v>
      </c>
      <c r="T30" s="666" t="s">
        <v>14</v>
      </c>
      <c r="U30" s="667">
        <f t="shared" si="13"/>
        <v>100</v>
      </c>
      <c r="V30" s="666" t="s">
        <v>14</v>
      </c>
      <c r="W30" s="667">
        <f t="shared" si="14"/>
        <v>100</v>
      </c>
      <c r="X30" s="1264"/>
      <c r="Y30" s="3355"/>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90"/>
      <c r="M31" s="2485"/>
      <c r="N31" s="2485"/>
      <c r="O31" s="2485"/>
      <c r="P31" s="3353"/>
      <c r="Q31" s="1262">
        <f t="shared" si="11"/>
        <v>111</v>
      </c>
      <c r="R31" s="666" t="s">
        <v>14</v>
      </c>
      <c r="S31" s="667">
        <f t="shared" si="12"/>
        <v>100</v>
      </c>
      <c r="T31" s="666" t="s">
        <v>14</v>
      </c>
      <c r="U31" s="667">
        <f t="shared" si="13"/>
        <v>100</v>
      </c>
      <c r="V31" s="666" t="s">
        <v>14</v>
      </c>
      <c r="W31" s="667">
        <f t="shared" si="14"/>
        <v>100</v>
      </c>
      <c r="X31" s="1264"/>
      <c r="Y31" s="3355"/>
      <c r="Z31" s="1263">
        <f t="shared" si="15"/>
        <v>111</v>
      </c>
      <c r="AA31" s="1263">
        <f t="shared" si="3"/>
        <v>1</v>
      </c>
      <c r="AB31" s="1263">
        <f t="shared" si="4"/>
        <v>1</v>
      </c>
      <c r="AC31" s="1811">
        <f t="shared" si="5"/>
        <v>1</v>
      </c>
    </row>
    <row r="32" spans="1:29" ht="15.75"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90"/>
      <c r="M32" s="2485"/>
      <c r="N32" s="2485"/>
      <c r="O32" s="2485"/>
      <c r="P32" s="3353"/>
      <c r="Q32" s="1262">
        <f t="shared" si="11"/>
        <v>111</v>
      </c>
      <c r="R32" s="666" t="s">
        <v>14</v>
      </c>
      <c r="S32" s="667">
        <f t="shared" si="12"/>
        <v>100</v>
      </c>
      <c r="T32" s="666" t="s">
        <v>14</v>
      </c>
      <c r="U32" s="667">
        <f t="shared" si="13"/>
        <v>100</v>
      </c>
      <c r="V32" s="666" t="s">
        <v>14</v>
      </c>
      <c r="W32" s="667">
        <f t="shared" si="14"/>
        <v>100</v>
      </c>
      <c r="X32" s="1264"/>
      <c r="Y32" s="3355"/>
      <c r="Z32" s="1263">
        <f t="shared" si="15"/>
        <v>111</v>
      </c>
      <c r="AA32" s="1263">
        <f t="shared" si="3"/>
        <v>1</v>
      </c>
      <c r="AB32" s="1263">
        <f t="shared" si="4"/>
        <v>1</v>
      </c>
      <c r="AC32" s="1811">
        <f t="shared" si="5"/>
        <v>1</v>
      </c>
    </row>
    <row r="33" spans="1:29" ht="15">
      <c r="A33" s="378" t="s">
        <v>1694</v>
      </c>
      <c r="B33" s="60" t="s">
        <v>1817</v>
      </c>
      <c r="C33" s="1763"/>
      <c r="D33" s="404">
        <v>100</v>
      </c>
      <c r="E33" s="1763"/>
      <c r="F33" s="399">
        <f>SUMIF(101:101,E33,102:102)-SUMIF(101:101,C33,102:102)+100</f>
        <v>100</v>
      </c>
      <c r="G33" s="1763"/>
      <c r="H33" s="373">
        <f>SUMIF(101:101,G33,102:102)-SUMIF(101:101,C33,102:102)+100</f>
        <v>100</v>
      </c>
      <c r="I33" s="1763"/>
      <c r="J33" s="404">
        <f>SUMIF(101:101,I33,102:102)-SUMIF(101:101,C33,102:102)+100</f>
        <v>100</v>
      </c>
      <c r="K33" s="537"/>
      <c r="L33" s="2490"/>
      <c r="M33" s="2485"/>
      <c r="N33" s="2485"/>
      <c r="O33" s="2485"/>
      <c r="P33" s="3356" t="s">
        <v>1696</v>
      </c>
      <c r="Q33" s="1262" t="str">
        <f t="shared" si="11"/>
        <v>建筑类型</v>
      </c>
      <c r="R33" s="666" t="s">
        <v>14</v>
      </c>
      <c r="S33" s="667">
        <f t="shared" si="12"/>
        <v>100</v>
      </c>
      <c r="T33" s="666" t="s">
        <v>14</v>
      </c>
      <c r="U33" s="667">
        <f t="shared" si="13"/>
        <v>100</v>
      </c>
      <c r="V33" s="666" t="s">
        <v>14</v>
      </c>
      <c r="W33" s="667">
        <f t="shared" si="14"/>
        <v>100</v>
      </c>
      <c r="X33" s="1264"/>
      <c r="Y33" s="3359" t="s">
        <v>1696</v>
      </c>
      <c r="Z33" s="1263" t="str">
        <f t="shared" si="15"/>
        <v>建筑类型</v>
      </c>
      <c r="AA33" s="1263">
        <f t="shared" si="3"/>
        <v>1</v>
      </c>
      <c r="AB33" s="1263">
        <f t="shared" si="4"/>
        <v>1</v>
      </c>
      <c r="AC33" s="1811">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9"/>
      <c r="M34" s="2491"/>
      <c r="N34" s="2491"/>
      <c r="O34" s="2491"/>
      <c r="P34" s="3357"/>
      <c r="Q34" s="530" t="str">
        <f t="shared" si="11"/>
        <v>项目建筑规模</v>
      </c>
      <c r="R34" s="668" t="s">
        <v>14</v>
      </c>
      <c r="S34" s="669" t="e">
        <f t="shared" si="12"/>
        <v>#N/A</v>
      </c>
      <c r="T34" s="668" t="s">
        <v>14</v>
      </c>
      <c r="U34" s="669" t="e">
        <f t="shared" si="13"/>
        <v>#N/A</v>
      </c>
      <c r="V34" s="668" t="s">
        <v>14</v>
      </c>
      <c r="W34" s="669" t="e">
        <f t="shared" si="14"/>
        <v>#N/A</v>
      </c>
      <c r="X34" s="670"/>
      <c r="Y34" s="3359"/>
      <c r="Z34" s="671" t="str">
        <f t="shared" si="15"/>
        <v>项目建筑规模</v>
      </c>
      <c r="AA34" s="1263" t="e">
        <f t="shared" si="3"/>
        <v>#N/A</v>
      </c>
      <c r="AB34" s="1263" t="e">
        <f t="shared" si="4"/>
        <v>#N/A</v>
      </c>
      <c r="AC34" s="1811"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90"/>
      <c r="M35" s="2485"/>
      <c r="N35" s="2485"/>
      <c r="O35" s="2485"/>
      <c r="P35" s="3357"/>
      <c r="Q35" s="1262" t="str">
        <f t="shared" si="11"/>
        <v>建筑结构</v>
      </c>
      <c r="R35" s="666" t="s">
        <v>14</v>
      </c>
      <c r="S35" s="667">
        <f t="shared" si="12"/>
        <v>100</v>
      </c>
      <c r="T35" s="666" t="s">
        <v>14</v>
      </c>
      <c r="U35" s="667">
        <f t="shared" si="13"/>
        <v>100</v>
      </c>
      <c r="V35" s="666" t="s">
        <v>14</v>
      </c>
      <c r="W35" s="667">
        <f t="shared" si="14"/>
        <v>100</v>
      </c>
      <c r="X35" s="1264"/>
      <c r="Y35" s="3359"/>
      <c r="Z35" s="1263" t="str">
        <f t="shared" si="15"/>
        <v>建筑结构</v>
      </c>
      <c r="AA35" s="1263">
        <f t="shared" si="3"/>
        <v>1</v>
      </c>
      <c r="AB35" s="1263">
        <f t="shared" si="4"/>
        <v>1</v>
      </c>
      <c r="AC35" s="1811">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90"/>
      <c r="M36" s="2485"/>
      <c r="N36" s="2485"/>
      <c r="O36" s="2485"/>
      <c r="P36" s="3357"/>
      <c r="Q36" s="1262" t="str">
        <f t="shared" si="11"/>
        <v>公共部分装修</v>
      </c>
      <c r="R36" s="666" t="s">
        <v>14</v>
      </c>
      <c r="S36" s="667">
        <f t="shared" si="12"/>
        <v>100</v>
      </c>
      <c r="T36" s="666" t="s">
        <v>14</v>
      </c>
      <c r="U36" s="667">
        <f t="shared" si="13"/>
        <v>100</v>
      </c>
      <c r="V36" s="666" t="s">
        <v>14</v>
      </c>
      <c r="W36" s="667">
        <f t="shared" si="14"/>
        <v>100</v>
      </c>
      <c r="X36" s="1264"/>
      <c r="Y36" s="3359"/>
      <c r="Z36" s="1263" t="str">
        <f t="shared" si="15"/>
        <v>公共部分装修</v>
      </c>
      <c r="AA36" s="1263">
        <f t="shared" si="3"/>
        <v>1</v>
      </c>
      <c r="AB36" s="1263">
        <f t="shared" si="4"/>
        <v>1</v>
      </c>
      <c r="AC36" s="1811">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90"/>
      <c r="M37" s="2485"/>
      <c r="N37" s="2485"/>
      <c r="O37" s="2485"/>
      <c r="P37" s="3357"/>
      <c r="Q37" s="1262" t="str">
        <f t="shared" si="11"/>
        <v>成新度</v>
      </c>
      <c r="R37" s="666" t="s">
        <v>14</v>
      </c>
      <c r="S37" s="667" t="e">
        <f t="shared" si="12"/>
        <v>#N/A</v>
      </c>
      <c r="T37" s="666" t="s">
        <v>14</v>
      </c>
      <c r="U37" s="667" t="e">
        <f t="shared" si="13"/>
        <v>#N/A</v>
      </c>
      <c r="V37" s="666" t="s">
        <v>14</v>
      </c>
      <c r="W37" s="667" t="e">
        <f t="shared" si="14"/>
        <v>#N/A</v>
      </c>
      <c r="X37" s="1264"/>
      <c r="Y37" s="3359"/>
      <c r="Z37" s="1263" t="str">
        <f t="shared" si="15"/>
        <v>成新度</v>
      </c>
      <c r="AA37" s="1263" t="e">
        <f t="shared" si="3"/>
        <v>#N/A</v>
      </c>
      <c r="AB37" s="1263" t="e">
        <f t="shared" si="4"/>
        <v>#N/A</v>
      </c>
      <c r="AC37" s="1811"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6"/>
      <c r="M38" s="2438"/>
      <c r="N38" s="2438"/>
      <c r="O38" s="2438"/>
      <c r="P38" s="3357"/>
      <c r="Q38" s="529" t="str">
        <f t="shared" si="11"/>
        <v>写字楼等级</v>
      </c>
      <c r="R38" s="663" t="s">
        <v>14</v>
      </c>
      <c r="S38" s="664">
        <f t="shared" si="12"/>
        <v>100</v>
      </c>
      <c r="T38" s="663" t="s">
        <v>14</v>
      </c>
      <c r="U38" s="664">
        <f t="shared" si="13"/>
        <v>100</v>
      </c>
      <c r="V38" s="663" t="s">
        <v>14</v>
      </c>
      <c r="W38" s="664">
        <f t="shared" si="14"/>
        <v>100</v>
      </c>
      <c r="X38" s="665"/>
      <c r="Y38" s="3359"/>
      <c r="Z38" s="50" t="str">
        <f t="shared" si="15"/>
        <v>写字楼等级</v>
      </c>
      <c r="AA38" s="50">
        <f t="shared" si="3"/>
        <v>1</v>
      </c>
      <c r="AB38" s="50">
        <f t="shared" si="4"/>
        <v>1</v>
      </c>
      <c r="AC38" s="801">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90"/>
      <c r="M39" s="2485"/>
      <c r="N39" s="2485"/>
      <c r="O39" s="2485"/>
      <c r="P39" s="3357" t="s">
        <v>1696</v>
      </c>
      <c r="Q39" s="1262" t="str">
        <f t="shared" si="11"/>
        <v>物业管理</v>
      </c>
      <c r="R39" s="666" t="s">
        <v>14</v>
      </c>
      <c r="S39" s="667">
        <f t="shared" si="12"/>
        <v>100</v>
      </c>
      <c r="T39" s="666" t="s">
        <v>14</v>
      </c>
      <c r="U39" s="667">
        <f t="shared" si="13"/>
        <v>100</v>
      </c>
      <c r="V39" s="666" t="s">
        <v>14</v>
      </c>
      <c r="W39" s="667">
        <f t="shared" si="14"/>
        <v>100</v>
      </c>
      <c r="X39" s="1264"/>
      <c r="Y39" s="3359" t="s">
        <v>1696</v>
      </c>
      <c r="Z39" s="1263" t="str">
        <f t="shared" si="15"/>
        <v>物业管理</v>
      </c>
      <c r="AA39" s="1263">
        <f t="shared" si="3"/>
        <v>1</v>
      </c>
      <c r="AB39" s="1263">
        <f t="shared" si="4"/>
        <v>1</v>
      </c>
      <c r="AC39" s="1811">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90"/>
      <c r="M40" s="2485"/>
      <c r="N40" s="2485"/>
      <c r="O40" s="2485"/>
      <c r="P40" s="3357"/>
      <c r="Q40" s="1262" t="str">
        <f t="shared" si="11"/>
        <v>市政基础设施</v>
      </c>
      <c r="R40" s="666" t="s">
        <v>14</v>
      </c>
      <c r="S40" s="667">
        <f t="shared" si="12"/>
        <v>100</v>
      </c>
      <c r="T40" s="666" t="s">
        <v>14</v>
      </c>
      <c r="U40" s="667">
        <f t="shared" si="13"/>
        <v>100</v>
      </c>
      <c r="V40" s="666" t="s">
        <v>14</v>
      </c>
      <c r="W40" s="667">
        <f t="shared" si="14"/>
        <v>100</v>
      </c>
      <c r="X40" s="1264"/>
      <c r="Y40" s="3359"/>
      <c r="Z40" s="1263" t="str">
        <f t="shared" si="15"/>
        <v>市政基础设施</v>
      </c>
      <c r="AA40" s="1263">
        <f t="shared" si="3"/>
        <v>1</v>
      </c>
      <c r="AB40" s="1263">
        <f t="shared" si="4"/>
        <v>1</v>
      </c>
      <c r="AC40" s="1811">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90"/>
      <c r="M41" s="2485"/>
      <c r="N41" s="2485"/>
      <c r="O41" s="2485"/>
      <c r="P41" s="3357"/>
      <c r="Q41" s="1262" t="str">
        <f t="shared" si="11"/>
        <v>层高</v>
      </c>
      <c r="R41" s="666" t="s">
        <v>14</v>
      </c>
      <c r="S41" s="667">
        <f t="shared" si="12"/>
        <v>100</v>
      </c>
      <c r="T41" s="666" t="s">
        <v>14</v>
      </c>
      <c r="U41" s="667">
        <f t="shared" si="13"/>
        <v>100</v>
      </c>
      <c r="V41" s="666" t="s">
        <v>14</v>
      </c>
      <c r="W41" s="667">
        <f t="shared" si="14"/>
        <v>100</v>
      </c>
      <c r="X41" s="1264"/>
      <c r="Y41" s="3359"/>
      <c r="Z41" s="1263" t="str">
        <f t="shared" si="15"/>
        <v>层高</v>
      </c>
      <c r="AA41" s="1263">
        <f t="shared" si="3"/>
        <v>1</v>
      </c>
      <c r="AB41" s="1263">
        <f t="shared" si="4"/>
        <v>1</v>
      </c>
      <c r="AC41" s="1811">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9"/>
      <c r="M42" s="2491"/>
      <c r="N42" s="2491"/>
      <c r="O42" s="2491"/>
      <c r="P42" s="3357"/>
      <c r="Q42" s="530" t="str">
        <f t="shared" si="11"/>
        <v>单套建筑面积</v>
      </c>
      <c r="R42" s="668" t="s">
        <v>14</v>
      </c>
      <c r="S42" s="669">
        <f t="shared" si="12"/>
        <v>100</v>
      </c>
      <c r="T42" s="668" t="s">
        <v>14</v>
      </c>
      <c r="U42" s="669">
        <f t="shared" si="13"/>
        <v>100</v>
      </c>
      <c r="V42" s="668" t="s">
        <v>14</v>
      </c>
      <c r="W42" s="669">
        <f t="shared" si="14"/>
        <v>100</v>
      </c>
      <c r="X42" s="670"/>
      <c r="Y42" s="3359"/>
      <c r="Z42" s="671" t="str">
        <f t="shared" si="15"/>
        <v>单套建筑面积</v>
      </c>
      <c r="AA42" s="1263">
        <f t="shared" si="3"/>
        <v>1</v>
      </c>
      <c r="AB42" s="1263">
        <f t="shared" si="4"/>
        <v>1</v>
      </c>
      <c r="AC42" s="1811">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90"/>
      <c r="M43" s="2485"/>
      <c r="N43" s="2485"/>
      <c r="O43" s="2485"/>
      <c r="P43" s="3357"/>
      <c r="Q43" s="1262" t="str">
        <f t="shared" si="11"/>
        <v>内部装修</v>
      </c>
      <c r="R43" s="666" t="s">
        <v>14</v>
      </c>
      <c r="S43" s="667">
        <f t="shared" si="12"/>
        <v>100</v>
      </c>
      <c r="T43" s="666" t="s">
        <v>14</v>
      </c>
      <c r="U43" s="667">
        <f t="shared" si="13"/>
        <v>100</v>
      </c>
      <c r="V43" s="666" t="s">
        <v>14</v>
      </c>
      <c r="W43" s="667">
        <f t="shared" si="14"/>
        <v>100</v>
      </c>
      <c r="X43" s="1264"/>
      <c r="Y43" s="3359"/>
      <c r="Z43" s="1263" t="str">
        <f t="shared" si="15"/>
        <v>内部装修</v>
      </c>
      <c r="AA43" s="1263">
        <f t="shared" si="3"/>
        <v>1</v>
      </c>
      <c r="AB43" s="1263">
        <f t="shared" si="4"/>
        <v>1</v>
      </c>
      <c r="AC43" s="1811">
        <f t="shared" si="5"/>
        <v>1</v>
      </c>
    </row>
    <row r="44" spans="1:29" ht="15">
      <c r="A44" s="408"/>
      <c r="B44" s="363" t="s">
        <v>1707</v>
      </c>
      <c r="C44" s="398"/>
      <c r="D44" s="373">
        <v>100</v>
      </c>
      <c r="E44" s="1759"/>
      <c r="F44" s="399">
        <f>SUMIF(125:125,E44,126:126)-SUMIF(125:125,C44,126:126)+100</f>
        <v>100</v>
      </c>
      <c r="G44" s="1759"/>
      <c r="H44" s="373">
        <f>SUMIF(125:125,G44,126:126)-SUMIF(125:125,C44,126:126)+100</f>
        <v>100</v>
      </c>
      <c r="I44" s="1759"/>
      <c r="J44" s="373">
        <f>SUMIF(125:125,I44,126:126)-SUMIF(125:125,C44,126:126)+100</f>
        <v>100</v>
      </c>
      <c r="K44" s="537"/>
      <c r="L44" s="2490"/>
      <c r="M44" s="2485"/>
      <c r="N44" s="2485"/>
      <c r="O44" s="2485"/>
      <c r="P44" s="3357"/>
      <c r="Q44" s="1262" t="str">
        <f t="shared" si="11"/>
        <v>内部装修维护情况</v>
      </c>
      <c r="R44" s="666" t="s">
        <v>14</v>
      </c>
      <c r="S44" s="667">
        <f t="shared" si="12"/>
        <v>100</v>
      </c>
      <c r="T44" s="666" t="s">
        <v>14</v>
      </c>
      <c r="U44" s="667">
        <f t="shared" si="13"/>
        <v>100</v>
      </c>
      <c r="V44" s="666" t="s">
        <v>14</v>
      </c>
      <c r="W44" s="667">
        <f t="shared" si="14"/>
        <v>100</v>
      </c>
      <c r="X44" s="1264"/>
      <c r="Y44" s="3359"/>
      <c r="Z44" s="1263" t="str">
        <f t="shared" si="15"/>
        <v>内部装修维护情况</v>
      </c>
      <c r="AA44" s="1263">
        <f t="shared" si="3"/>
        <v>1</v>
      </c>
      <c r="AB44" s="1263">
        <f t="shared" si="4"/>
        <v>1</v>
      </c>
      <c r="AC44" s="1811">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6"/>
      <c r="M45" s="2438"/>
      <c r="N45" s="2438"/>
      <c r="O45" s="2438"/>
      <c r="P45" s="3357"/>
      <c r="Q45" s="529">
        <f t="shared" si="11"/>
        <v>111</v>
      </c>
      <c r="R45" s="663" t="s">
        <v>14</v>
      </c>
      <c r="S45" s="664">
        <f t="shared" si="12"/>
        <v>100</v>
      </c>
      <c r="T45" s="663" t="s">
        <v>14</v>
      </c>
      <c r="U45" s="664">
        <f t="shared" si="13"/>
        <v>100</v>
      </c>
      <c r="V45" s="663" t="s">
        <v>14</v>
      </c>
      <c r="W45" s="664">
        <f t="shared" si="14"/>
        <v>100</v>
      </c>
      <c r="X45" s="665"/>
      <c r="Y45" s="3359"/>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0"/>
      <c r="M46" s="2485"/>
      <c r="N46" s="2485"/>
      <c r="O46" s="2485"/>
      <c r="P46" s="3357"/>
      <c r="Q46" s="1262">
        <f t="shared" si="11"/>
        <v>111</v>
      </c>
      <c r="R46" s="666" t="s">
        <v>14</v>
      </c>
      <c r="S46" s="667">
        <f t="shared" si="12"/>
        <v>100</v>
      </c>
      <c r="T46" s="666" t="s">
        <v>14</v>
      </c>
      <c r="U46" s="667">
        <f t="shared" si="13"/>
        <v>100</v>
      </c>
      <c r="V46" s="666" t="s">
        <v>14</v>
      </c>
      <c r="W46" s="667">
        <f t="shared" si="14"/>
        <v>100</v>
      </c>
      <c r="X46" s="1264"/>
      <c r="Y46" s="3359"/>
      <c r="Z46" s="1263">
        <f t="shared" si="15"/>
        <v>111</v>
      </c>
      <c r="AA46" s="1263">
        <f t="shared" si="3"/>
        <v>1</v>
      </c>
      <c r="AB46" s="1263">
        <f t="shared" si="4"/>
        <v>1</v>
      </c>
      <c r="AC46" s="1811">
        <f t="shared" si="5"/>
        <v>1</v>
      </c>
    </row>
    <row r="47" spans="1:29" ht="15.75"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0"/>
      <c r="M47" s="2485"/>
      <c r="N47" s="2485"/>
      <c r="O47" s="2485"/>
      <c r="P47" s="3358"/>
      <c r="Q47" s="1262">
        <f t="shared" si="11"/>
        <v>111</v>
      </c>
      <c r="R47" s="666" t="s">
        <v>14</v>
      </c>
      <c r="S47" s="667">
        <f t="shared" si="12"/>
        <v>100</v>
      </c>
      <c r="T47" s="666" t="s">
        <v>14</v>
      </c>
      <c r="U47" s="667">
        <f t="shared" si="13"/>
        <v>100</v>
      </c>
      <c r="V47" s="666" t="s">
        <v>14</v>
      </c>
      <c r="W47" s="667">
        <f t="shared" si="14"/>
        <v>100</v>
      </c>
      <c r="X47" s="1264"/>
      <c r="Y47" s="3360"/>
      <c r="Z47" s="1263">
        <f t="shared" si="15"/>
        <v>111</v>
      </c>
      <c r="AA47" s="1263">
        <f t="shared" si="3"/>
        <v>1</v>
      </c>
      <c r="AB47" s="1263">
        <f t="shared" si="4"/>
        <v>1</v>
      </c>
      <c r="AC47" s="1811">
        <f t="shared" si="5"/>
        <v>1</v>
      </c>
    </row>
    <row r="48" spans="1:29" ht="15">
      <c r="A48" s="415" t="s">
        <v>1708</v>
      </c>
      <c r="B48" s="416"/>
      <c r="C48" s="1080" t="s">
        <v>0</v>
      </c>
      <c r="D48" s="417"/>
      <c r="E48" s="418"/>
      <c r="F48" s="419"/>
      <c r="G48" s="420"/>
      <c r="H48" s="421"/>
      <c r="I48" s="418"/>
      <c r="J48" s="421"/>
      <c r="K48" s="673"/>
      <c r="L48" s="2492"/>
      <c r="M48" s="2485"/>
      <c r="N48" s="2485"/>
      <c r="O48" s="2485"/>
      <c r="P48" s="3361" t="str">
        <f>A48</f>
        <v>成交单价（元/平方米）</v>
      </c>
      <c r="Q48" s="3347"/>
      <c r="R48" s="3348">
        <f>E48</f>
        <v>0</v>
      </c>
      <c r="S48" s="3348"/>
      <c r="T48" s="3348">
        <f>G48</f>
        <v>0</v>
      </c>
      <c r="U48" s="3348"/>
      <c r="V48" s="3348">
        <f>I48</f>
        <v>0</v>
      </c>
      <c r="W48" s="3348"/>
      <c r="X48" s="384"/>
      <c r="Y48" s="672"/>
      <c r="Z48" s="384"/>
      <c r="AA48" s="384"/>
      <c r="AB48" s="384"/>
      <c r="AC48" s="554"/>
    </row>
    <row r="49" spans="1:29" ht="15.75" thickBot="1">
      <c r="A49" s="422" t="s">
        <v>1793</v>
      </c>
      <c r="B49" s="423"/>
      <c r="C49" s="1081" t="e">
        <f>R50</f>
        <v>#DIV/0!</v>
      </c>
      <c r="D49" s="2140" t="s">
        <v>2138</v>
      </c>
      <c r="E49" s="1082" t="e">
        <f>R49</f>
        <v>#DIV/0!</v>
      </c>
      <c r="F49" s="2141"/>
      <c r="G49" s="1081" t="e">
        <f>T49</f>
        <v>#DIV/0!</v>
      </c>
      <c r="H49" s="2141"/>
      <c r="I49" s="1082" t="e">
        <f>V49</f>
        <v>#DIV/0!</v>
      </c>
      <c r="J49" s="2141"/>
      <c r="K49" s="2143">
        <f>F49+H49+J49</f>
        <v>0</v>
      </c>
      <c r="L49" s="2492"/>
      <c r="M49" s="2485"/>
      <c r="N49" s="2485"/>
      <c r="O49" s="2485"/>
      <c r="P49" s="3361" t="str">
        <f>A49</f>
        <v>比较价值（元/平方米）</v>
      </c>
      <c r="Q49" s="3347"/>
      <c r="R49" s="3348" t="e">
        <f>IF(F1="售价",ROUND(PRODUCT(R48,AA7:AA47),0),ROUND(PRODUCT(R48,AA7:AA47),1))</f>
        <v>#DIV/0!</v>
      </c>
      <c r="S49" s="3348"/>
      <c r="T49" s="3348" t="e">
        <f>IF(F1="售价",ROUND(PRODUCT(T48,AB7:AB47),0),ROUND(PRODUCT(T48,AB7:AB47),1))</f>
        <v>#DIV/0!</v>
      </c>
      <c r="U49" s="3348"/>
      <c r="V49" s="3348" t="e">
        <f>IF(F1="售价",ROUND(PRODUCT(V48,AC7:AC47),0),ROUND(PRODUCT(V48,AC7:AC47),1))</f>
        <v>#DIV/0!</v>
      </c>
      <c r="W49" s="3348"/>
      <c r="X49" s="384"/>
      <c r="Y49" s="384"/>
      <c r="Z49" s="384"/>
      <c r="AA49" s="384"/>
      <c r="AB49" s="384"/>
      <c r="AC49" s="554"/>
    </row>
    <row r="50" spans="1:29" ht="15.75" thickBot="1">
      <c r="A50" s="426" t="s">
        <v>1794</v>
      </c>
      <c r="B50" s="427"/>
      <c r="C50" s="350" t="e">
        <f>R50</f>
        <v>#DIV/0!</v>
      </c>
      <c r="D50" s="350"/>
      <c r="E50" s="350"/>
      <c r="F50" s="350"/>
      <c r="G50" s="350"/>
      <c r="H50" s="350"/>
      <c r="I50" s="350"/>
      <c r="J50" s="428"/>
      <c r="K50" s="674"/>
      <c r="L50" s="2492"/>
      <c r="M50" s="2485"/>
      <c r="N50" s="2485"/>
      <c r="O50" s="2485"/>
      <c r="P50" s="3415" t="str">
        <f>A50</f>
        <v>估价对象XX用房的比较价值（楼面单价，元/平方米）</v>
      </c>
      <c r="Q50" s="3416"/>
      <c r="R50" s="3417" t="e">
        <f>IF(F1="售价",ROUND(IF(D49="简单平均",AVERAGE(R49:V49),R49*F49+T49*H49+V49*J49),0),ROUND(IF(D49="简单平均",AVERAGE(R49:V49),R49*F49+T49*H49+V49*J49),1))</f>
        <v>#DIV/0!</v>
      </c>
      <c r="S50" s="3417"/>
      <c r="T50" s="3417"/>
      <c r="U50" s="3417"/>
      <c r="V50" s="3417"/>
      <c r="W50" s="3417"/>
      <c r="X50" s="1797"/>
      <c r="Y50" s="1797"/>
      <c r="Z50" s="1797"/>
      <c r="AA50" s="1797"/>
      <c r="AB50" s="1797"/>
      <c r="AC50" s="1798"/>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6" customFormat="1" ht="13.5" customHeight="1">
      <c r="A55" s="2495"/>
      <c r="B55" s="2495"/>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6"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7" t="s">
        <v>1798</v>
      </c>
      <c r="B58" s="384"/>
      <c r="C58" s="658"/>
      <c r="D58" s="658"/>
      <c r="E58" s="658"/>
      <c r="F58" s="659"/>
      <c r="G58" s="659"/>
      <c r="H58" s="658"/>
      <c r="I58" s="658"/>
      <c r="J58" s="658"/>
      <c r="K58" s="660"/>
      <c r="L58" s="887"/>
      <c r="M58" s="885"/>
      <c r="N58" s="2535"/>
      <c r="O58" s="2535"/>
      <c r="P58" s="2524"/>
      <c r="Q58" s="2506"/>
      <c r="R58" s="2485"/>
      <c r="S58" s="2485"/>
      <c r="T58" s="2485"/>
      <c r="U58" s="2485"/>
      <c r="V58" s="2485"/>
      <c r="W58" s="2485"/>
      <c r="X58" s="2485"/>
      <c r="Y58" s="2485"/>
      <c r="Z58" s="2485"/>
      <c r="AA58" s="2485"/>
      <c r="AB58" s="2485"/>
      <c r="AC58" s="2485"/>
    </row>
    <row r="59" spans="1:29" s="441" customFormat="1" ht="15">
      <c r="A59" s="439" t="s">
        <v>1679</v>
      </c>
      <c r="B59" s="440"/>
      <c r="C59" s="1102" t="str">
        <f>YEAR(C7)&amp;"-"&amp;MONTH(C7)</f>
        <v>2024-10</v>
      </c>
      <c r="D59" s="1103">
        <f>EDATE(C59,-1)</f>
        <v>45536</v>
      </c>
      <c r="E59" s="1103">
        <f>EDATE(D59,-1)</f>
        <v>45505</v>
      </c>
      <c r="F59" s="1103">
        <f t="shared" ref="F59:O59" si="16">EDATE(E59,-1)</f>
        <v>45474</v>
      </c>
      <c r="G59" s="1103">
        <f t="shared" si="16"/>
        <v>45444</v>
      </c>
      <c r="H59" s="1103">
        <f t="shared" si="16"/>
        <v>45413</v>
      </c>
      <c r="I59" s="1103">
        <f t="shared" si="16"/>
        <v>45383</v>
      </c>
      <c r="J59" s="1103">
        <f t="shared" si="16"/>
        <v>45352</v>
      </c>
      <c r="K59" s="1103">
        <f t="shared" si="16"/>
        <v>45323</v>
      </c>
      <c r="L59" s="1103">
        <f t="shared" si="16"/>
        <v>45292</v>
      </c>
      <c r="M59" s="1103">
        <f t="shared" si="16"/>
        <v>45261</v>
      </c>
      <c r="N59" s="1103">
        <f t="shared" si="16"/>
        <v>45231</v>
      </c>
      <c r="O59" s="1103">
        <f t="shared" si="16"/>
        <v>45200</v>
      </c>
      <c r="P59" s="2525"/>
      <c r="Q59" s="2508"/>
      <c r="R59" s="2508"/>
      <c r="S59" s="2508"/>
      <c r="T59" s="2508"/>
      <c r="U59" s="2508"/>
      <c r="V59" s="2508"/>
      <c r="W59" s="2508"/>
      <c r="X59" s="2508"/>
      <c r="Y59" s="2508"/>
      <c r="Z59" s="2508"/>
      <c r="AA59" s="2508"/>
      <c r="AB59" s="2508"/>
      <c r="AC59" s="2508"/>
    </row>
    <row r="60" spans="1:29" s="101" customFormat="1" ht="15">
      <c r="A60" s="442"/>
      <c r="B60" s="443"/>
      <c r="C60" s="1101">
        <v>100</v>
      </c>
      <c r="D60" s="445"/>
      <c r="E60" s="445"/>
      <c r="F60" s="445"/>
      <c r="G60" s="445"/>
      <c r="H60" s="445"/>
      <c r="I60" s="445"/>
      <c r="J60" s="445"/>
      <c r="K60" s="445"/>
      <c r="L60" s="445"/>
      <c r="M60" s="446"/>
      <c r="N60" s="445"/>
      <c r="O60" s="446"/>
      <c r="P60" s="2526"/>
      <c r="Q60" s="2438"/>
      <c r="R60" s="2438"/>
      <c r="S60" s="2438"/>
      <c r="T60" s="2438"/>
      <c r="U60" s="2438"/>
      <c r="V60" s="2438"/>
      <c r="W60" s="2438"/>
      <c r="X60" s="2438"/>
      <c r="Y60" s="2438"/>
      <c r="Z60" s="2438"/>
      <c r="AA60" s="2438"/>
      <c r="AB60" s="2438"/>
      <c r="AC60" s="2438"/>
    </row>
    <row r="61" spans="1:29" s="101" customFormat="1" ht="15.75" thickBot="1">
      <c r="A61" s="448" t="s">
        <v>1716</v>
      </c>
      <c r="B61" s="449"/>
      <c r="C61" s="450"/>
      <c r="D61" s="451"/>
      <c r="E61" s="451"/>
      <c r="F61" s="451"/>
      <c r="G61" s="451"/>
      <c r="H61" s="451"/>
      <c r="I61" s="451"/>
      <c r="J61" s="451"/>
      <c r="K61" s="451"/>
      <c r="L61" s="451"/>
      <c r="M61" s="452"/>
      <c r="N61" s="451"/>
      <c r="O61" s="452"/>
      <c r="P61" s="2526"/>
      <c r="Q61" s="2506"/>
      <c r="R61" s="2438"/>
      <c r="S61" s="2438"/>
      <c r="T61" s="2438"/>
      <c r="U61" s="2438"/>
      <c r="V61" s="2438"/>
      <c r="W61" s="2438"/>
      <c r="X61" s="2438"/>
      <c r="Y61" s="2438"/>
      <c r="Z61" s="2438"/>
      <c r="AA61" s="2438"/>
      <c r="AB61" s="2438"/>
      <c r="AC61" s="2438"/>
    </row>
    <row r="62" spans="1:29" s="101" customFormat="1" ht="15">
      <c r="A62" s="454" t="s">
        <v>1681</v>
      </c>
      <c r="B62" s="443"/>
      <c r="C62" s="455" t="s">
        <v>1776</v>
      </c>
      <c r="D62" s="31"/>
      <c r="E62" s="31"/>
      <c r="F62" s="31"/>
      <c r="G62" s="31"/>
      <c r="H62" s="31"/>
      <c r="I62" s="31"/>
      <c r="J62" s="31"/>
      <c r="K62" s="31"/>
      <c r="L62" s="456"/>
      <c r="M62" s="457"/>
      <c r="N62" s="2518"/>
      <c r="O62" s="2518"/>
      <c r="P62" s="2527"/>
      <c r="Q62" s="2506"/>
      <c r="R62" s="2438"/>
      <c r="S62" s="2438"/>
      <c r="T62" s="2438"/>
      <c r="U62" s="2438"/>
      <c r="V62" s="2438"/>
      <c r="W62" s="2438"/>
      <c r="X62" s="2438"/>
      <c r="Y62" s="2438"/>
      <c r="Z62" s="2438"/>
      <c r="AA62" s="2438"/>
      <c r="AB62" s="2438"/>
      <c r="AC62" s="2438"/>
    </row>
    <row r="63" spans="1:29" s="101" customFormat="1" ht="15.75" thickBot="1">
      <c r="A63" s="454"/>
      <c r="B63" s="443"/>
      <c r="C63" s="444">
        <v>100</v>
      </c>
      <c r="D63" s="445"/>
      <c r="E63" s="445"/>
      <c r="F63" s="445"/>
      <c r="G63" s="445"/>
      <c r="H63" s="445"/>
      <c r="I63" s="445"/>
      <c r="J63" s="445"/>
      <c r="K63" s="445"/>
      <c r="L63" s="445"/>
      <c r="M63" s="447"/>
      <c r="N63" s="2518"/>
      <c r="O63" s="2518"/>
      <c r="P63" s="2526"/>
      <c r="Q63" s="2506"/>
      <c r="R63" s="2438"/>
      <c r="S63" s="2438"/>
      <c r="T63" s="2438"/>
      <c r="U63" s="2438"/>
      <c r="V63" s="2438"/>
      <c r="W63" s="2438"/>
      <c r="X63" s="2438"/>
      <c r="Y63" s="2438"/>
      <c r="Z63" s="2438"/>
      <c r="AA63" s="2438"/>
      <c r="AB63" s="2438"/>
      <c r="AC63" s="2438"/>
    </row>
    <row r="64" spans="1:29">
      <c r="A64" s="378" t="s">
        <v>1719</v>
      </c>
      <c r="B64" s="459" t="s">
        <v>1685</v>
      </c>
      <c r="C64" s="460">
        <f>C9</f>
        <v>0</v>
      </c>
      <c r="D64" s="461"/>
      <c r="E64" s="461"/>
      <c r="F64" s="461"/>
      <c r="G64" s="461"/>
      <c r="H64" s="461"/>
      <c r="I64" s="461"/>
      <c r="J64" s="461"/>
      <c r="K64" s="462"/>
      <c r="L64" s="463"/>
      <c r="M64" s="464"/>
      <c r="N64" s="2519"/>
      <c r="O64" s="2519"/>
      <c r="P64" s="2528"/>
      <c r="Q64" s="2506"/>
      <c r="R64" s="2485"/>
      <c r="S64" s="2485"/>
      <c r="T64" s="2485"/>
      <c r="U64" s="2485"/>
      <c r="V64" s="2485"/>
      <c r="W64" s="2485"/>
      <c r="X64" s="2485"/>
      <c r="Y64" s="2485"/>
      <c r="Z64" s="2485"/>
      <c r="AA64" s="2485"/>
      <c r="AB64" s="2485"/>
      <c r="AC64" s="2485"/>
    </row>
    <row r="65" spans="1:29" ht="15.75" thickBot="1">
      <c r="A65" s="366"/>
      <c r="B65" s="465"/>
      <c r="C65" s="466">
        <v>100</v>
      </c>
      <c r="D65" s="466"/>
      <c r="E65" s="466"/>
      <c r="F65" s="466"/>
      <c r="G65" s="466"/>
      <c r="H65" s="466"/>
      <c r="I65" s="466"/>
      <c r="J65" s="466"/>
      <c r="K65" s="466"/>
      <c r="L65" s="466"/>
      <c r="M65" s="467"/>
      <c r="N65" s="2520"/>
      <c r="O65" s="2520"/>
      <c r="P65" s="2528"/>
      <c r="Q65" s="2506"/>
      <c r="R65" s="2485"/>
      <c r="S65" s="2485"/>
      <c r="T65" s="2485"/>
      <c r="U65" s="2485"/>
      <c r="V65" s="2485"/>
      <c r="W65" s="2485"/>
      <c r="X65" s="2485"/>
      <c r="Y65" s="2485"/>
      <c r="Z65" s="2485"/>
      <c r="AA65" s="2485"/>
      <c r="AB65" s="2485"/>
      <c r="AC65" s="2485"/>
    </row>
    <row r="66" spans="1:29" ht="27.75" thickTop="1">
      <c r="A66" s="366"/>
      <c r="B66" s="468" t="s">
        <v>1688</v>
      </c>
      <c r="C66" s="512"/>
      <c r="D66" s="512"/>
      <c r="E66" s="512"/>
      <c r="F66" s="512"/>
      <c r="G66" s="512"/>
      <c r="H66" s="512"/>
      <c r="I66" s="512"/>
      <c r="J66" s="512"/>
      <c r="K66" s="513"/>
      <c r="L66" s="514"/>
      <c r="M66" s="515"/>
      <c r="N66" s="2519"/>
      <c r="O66" s="2519"/>
      <c r="P66" s="2528"/>
      <c r="Q66" s="2506"/>
      <c r="R66" s="2485"/>
      <c r="S66" s="2485"/>
      <c r="T66" s="2485"/>
      <c r="U66" s="2485"/>
      <c r="V66" s="2485"/>
      <c r="W66" s="2485"/>
      <c r="X66" s="2485"/>
      <c r="Y66" s="2485"/>
      <c r="Z66" s="2485"/>
      <c r="AA66" s="2485"/>
      <c r="AB66" s="2485"/>
      <c r="AC66" s="2485"/>
    </row>
    <row r="67" spans="1:29" ht="15.75" thickBot="1">
      <c r="A67" s="366"/>
      <c r="B67" s="473"/>
      <c r="C67" s="466"/>
      <c r="D67" s="466"/>
      <c r="E67" s="466"/>
      <c r="F67" s="466"/>
      <c r="G67" s="466"/>
      <c r="H67" s="466"/>
      <c r="I67" s="466"/>
      <c r="J67" s="466"/>
      <c r="K67" s="466"/>
      <c r="L67" s="466"/>
      <c r="M67" s="467"/>
      <c r="N67" s="2520"/>
      <c r="O67" s="2520"/>
      <c r="P67" s="2528"/>
      <c r="Q67" s="2506"/>
      <c r="R67" s="2485"/>
      <c r="S67" s="2485"/>
      <c r="T67" s="2485"/>
      <c r="U67" s="2485"/>
      <c r="V67" s="2485"/>
      <c r="W67" s="2485"/>
      <c r="X67" s="2485"/>
      <c r="Y67" s="2485"/>
      <c r="Z67" s="2485"/>
      <c r="AA67" s="2485"/>
      <c r="AB67" s="2485"/>
      <c r="AC67" s="2485"/>
    </row>
    <row r="68" spans="1:29" ht="15.7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6"/>
      <c r="B69" s="478"/>
      <c r="C69" s="479">
        <v>0</v>
      </c>
      <c r="D69" s="479">
        <v>3</v>
      </c>
      <c r="E69" s="479"/>
      <c r="F69" s="479"/>
      <c r="G69" s="479"/>
      <c r="H69" s="479"/>
      <c r="I69" s="479"/>
      <c r="J69" s="479"/>
      <c r="K69" s="480"/>
      <c r="L69" s="481"/>
      <c r="M69" s="482"/>
      <c r="N69" s="2519"/>
      <c r="O69" s="2519"/>
      <c r="P69" s="2528"/>
      <c r="Q69" s="2506"/>
      <c r="R69" s="2485"/>
      <c r="S69" s="2485"/>
      <c r="T69" s="2485"/>
      <c r="U69" s="2485"/>
      <c r="V69" s="2485"/>
      <c r="W69" s="2485"/>
      <c r="X69" s="2485"/>
      <c r="Y69" s="2485"/>
      <c r="Z69" s="2485"/>
      <c r="AA69" s="2485"/>
      <c r="AB69" s="2485"/>
      <c r="AC69" s="2485"/>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20"/>
      <c r="O70" s="2520"/>
      <c r="P70" s="2528"/>
      <c r="Q70" s="2506"/>
      <c r="R70" s="2485"/>
      <c r="S70" s="2485"/>
      <c r="T70" s="2485"/>
      <c r="U70" s="2485"/>
      <c r="V70" s="2485"/>
      <c r="W70" s="2485"/>
      <c r="X70" s="2485"/>
      <c r="Y70" s="2485"/>
      <c r="Z70" s="2485"/>
      <c r="AA70" s="2485"/>
      <c r="AB70" s="2485"/>
      <c r="AC70" s="2485"/>
    </row>
    <row r="71" spans="1:29" s="407" customFormat="1" ht="15.75" thickTop="1">
      <c r="A71" s="483"/>
      <c r="B71" s="468">
        <f>B12</f>
        <v>111</v>
      </c>
      <c r="C71" s="484"/>
      <c r="D71" s="484"/>
      <c r="E71" s="484"/>
      <c r="F71" s="484"/>
      <c r="G71" s="484"/>
      <c r="H71" s="485"/>
      <c r="I71" s="485"/>
      <c r="J71" s="485"/>
      <c r="K71" s="485"/>
      <c r="L71" s="486"/>
      <c r="M71" s="487"/>
      <c r="N71" s="2521"/>
      <c r="O71" s="2521"/>
      <c r="P71" s="2529"/>
      <c r="Q71" s="2513"/>
      <c r="R71" s="2491"/>
      <c r="S71" s="2491"/>
      <c r="T71" s="2491"/>
      <c r="U71" s="2491"/>
      <c r="V71" s="2491"/>
      <c r="W71" s="2491"/>
      <c r="X71" s="2491"/>
      <c r="Y71" s="2491"/>
      <c r="Z71" s="2491"/>
      <c r="AA71" s="2491"/>
      <c r="AB71" s="2491"/>
      <c r="AC71" s="2491"/>
    </row>
    <row r="72" spans="1:29" s="407" customFormat="1" ht="15.75" thickBot="1">
      <c r="A72" s="483"/>
      <c r="B72" s="473"/>
      <c r="C72" s="490"/>
      <c r="D72" s="466"/>
      <c r="E72" s="466"/>
      <c r="F72" s="466"/>
      <c r="G72" s="466"/>
      <c r="H72" s="466"/>
      <c r="I72" s="466"/>
      <c r="J72" s="466"/>
      <c r="K72" s="466"/>
      <c r="L72" s="466"/>
      <c r="M72" s="467"/>
      <c r="N72" s="2520"/>
      <c r="O72" s="2520"/>
      <c r="P72" s="2529"/>
      <c r="Q72" s="2513"/>
      <c r="R72" s="2491"/>
      <c r="S72" s="2491"/>
      <c r="T72" s="2491"/>
      <c r="U72" s="2491"/>
      <c r="V72" s="2491"/>
      <c r="W72" s="2491"/>
      <c r="X72" s="2491"/>
      <c r="Y72" s="2491"/>
      <c r="Z72" s="2491"/>
      <c r="AA72" s="2491"/>
      <c r="AB72" s="2491"/>
      <c r="AC72" s="2491"/>
    </row>
    <row r="73" spans="1:29" s="407" customFormat="1" ht="15.75" thickTop="1">
      <c r="A73" s="483"/>
      <c r="B73" s="468">
        <f>B13</f>
        <v>111</v>
      </c>
      <c r="C73" s="484"/>
      <c r="D73" s="484"/>
      <c r="E73" s="484"/>
      <c r="F73" s="484"/>
      <c r="G73" s="484"/>
      <c r="H73" s="485"/>
      <c r="I73" s="485"/>
      <c r="J73" s="485"/>
      <c r="K73" s="485"/>
      <c r="L73" s="486"/>
      <c r="M73" s="487"/>
      <c r="N73" s="2521"/>
      <c r="O73" s="2521"/>
      <c r="P73" s="2530"/>
      <c r="Q73" s="2515"/>
      <c r="R73" s="2491"/>
      <c r="S73" s="2491"/>
      <c r="T73" s="2491"/>
      <c r="U73" s="2491"/>
      <c r="V73" s="2491"/>
      <c r="W73" s="2491"/>
      <c r="X73" s="2491"/>
      <c r="Y73" s="2491"/>
      <c r="Z73" s="2491"/>
      <c r="AA73" s="2491"/>
      <c r="AB73" s="2491"/>
      <c r="AC73" s="2491"/>
    </row>
    <row r="74" spans="1:29" s="407" customFormat="1" ht="15.75" thickBot="1">
      <c r="A74" s="483"/>
      <c r="B74" s="473"/>
      <c r="C74" s="490"/>
      <c r="D74" s="490"/>
      <c r="E74" s="490"/>
      <c r="F74" s="490"/>
      <c r="G74" s="490"/>
      <c r="H74" s="492"/>
      <c r="I74" s="492"/>
      <c r="J74" s="492"/>
      <c r="K74" s="492"/>
      <c r="L74" s="492"/>
      <c r="M74" s="493"/>
      <c r="N74" s="2521"/>
      <c r="O74" s="2521"/>
      <c r="P74" s="2529"/>
      <c r="Q74" s="2513"/>
      <c r="R74" s="2491"/>
      <c r="S74" s="2491"/>
      <c r="T74" s="2491"/>
      <c r="U74" s="2491"/>
      <c r="V74" s="2491"/>
      <c r="W74" s="2491"/>
      <c r="X74" s="2491"/>
      <c r="Y74" s="2491"/>
      <c r="Z74" s="2491"/>
      <c r="AA74" s="2491"/>
      <c r="AB74" s="2491"/>
      <c r="AC74" s="2491"/>
    </row>
    <row r="75" spans="1:29" s="407" customFormat="1" ht="15.75" thickTop="1">
      <c r="A75" s="483"/>
      <c r="B75" s="476">
        <f>B14</f>
        <v>111</v>
      </c>
      <c r="C75" s="31"/>
      <c r="D75" s="31"/>
      <c r="E75" s="31"/>
      <c r="F75" s="31"/>
      <c r="G75" s="31"/>
      <c r="H75" s="494"/>
      <c r="I75" s="494"/>
      <c r="J75" s="494"/>
      <c r="K75" s="494"/>
      <c r="L75" s="495"/>
      <c r="M75" s="496"/>
      <c r="N75" s="2521"/>
      <c r="O75" s="2521"/>
      <c r="P75" s="2531"/>
      <c r="Q75" s="2513"/>
      <c r="R75" s="2491"/>
      <c r="S75" s="2491"/>
      <c r="T75" s="2491"/>
      <c r="U75" s="2491"/>
      <c r="V75" s="2491"/>
      <c r="W75" s="2491"/>
      <c r="X75" s="2491"/>
      <c r="Y75" s="2491"/>
      <c r="Z75" s="2491"/>
      <c r="AA75" s="2491"/>
      <c r="AB75" s="2491"/>
      <c r="AC75" s="2491"/>
    </row>
    <row r="76" spans="1:29" s="407" customFormat="1" ht="15.75" thickBot="1">
      <c r="A76" s="498"/>
      <c r="B76" s="499"/>
      <c r="C76" s="500"/>
      <c r="D76" s="500"/>
      <c r="E76" s="500"/>
      <c r="F76" s="500"/>
      <c r="G76" s="500"/>
      <c r="H76" s="501"/>
      <c r="I76" s="501"/>
      <c r="J76" s="501"/>
      <c r="K76" s="501"/>
      <c r="L76" s="501"/>
      <c r="M76" s="502"/>
      <c r="N76" s="2521"/>
      <c r="O76" s="2521"/>
      <c r="P76" s="2529"/>
      <c r="Q76" s="2513"/>
      <c r="R76" s="2491"/>
      <c r="S76" s="2491"/>
      <c r="T76" s="2491"/>
      <c r="U76" s="2491"/>
      <c r="V76" s="2491"/>
      <c r="W76" s="2491"/>
      <c r="X76" s="2491"/>
      <c r="Y76" s="2491"/>
      <c r="Z76" s="2491"/>
      <c r="AA76" s="2491"/>
      <c r="AB76" s="2491"/>
      <c r="AC76" s="2491"/>
    </row>
    <row r="77" spans="1:29">
      <c r="A77" s="378" t="s">
        <v>1690</v>
      </c>
      <c r="B77" s="459" t="s">
        <v>1821</v>
      </c>
      <c r="C77" s="503" t="s">
        <v>1721</v>
      </c>
      <c r="D77" s="503" t="s">
        <v>1722</v>
      </c>
      <c r="E77" s="503" t="s">
        <v>1723</v>
      </c>
      <c r="F77" s="503" t="s">
        <v>1724</v>
      </c>
      <c r="G77" s="503" t="s">
        <v>1725</v>
      </c>
      <c r="H77" s="460"/>
      <c r="I77" s="460"/>
      <c r="J77" s="460"/>
      <c r="K77" s="504"/>
      <c r="L77" s="505"/>
      <c r="M77" s="506"/>
      <c r="N77" s="2519"/>
      <c r="O77" s="2519"/>
      <c r="P77" s="2532"/>
      <c r="Q77" s="2506"/>
      <c r="R77" s="2485"/>
      <c r="S77" s="2485"/>
      <c r="T77" s="2485"/>
      <c r="U77" s="2485"/>
      <c r="V77" s="2485"/>
      <c r="W77" s="2485"/>
      <c r="X77" s="2485"/>
      <c r="Y77" s="2485"/>
      <c r="Z77" s="2485"/>
      <c r="AA77" s="2485"/>
      <c r="AB77" s="2485"/>
      <c r="AC77" s="2485"/>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20"/>
      <c r="O78" s="2520"/>
      <c r="P78" s="2528"/>
      <c r="Q78" s="2506"/>
      <c r="R78" s="2485"/>
      <c r="S78" s="2485"/>
      <c r="T78" s="2485"/>
      <c r="U78" s="2485"/>
      <c r="V78" s="2485"/>
      <c r="W78" s="2485"/>
      <c r="X78" s="2485"/>
      <c r="Y78" s="2485"/>
      <c r="Z78" s="2485"/>
      <c r="AA78" s="2485"/>
      <c r="AB78" s="2485"/>
      <c r="AC78" s="2485"/>
    </row>
    <row r="79" spans="1:29" ht="15.75" thickTop="1">
      <c r="A79" s="366"/>
      <c r="B79" s="468" t="s">
        <v>1726</v>
      </c>
      <c r="C79" s="508" t="s">
        <v>1721</v>
      </c>
      <c r="D79" s="508" t="s">
        <v>1722</v>
      </c>
      <c r="E79" s="508" t="s">
        <v>1723</v>
      </c>
      <c r="F79" s="508" t="s">
        <v>1724</v>
      </c>
      <c r="G79" s="508" t="s">
        <v>1725</v>
      </c>
      <c r="H79" s="469"/>
      <c r="I79" s="469"/>
      <c r="J79" s="469"/>
      <c r="K79" s="470"/>
      <c r="L79" s="471"/>
      <c r="M79" s="472"/>
      <c r="N79" s="2519"/>
      <c r="O79" s="2519"/>
      <c r="P79" s="2528"/>
      <c r="Q79" s="2506"/>
      <c r="R79" s="2485"/>
      <c r="S79" s="2485"/>
      <c r="T79" s="2485"/>
      <c r="U79" s="2485"/>
      <c r="V79" s="2485"/>
      <c r="W79" s="2485"/>
      <c r="X79" s="2485"/>
      <c r="Y79" s="2485"/>
      <c r="Z79" s="2485"/>
      <c r="AA79" s="2485"/>
      <c r="AB79" s="2485"/>
      <c r="AC79" s="2485"/>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20"/>
      <c r="O80" s="2520"/>
      <c r="P80" s="2528"/>
      <c r="Q80" s="2506"/>
      <c r="R80" s="2485"/>
      <c r="S80" s="2485"/>
      <c r="T80" s="2485"/>
      <c r="U80" s="2485"/>
      <c r="V80" s="2485"/>
      <c r="W80" s="2485"/>
      <c r="X80" s="2485"/>
      <c r="Y80" s="2485"/>
      <c r="Z80" s="2485"/>
      <c r="AA80" s="2485"/>
      <c r="AB80" s="2485"/>
      <c r="AC80" s="2485"/>
    </row>
    <row r="81" spans="1:29" ht="15.75" thickTop="1">
      <c r="A81" s="366"/>
      <c r="B81" s="468" t="s">
        <v>1727</v>
      </c>
      <c r="C81" s="508" t="s">
        <v>1721</v>
      </c>
      <c r="D81" s="508" t="s">
        <v>1722</v>
      </c>
      <c r="E81" s="508" t="s">
        <v>1723</v>
      </c>
      <c r="F81" s="508" t="s">
        <v>1724</v>
      </c>
      <c r="G81" s="508" t="s">
        <v>1725</v>
      </c>
      <c r="H81" s="469"/>
      <c r="I81" s="469"/>
      <c r="J81" s="469"/>
      <c r="K81" s="470"/>
      <c r="L81" s="471"/>
      <c r="M81" s="472"/>
      <c r="N81" s="2519"/>
      <c r="O81" s="2519"/>
      <c r="P81" s="2528"/>
      <c r="Q81" s="2506"/>
      <c r="R81" s="2485"/>
      <c r="S81" s="2485"/>
      <c r="T81" s="2485"/>
      <c r="U81" s="2485"/>
      <c r="V81" s="2485"/>
      <c r="W81" s="2485"/>
      <c r="X81" s="2485"/>
      <c r="Y81" s="2485"/>
      <c r="Z81" s="2485"/>
      <c r="AA81" s="2485"/>
      <c r="AB81" s="2485"/>
      <c r="AC81" s="2485"/>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20"/>
      <c r="O82" s="2520"/>
      <c r="P82" s="2528"/>
      <c r="Q82" s="2506"/>
      <c r="R82" s="2485"/>
      <c r="S82" s="2485"/>
      <c r="T82" s="2485"/>
      <c r="U82" s="2485"/>
      <c r="V82" s="2485"/>
      <c r="W82" s="2485"/>
      <c r="X82" s="2485"/>
      <c r="Y82" s="2485"/>
      <c r="Z82" s="2485"/>
      <c r="AA82" s="2485"/>
      <c r="AB82" s="2485"/>
      <c r="AC82" s="2485"/>
    </row>
    <row r="83" spans="1:29" ht="15.75" thickTop="1">
      <c r="A83" s="366"/>
      <c r="B83" s="476" t="s">
        <v>1813</v>
      </c>
      <c r="C83" s="580" t="s">
        <v>1799</v>
      </c>
      <c r="D83" s="580" t="s">
        <v>1800</v>
      </c>
      <c r="E83" s="580" t="s">
        <v>1801</v>
      </c>
      <c r="F83" s="580" t="s">
        <v>1802</v>
      </c>
      <c r="G83" s="580" t="s">
        <v>1803</v>
      </c>
      <c r="H83" s="469"/>
      <c r="I83" s="469"/>
      <c r="J83" s="469"/>
      <c r="K83" s="469"/>
      <c r="L83" s="469"/>
      <c r="M83" s="1062"/>
      <c r="N83" s="2520"/>
      <c r="O83" s="2520"/>
      <c r="P83" s="2528"/>
      <c r="Q83" s="2506"/>
      <c r="R83" s="2485"/>
      <c r="S83" s="2485"/>
      <c r="T83" s="2485"/>
      <c r="U83" s="2485"/>
      <c r="V83" s="2485"/>
      <c r="W83" s="2485"/>
      <c r="X83" s="2485"/>
      <c r="Y83" s="2485"/>
      <c r="Z83" s="2485"/>
      <c r="AA83" s="2485"/>
      <c r="AB83" s="2485"/>
      <c r="AC83" s="2485"/>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20"/>
      <c r="O84" s="2520"/>
      <c r="P84" s="2528"/>
      <c r="Q84" s="2506"/>
      <c r="R84" s="2485"/>
      <c r="S84" s="2485"/>
      <c r="T84" s="2485"/>
      <c r="U84" s="2485"/>
      <c r="V84" s="2485"/>
      <c r="W84" s="2485"/>
      <c r="X84" s="2485"/>
      <c r="Y84" s="2485"/>
      <c r="Z84" s="2485"/>
      <c r="AA84" s="2485"/>
      <c r="AB84" s="2485"/>
      <c r="AC84" s="2485"/>
    </row>
    <row r="85" spans="1:29" ht="15.75" thickTop="1">
      <c r="A85" s="366"/>
      <c r="B85" s="468" t="s">
        <v>1822</v>
      </c>
      <c r="C85" s="508" t="s">
        <v>1721</v>
      </c>
      <c r="D85" s="508" t="s">
        <v>1722</v>
      </c>
      <c r="E85" s="508" t="s">
        <v>1723</v>
      </c>
      <c r="F85" s="508" t="s">
        <v>1724</v>
      </c>
      <c r="G85" s="508" t="s">
        <v>1725</v>
      </c>
      <c r="H85" s="469"/>
      <c r="I85" s="469"/>
      <c r="J85" s="469"/>
      <c r="K85" s="470"/>
      <c r="L85" s="471"/>
      <c r="M85" s="472"/>
      <c r="N85" s="2519"/>
      <c r="O85" s="2519"/>
      <c r="P85" s="2528"/>
      <c r="Q85" s="2506"/>
      <c r="R85" s="2485"/>
      <c r="S85" s="2485"/>
      <c r="T85" s="2485"/>
      <c r="U85" s="2485"/>
      <c r="V85" s="2485"/>
      <c r="W85" s="2485"/>
      <c r="X85" s="2485"/>
      <c r="Y85" s="2485"/>
      <c r="Z85" s="2485"/>
      <c r="AA85" s="2485"/>
      <c r="AB85" s="2485"/>
      <c r="AC85" s="2485"/>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20"/>
      <c r="O86" s="2520"/>
      <c r="P86" s="2528"/>
      <c r="Q86" s="2506"/>
      <c r="R86" s="2485"/>
      <c r="S86" s="2485"/>
      <c r="T86" s="2485"/>
      <c r="U86" s="2485"/>
      <c r="V86" s="2485"/>
      <c r="W86" s="2485"/>
      <c r="X86" s="2485"/>
      <c r="Y86" s="2485"/>
      <c r="Z86" s="2485"/>
      <c r="AA86" s="2485"/>
      <c r="AB86" s="2485"/>
      <c r="AC86" s="2485"/>
    </row>
    <row r="87" spans="1:29" s="101" customFormat="1" ht="27.75" thickTop="1">
      <c r="A87" s="369"/>
      <c r="B87" s="468" t="s">
        <v>1823</v>
      </c>
      <c r="C87" s="484"/>
      <c r="D87" s="484"/>
      <c r="E87" s="484"/>
      <c r="F87" s="484"/>
      <c r="G87" s="484"/>
      <c r="H87" s="484"/>
      <c r="I87" s="484"/>
      <c r="J87" s="484"/>
      <c r="K87" s="484"/>
      <c r="L87" s="509"/>
      <c r="M87" s="510"/>
      <c r="N87" s="2518"/>
      <c r="O87" s="2518"/>
      <c r="P87" s="2528"/>
      <c r="Q87" s="2506"/>
      <c r="R87" s="2438"/>
      <c r="S87" s="2438"/>
      <c r="T87" s="2438"/>
      <c r="U87" s="2438"/>
      <c r="V87" s="2438"/>
      <c r="W87" s="2438"/>
      <c r="X87" s="2438"/>
      <c r="Y87" s="2438"/>
      <c r="Z87" s="2438"/>
      <c r="AA87" s="2438"/>
      <c r="AB87" s="2438"/>
      <c r="AC87" s="2438"/>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20"/>
      <c r="O88" s="2520"/>
      <c r="P88" s="2528"/>
      <c r="Q88" s="2506"/>
      <c r="R88" s="2438"/>
      <c r="S88" s="2438"/>
      <c r="T88" s="2438"/>
      <c r="U88" s="2438"/>
      <c r="V88" s="2438"/>
      <c r="W88" s="2438"/>
      <c r="X88" s="2438"/>
      <c r="Y88" s="2438"/>
      <c r="Z88" s="2438"/>
      <c r="AA88" s="2438"/>
      <c r="AB88" s="2438"/>
      <c r="AC88" s="2438"/>
    </row>
    <row r="89" spans="1:29" s="101" customFormat="1" ht="15.75" thickTop="1">
      <c r="A89" s="369"/>
      <c r="B89" s="468" t="str">
        <f>B27</f>
        <v>楼层</v>
      </c>
      <c r="C89" s="484"/>
      <c r="D89" s="484"/>
      <c r="E89" s="484"/>
      <c r="F89" s="1779"/>
      <c r="G89" s="484"/>
      <c r="H89" s="484"/>
      <c r="I89" s="484"/>
      <c r="J89" s="484"/>
      <c r="K89" s="484"/>
      <c r="L89" s="484"/>
      <c r="M89" s="510"/>
      <c r="N89" s="2518"/>
      <c r="O89" s="2518"/>
      <c r="P89" s="2528"/>
      <c r="Q89" s="2506"/>
      <c r="R89" s="2438"/>
      <c r="S89" s="2438"/>
      <c r="T89" s="2438"/>
      <c r="U89" s="2438"/>
      <c r="V89" s="2438"/>
      <c r="W89" s="2438"/>
      <c r="X89" s="2438"/>
      <c r="Y89" s="2438"/>
      <c r="Z89" s="2438"/>
      <c r="AA89" s="2438"/>
      <c r="AB89" s="2438"/>
      <c r="AC89" s="2438"/>
    </row>
    <row r="90" spans="1:29" s="101"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20"/>
      <c r="O90" s="2520"/>
      <c r="P90" s="2528"/>
      <c r="Q90" s="2506"/>
      <c r="R90" s="2438"/>
      <c r="S90" s="2438"/>
      <c r="T90" s="2438"/>
      <c r="U90" s="2438"/>
      <c r="V90" s="2438"/>
      <c r="W90" s="2438"/>
      <c r="X90" s="2438"/>
      <c r="Y90" s="2438"/>
      <c r="Z90" s="2438"/>
      <c r="AA90" s="2438"/>
      <c r="AB90" s="2438"/>
      <c r="AC90" s="2438"/>
    </row>
    <row r="91" spans="1:29" s="407" customFormat="1" ht="15.75" thickTop="1">
      <c r="A91" s="483"/>
      <c r="B91" s="468" t="str">
        <f>B28</f>
        <v>朝向</v>
      </c>
      <c r="C91" s="484"/>
      <c r="D91" s="484"/>
      <c r="E91" s="484"/>
      <c r="F91" s="484"/>
      <c r="G91" s="484"/>
      <c r="H91" s="485"/>
      <c r="I91" s="485"/>
      <c r="J91" s="485"/>
      <c r="K91" s="485"/>
      <c r="L91" s="486"/>
      <c r="M91" s="487"/>
      <c r="N91" s="2521"/>
      <c r="O91" s="2521"/>
      <c r="P91" s="2529"/>
      <c r="Q91" s="2513"/>
      <c r="R91" s="2491"/>
      <c r="S91" s="2491"/>
      <c r="T91" s="2491"/>
      <c r="U91" s="2491"/>
      <c r="V91" s="2491"/>
      <c r="W91" s="2491"/>
      <c r="X91" s="2491"/>
      <c r="Y91" s="2491"/>
      <c r="Z91" s="2491"/>
      <c r="AA91" s="2491"/>
      <c r="AB91" s="2491"/>
      <c r="AC91" s="2491"/>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6"/>
      <c r="B93" s="468">
        <f>B29</f>
        <v>111</v>
      </c>
      <c r="C93" s="484"/>
      <c r="D93" s="484"/>
      <c r="E93" s="484"/>
      <c r="F93" s="484"/>
      <c r="G93" s="484"/>
      <c r="H93" s="484"/>
      <c r="I93" s="484"/>
      <c r="J93" s="484"/>
      <c r="K93" s="484"/>
      <c r="L93" s="509"/>
      <c r="M93" s="510"/>
      <c r="N93" s="2519"/>
      <c r="O93" s="2519"/>
      <c r="P93" s="2528"/>
      <c r="Q93" s="2506"/>
      <c r="R93" s="2485"/>
      <c r="S93" s="2485"/>
      <c r="T93" s="2485"/>
      <c r="U93" s="2485"/>
      <c r="V93" s="2485"/>
      <c r="W93" s="2485"/>
      <c r="X93" s="2485"/>
      <c r="Y93" s="2485"/>
      <c r="Z93" s="2485"/>
      <c r="AA93" s="2485"/>
      <c r="AB93" s="2485"/>
      <c r="AC93" s="2485"/>
    </row>
    <row r="94" spans="1:29" ht="15.75" thickBot="1">
      <c r="A94" s="366"/>
      <c r="B94" s="473"/>
      <c r="C94" s="490"/>
      <c r="D94" s="466"/>
      <c r="E94" s="466"/>
      <c r="F94" s="466"/>
      <c r="G94" s="466"/>
      <c r="H94" s="466"/>
      <c r="I94" s="466"/>
      <c r="J94" s="466"/>
      <c r="K94" s="466"/>
      <c r="L94" s="466"/>
      <c r="M94" s="467"/>
      <c r="N94" s="2520"/>
      <c r="O94" s="2520"/>
      <c r="P94" s="2528"/>
      <c r="Q94" s="2506"/>
      <c r="R94" s="2485"/>
      <c r="S94" s="2485"/>
      <c r="T94" s="2485"/>
      <c r="U94" s="2485"/>
      <c r="V94" s="2485"/>
      <c r="W94" s="2485"/>
      <c r="X94" s="2485"/>
      <c r="Y94" s="2485"/>
      <c r="Z94" s="2485"/>
      <c r="AA94" s="2485"/>
      <c r="AB94" s="2485"/>
      <c r="AC94" s="2485"/>
    </row>
    <row r="95" spans="1:29" ht="15.75" thickTop="1">
      <c r="A95" s="366"/>
      <c r="B95" s="468">
        <f>B30</f>
        <v>111</v>
      </c>
      <c r="C95" s="484"/>
      <c r="D95" s="484"/>
      <c r="E95" s="484"/>
      <c r="F95" s="484"/>
      <c r="G95" s="512"/>
      <c r="H95" s="512"/>
      <c r="I95" s="512"/>
      <c r="J95" s="512"/>
      <c r="K95" s="513"/>
      <c r="L95" s="514"/>
      <c r="M95" s="515"/>
      <c r="N95" s="2519"/>
      <c r="O95" s="2519"/>
      <c r="P95" s="2528"/>
      <c r="Q95" s="2506"/>
      <c r="R95" s="2485"/>
      <c r="S95" s="2485"/>
      <c r="T95" s="2485"/>
      <c r="U95" s="2485"/>
      <c r="V95" s="2485"/>
      <c r="W95" s="2485"/>
      <c r="X95" s="2485"/>
      <c r="Y95" s="2485"/>
      <c r="Z95" s="2485"/>
      <c r="AA95" s="2485"/>
      <c r="AB95" s="2485"/>
      <c r="AC95" s="2485"/>
    </row>
    <row r="96" spans="1:29" ht="15.75" thickBot="1">
      <c r="A96" s="366"/>
      <c r="B96" s="473"/>
      <c r="C96" s="490"/>
      <c r="D96" s="490"/>
      <c r="E96" s="490"/>
      <c r="F96" s="490"/>
      <c r="G96" s="466"/>
      <c r="H96" s="466"/>
      <c r="I96" s="466"/>
      <c r="J96" s="466"/>
      <c r="K96" s="466"/>
      <c r="L96" s="466"/>
      <c r="M96" s="467"/>
      <c r="N96" s="2520"/>
      <c r="O96" s="2520"/>
      <c r="P96" s="2528"/>
      <c r="Q96" s="2506"/>
      <c r="R96" s="2485"/>
      <c r="S96" s="2485"/>
      <c r="T96" s="2485"/>
      <c r="U96" s="2485"/>
      <c r="V96" s="2485"/>
      <c r="W96" s="2485"/>
      <c r="X96" s="2485"/>
      <c r="Y96" s="2485"/>
      <c r="Z96" s="2485"/>
      <c r="AA96" s="2485"/>
      <c r="AB96" s="2485"/>
      <c r="AC96" s="2485"/>
    </row>
    <row r="97" spans="1:29" ht="15.75" thickTop="1">
      <c r="A97" s="366"/>
      <c r="B97" s="468">
        <f>B31</f>
        <v>111</v>
      </c>
      <c r="C97" s="484"/>
      <c r="D97" s="484"/>
      <c r="E97" s="484"/>
      <c r="F97" s="484"/>
      <c r="G97" s="512"/>
      <c r="H97" s="512"/>
      <c r="I97" s="512"/>
      <c r="J97" s="512"/>
      <c r="K97" s="513"/>
      <c r="L97" s="514"/>
      <c r="M97" s="515"/>
      <c r="N97" s="2519"/>
      <c r="O97" s="2519"/>
      <c r="P97" s="2528"/>
      <c r="Q97" s="2506"/>
      <c r="R97" s="2485"/>
      <c r="S97" s="2485"/>
      <c r="T97" s="2485"/>
      <c r="U97" s="2485"/>
      <c r="V97" s="2485"/>
      <c r="W97" s="2485"/>
      <c r="X97" s="2485"/>
      <c r="Y97" s="2485"/>
      <c r="Z97" s="2485"/>
      <c r="AA97" s="2485"/>
      <c r="AB97" s="2485"/>
      <c r="AC97" s="2485"/>
    </row>
    <row r="98" spans="1:29" ht="15.75" thickBot="1">
      <c r="A98" s="366"/>
      <c r="B98" s="473"/>
      <c r="C98" s="490"/>
      <c r="D98" s="466"/>
      <c r="E98" s="466"/>
      <c r="F98" s="466"/>
      <c r="G98" s="466"/>
      <c r="H98" s="466"/>
      <c r="I98" s="466"/>
      <c r="J98" s="466"/>
      <c r="K98" s="466"/>
      <c r="L98" s="466"/>
      <c r="M98" s="467"/>
      <c r="N98" s="2520"/>
      <c r="O98" s="2520"/>
      <c r="P98" s="2528"/>
      <c r="Q98" s="2506"/>
      <c r="R98" s="2485"/>
      <c r="S98" s="2485"/>
      <c r="T98" s="2485"/>
      <c r="U98" s="2485"/>
      <c r="V98" s="2485"/>
      <c r="W98" s="2485"/>
      <c r="X98" s="2485"/>
      <c r="Y98" s="2485"/>
      <c r="Z98" s="2485"/>
      <c r="AA98" s="2485"/>
      <c r="AB98" s="2485"/>
      <c r="AC98" s="2485"/>
    </row>
    <row r="99" spans="1:29" ht="15.75" thickTop="1">
      <c r="A99" s="366"/>
      <c r="B99" s="476">
        <f>B32</f>
        <v>111</v>
      </c>
      <c r="C99" s="31"/>
      <c r="D99" s="31"/>
      <c r="E99" s="31"/>
      <c r="F99" s="31"/>
      <c r="G99" s="516"/>
      <c r="H99" s="516"/>
      <c r="I99" s="516"/>
      <c r="J99" s="516"/>
      <c r="K99" s="517"/>
      <c r="L99" s="518"/>
      <c r="M99" s="519"/>
      <c r="N99" s="2519"/>
      <c r="O99" s="2519"/>
      <c r="P99" s="2528"/>
      <c r="Q99" s="2506"/>
      <c r="R99" s="2485"/>
      <c r="S99" s="2485"/>
      <c r="T99" s="2485"/>
      <c r="U99" s="2485"/>
      <c r="V99" s="2485"/>
      <c r="W99" s="2485"/>
      <c r="X99" s="2485"/>
      <c r="Y99" s="2485"/>
      <c r="Z99" s="2485"/>
      <c r="AA99" s="2485"/>
      <c r="AB99" s="2485"/>
      <c r="AC99" s="2485"/>
    </row>
    <row r="100" spans="1:29" ht="15.75" thickBot="1">
      <c r="A100" s="374"/>
      <c r="B100" s="499"/>
      <c r="C100" s="500"/>
      <c r="D100" s="500"/>
      <c r="E100" s="500"/>
      <c r="F100" s="500"/>
      <c r="G100" s="520"/>
      <c r="H100" s="520"/>
      <c r="I100" s="520"/>
      <c r="J100" s="520"/>
      <c r="K100" s="520"/>
      <c r="L100" s="520"/>
      <c r="M100" s="521"/>
      <c r="N100" s="2520"/>
      <c r="O100" s="2520"/>
      <c r="P100" s="2528"/>
      <c r="Q100" s="2506"/>
      <c r="R100" s="2485"/>
      <c r="S100" s="2485"/>
      <c r="T100" s="2485"/>
      <c r="U100" s="2485"/>
      <c r="V100" s="2485"/>
      <c r="W100" s="2485"/>
      <c r="X100" s="2485"/>
      <c r="Y100" s="2485"/>
      <c r="Z100" s="2485"/>
      <c r="AA100" s="2485"/>
      <c r="AB100" s="2485"/>
      <c r="AC100" s="2485"/>
    </row>
    <row r="101" spans="1:29">
      <c r="A101" s="378" t="s">
        <v>1694</v>
      </c>
      <c r="B101" s="459" t="s">
        <v>1736</v>
      </c>
      <c r="C101" s="461"/>
      <c r="D101" s="461"/>
      <c r="E101" s="461"/>
      <c r="F101" s="461"/>
      <c r="G101" s="461"/>
      <c r="H101" s="461"/>
      <c r="I101" s="461"/>
      <c r="J101" s="461"/>
      <c r="K101" s="462"/>
      <c r="L101" s="463"/>
      <c r="M101" s="464"/>
      <c r="N101" s="2519"/>
      <c r="O101" s="2519"/>
      <c r="P101" s="2528"/>
      <c r="Q101" s="2506"/>
      <c r="R101" s="2485"/>
      <c r="S101" s="2485"/>
      <c r="T101" s="2485"/>
      <c r="U101" s="2485"/>
      <c r="V101" s="2485"/>
      <c r="W101" s="2485"/>
      <c r="X101" s="2485"/>
      <c r="Y101" s="2485"/>
      <c r="Z101" s="2485"/>
      <c r="AA101" s="2485"/>
      <c r="AB101" s="2485"/>
      <c r="AC101" s="2485"/>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7" customFormat="1">
      <c r="A104" s="405"/>
      <c r="B104" s="522"/>
      <c r="C104" s="6"/>
      <c r="D104" s="6"/>
      <c r="E104" s="6"/>
      <c r="F104" s="6"/>
      <c r="G104" s="6"/>
      <c r="H104" s="6"/>
      <c r="I104" s="6"/>
      <c r="J104" s="523"/>
      <c r="K104" s="523"/>
      <c r="L104" s="524"/>
      <c r="M104" s="525"/>
      <c r="N104" s="2521"/>
      <c r="O104" s="2521"/>
      <c r="P104" s="2529"/>
      <c r="Q104" s="2513"/>
      <c r="R104" s="2491"/>
      <c r="S104" s="2491"/>
      <c r="T104" s="2491"/>
      <c r="U104" s="2491"/>
      <c r="V104" s="2491"/>
      <c r="W104" s="2491"/>
      <c r="X104" s="2491"/>
      <c r="Y104" s="2491"/>
      <c r="Z104" s="2491"/>
      <c r="AA104" s="2491"/>
      <c r="AB104" s="2491"/>
      <c r="AC104" s="2491"/>
    </row>
    <row r="105" spans="1:29" s="407" customFormat="1" ht="15.75" thickBot="1">
      <c r="A105" s="483"/>
      <c r="B105" s="473"/>
      <c r="C105" s="490"/>
      <c r="D105" s="466"/>
      <c r="E105" s="466"/>
      <c r="F105" s="466"/>
      <c r="G105" s="466"/>
      <c r="H105" s="466"/>
      <c r="I105" s="466"/>
      <c r="J105" s="466"/>
      <c r="K105" s="466"/>
      <c r="L105" s="466"/>
      <c r="M105" s="467"/>
      <c r="N105" s="2520"/>
      <c r="O105" s="2520"/>
      <c r="P105" s="2529"/>
      <c r="Q105" s="2513"/>
      <c r="R105" s="2491"/>
      <c r="S105" s="2491"/>
      <c r="T105" s="2491"/>
      <c r="U105" s="2491"/>
      <c r="V105" s="2491"/>
      <c r="W105" s="2491"/>
      <c r="X105" s="2491"/>
      <c r="Y105" s="2491"/>
      <c r="Z105" s="2491"/>
      <c r="AA105" s="2491"/>
      <c r="AB105" s="2491"/>
      <c r="AC105" s="2491"/>
    </row>
    <row r="106" spans="1:29" ht="15" thickTop="1">
      <c r="A106" s="408"/>
      <c r="B106" s="468" t="s">
        <v>1738</v>
      </c>
      <c r="C106" s="484"/>
      <c r="D106" s="484"/>
      <c r="E106" s="512"/>
      <c r="F106" s="512"/>
      <c r="G106" s="512"/>
      <c r="H106" s="512"/>
      <c r="I106" s="512"/>
      <c r="J106" s="512"/>
      <c r="K106" s="513"/>
      <c r="L106" s="514"/>
      <c r="M106" s="515"/>
      <c r="N106" s="2519"/>
      <c r="O106" s="2519"/>
      <c r="P106" s="2528"/>
      <c r="Q106" s="2506"/>
      <c r="R106" s="2485"/>
      <c r="S106" s="2485"/>
      <c r="T106" s="2485"/>
      <c r="U106" s="2485"/>
      <c r="V106" s="2485"/>
      <c r="W106" s="2485"/>
      <c r="X106" s="2485"/>
      <c r="Y106" s="2485"/>
      <c r="Z106" s="2485"/>
      <c r="AA106" s="2485"/>
      <c r="AB106" s="2485"/>
      <c r="AC106" s="2485"/>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8"/>
      <c r="B108" s="468" t="s">
        <v>1740</v>
      </c>
      <c r="C108" s="484"/>
      <c r="D108" s="484"/>
      <c r="E108" s="484"/>
      <c r="F108" s="512"/>
      <c r="G108" s="512"/>
      <c r="H108" s="512"/>
      <c r="I108" s="512"/>
      <c r="J108" s="512"/>
      <c r="K108" s="513"/>
      <c r="L108" s="514"/>
      <c r="M108" s="515"/>
      <c r="N108" s="2519"/>
      <c r="O108" s="2519"/>
      <c r="P108" s="2528"/>
      <c r="Q108" s="2506"/>
      <c r="R108" s="2485"/>
      <c r="S108" s="2485"/>
      <c r="T108" s="2485"/>
      <c r="U108" s="2485"/>
      <c r="V108" s="2485"/>
      <c r="W108" s="2485"/>
      <c r="X108" s="2485"/>
      <c r="Y108" s="2485"/>
      <c r="Z108" s="2485"/>
      <c r="AA108" s="2485"/>
      <c r="AB108" s="2485"/>
      <c r="AC108" s="2485"/>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9"/>
      <c r="O110" s="2519"/>
      <c r="P110" s="2528"/>
      <c r="Q110" s="2506"/>
      <c r="R110" s="2485"/>
      <c r="S110" s="2485"/>
      <c r="T110" s="2485"/>
      <c r="U110" s="2485"/>
      <c r="V110" s="2485"/>
      <c r="W110" s="2485"/>
      <c r="X110" s="2485"/>
      <c r="Y110" s="2485"/>
      <c r="Z110" s="2485"/>
      <c r="AA110" s="2485"/>
      <c r="AB110" s="2485"/>
      <c r="AC110" s="2485"/>
    </row>
    <row r="111" spans="1:29">
      <c r="A111" s="408"/>
      <c r="B111" s="476"/>
      <c r="C111" s="529">
        <v>0.5</v>
      </c>
      <c r="D111" s="529">
        <v>0.6</v>
      </c>
      <c r="E111" s="529">
        <v>0.7</v>
      </c>
      <c r="F111" s="529">
        <v>0.8</v>
      </c>
      <c r="G111" s="529">
        <v>0.9</v>
      </c>
      <c r="H111" s="529">
        <v>1.0001</v>
      </c>
      <c r="I111" s="547"/>
      <c r="J111" s="547"/>
      <c r="K111" s="548"/>
      <c r="L111" s="549"/>
      <c r="M111" s="550"/>
      <c r="N111" s="2519"/>
      <c r="O111" s="2519"/>
      <c r="P111" s="2528"/>
      <c r="Q111" s="2506"/>
      <c r="R111" s="2485"/>
      <c r="S111" s="2485"/>
      <c r="T111" s="2485"/>
      <c r="U111" s="2485"/>
      <c r="V111" s="2485"/>
      <c r="W111" s="2485"/>
      <c r="X111" s="2485"/>
      <c r="Y111" s="2485"/>
      <c r="Z111" s="2485"/>
      <c r="AA111" s="2485"/>
      <c r="AB111" s="2485"/>
      <c r="AC111" s="2485"/>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20"/>
      <c r="O112" s="2520"/>
      <c r="P112" s="2528"/>
      <c r="Q112" s="2506"/>
      <c r="R112" s="2485"/>
      <c r="S112" s="2485"/>
      <c r="T112" s="2485"/>
      <c r="U112" s="2485"/>
      <c r="V112" s="2485"/>
      <c r="W112" s="2485"/>
      <c r="X112" s="2485"/>
      <c r="Y112" s="2485"/>
      <c r="Z112" s="2485"/>
      <c r="AA112" s="2485"/>
      <c r="AB112" s="2485"/>
      <c r="AC112" s="2485"/>
    </row>
    <row r="113" spans="1:29" s="407" customFormat="1" ht="15" thickTop="1">
      <c r="A113" s="405"/>
      <c r="B113" s="468" t="s">
        <v>1824</v>
      </c>
      <c r="C113" s="484"/>
      <c r="D113" s="484"/>
      <c r="E113" s="484"/>
      <c r="F113" s="484"/>
      <c r="G113" s="484"/>
      <c r="H113" s="512"/>
      <c r="I113" s="512"/>
      <c r="J113" s="512"/>
      <c r="K113" s="513"/>
      <c r="L113" s="514"/>
      <c r="M113" s="515"/>
      <c r="N113" s="2521"/>
      <c r="O113" s="2521"/>
      <c r="P113" s="2529"/>
      <c r="Q113" s="2513"/>
      <c r="R113" s="2491"/>
      <c r="S113" s="2491"/>
      <c r="T113" s="2491"/>
      <c r="U113" s="2491"/>
      <c r="V113" s="2491"/>
      <c r="W113" s="2491"/>
      <c r="X113" s="2491"/>
      <c r="Y113" s="2491"/>
      <c r="Z113" s="2491"/>
      <c r="AA113" s="2491"/>
      <c r="AB113" s="2491"/>
      <c r="AC113" s="2491"/>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8"/>
      <c r="B115" s="468" t="s">
        <v>1741</v>
      </c>
      <c r="C115" s="484"/>
      <c r="D115" s="484"/>
      <c r="E115" s="512"/>
      <c r="F115" s="512"/>
      <c r="G115" s="512"/>
      <c r="H115" s="512"/>
      <c r="I115" s="512"/>
      <c r="J115" s="512"/>
      <c r="K115" s="513"/>
      <c r="L115" s="514"/>
      <c r="M115" s="515"/>
      <c r="N115" s="2519"/>
      <c r="O115" s="2519"/>
      <c r="P115" s="2528"/>
      <c r="Q115" s="2506"/>
      <c r="R115" s="2485"/>
      <c r="S115" s="2485"/>
      <c r="T115" s="2485"/>
      <c r="U115" s="2485"/>
      <c r="V115" s="2485"/>
      <c r="W115" s="2485"/>
      <c r="X115" s="2485"/>
      <c r="Y115" s="2485"/>
      <c r="Z115" s="2485"/>
      <c r="AA115" s="2485"/>
      <c r="AB115" s="2485"/>
      <c r="AC115" s="2485"/>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8"/>
      <c r="B117" s="468" t="s">
        <v>1742</v>
      </c>
      <c r="C117" s="484"/>
      <c r="D117" s="484"/>
      <c r="E117" s="484"/>
      <c r="F117" s="484"/>
      <c r="G117" s="484"/>
      <c r="H117" s="512"/>
      <c r="I117" s="512"/>
      <c r="J117" s="512"/>
      <c r="K117" s="513"/>
      <c r="L117" s="514"/>
      <c r="M117" s="515"/>
      <c r="N117" s="2519"/>
      <c r="O117" s="2519"/>
      <c r="P117" s="2528"/>
      <c r="Q117" s="2506"/>
      <c r="R117" s="2485"/>
      <c r="S117" s="2485"/>
      <c r="T117" s="2485"/>
      <c r="U117" s="2485"/>
      <c r="V117" s="2485"/>
      <c r="W117" s="2485"/>
      <c r="X117" s="2485"/>
      <c r="Y117" s="2485"/>
      <c r="Z117" s="2485"/>
      <c r="AA117" s="2485"/>
      <c r="AB117" s="2485"/>
      <c r="AC117" s="2485"/>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20"/>
      <c r="O118" s="2520"/>
      <c r="P118" s="2528"/>
      <c r="Q118" s="2506"/>
      <c r="R118" s="2485"/>
      <c r="S118" s="2485"/>
      <c r="T118" s="2485"/>
      <c r="U118" s="2485"/>
      <c r="V118" s="2485"/>
      <c r="W118" s="2485"/>
      <c r="X118" s="2485"/>
      <c r="Y118" s="2485"/>
      <c r="Z118" s="2485"/>
      <c r="AA118" s="2485"/>
      <c r="AB118" s="2485"/>
      <c r="AC118" s="2485"/>
    </row>
    <row r="119" spans="1:29" ht="15" thickTop="1">
      <c r="A119" s="408"/>
      <c r="B119" s="559" t="s">
        <v>1825</v>
      </c>
      <c r="C119" s="512"/>
      <c r="D119" s="512"/>
      <c r="E119" s="512"/>
      <c r="F119" s="512"/>
      <c r="G119" s="512"/>
      <c r="H119" s="512"/>
      <c r="I119" s="512"/>
      <c r="J119" s="512"/>
      <c r="K119" s="512"/>
      <c r="L119" s="1815"/>
      <c r="M119" s="1816"/>
      <c r="N119" s="2520"/>
      <c r="O119" s="2520"/>
      <c r="P119" s="2533"/>
      <c r="Q119" s="2534"/>
      <c r="R119" s="2485"/>
      <c r="S119" s="2485"/>
      <c r="T119" s="2485"/>
      <c r="U119" s="2485"/>
      <c r="V119" s="2485"/>
      <c r="W119" s="2485"/>
      <c r="X119" s="2485"/>
      <c r="Y119" s="2485"/>
      <c r="Z119" s="2485"/>
      <c r="AA119" s="2485"/>
      <c r="AB119" s="2485"/>
      <c r="AC119" s="2485"/>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20"/>
      <c r="O120" s="2520"/>
      <c r="P120" s="2528"/>
      <c r="Q120" s="2506"/>
      <c r="R120" s="2485"/>
      <c r="S120" s="2485"/>
      <c r="T120" s="2485"/>
      <c r="U120" s="2485"/>
      <c r="V120" s="2485"/>
      <c r="W120" s="2485"/>
      <c r="X120" s="2485"/>
      <c r="Y120" s="2485"/>
      <c r="Z120" s="2485"/>
      <c r="AA120" s="2485"/>
      <c r="AB120" s="2485"/>
      <c r="AC120" s="2485"/>
    </row>
    <row r="121" spans="1:29" s="407" customFormat="1" ht="15" thickTop="1">
      <c r="A121" s="405"/>
      <c r="B121" s="468" t="s">
        <v>1808</v>
      </c>
      <c r="C121" s="484"/>
      <c r="D121" s="484"/>
      <c r="E121" s="484"/>
      <c r="F121" s="512"/>
      <c r="G121" s="485"/>
      <c r="H121" s="485"/>
      <c r="I121" s="485"/>
      <c r="J121" s="485"/>
      <c r="K121" s="485"/>
      <c r="L121" s="486"/>
      <c r="M121" s="487"/>
      <c r="N121" s="2521"/>
      <c r="O121" s="2521"/>
      <c r="P121" s="2529"/>
      <c r="Q121" s="2513"/>
      <c r="R121" s="2491"/>
      <c r="S121" s="2491"/>
      <c r="T121" s="2491"/>
      <c r="U121" s="2491"/>
      <c r="V121" s="2491"/>
      <c r="W121" s="2491"/>
      <c r="X121" s="2491"/>
      <c r="Y121" s="2491"/>
      <c r="Z121" s="2491"/>
      <c r="AA121" s="2491"/>
      <c r="AB121" s="2491"/>
      <c r="AC121" s="2491"/>
    </row>
    <row r="122" spans="1:29" s="407" customFormat="1" ht="15.75" thickBot="1">
      <c r="A122" s="483"/>
      <c r="B122" s="465"/>
      <c r="C122" s="490"/>
      <c r="D122" s="490"/>
      <c r="E122" s="490"/>
      <c r="F122" s="490"/>
      <c r="G122" s="490"/>
      <c r="H122" s="490"/>
      <c r="I122" s="490"/>
      <c r="J122" s="490"/>
      <c r="K122" s="490"/>
      <c r="L122" s="490"/>
      <c r="M122" s="490"/>
      <c r="N122" s="2521"/>
      <c r="O122" s="2521"/>
      <c r="P122" s="2529"/>
      <c r="Q122" s="2513"/>
      <c r="R122" s="2491"/>
      <c r="S122" s="2491"/>
      <c r="T122" s="2491"/>
      <c r="U122" s="2491"/>
      <c r="V122" s="2491"/>
      <c r="W122" s="2491"/>
      <c r="X122" s="2491"/>
      <c r="Y122" s="2491"/>
      <c r="Z122" s="2491"/>
      <c r="AA122" s="2491"/>
      <c r="AB122" s="2491"/>
      <c r="AC122" s="2491"/>
    </row>
    <row r="123" spans="1:29" ht="15" thickTop="1">
      <c r="A123" s="408"/>
      <c r="B123" s="468" t="s">
        <v>1744</v>
      </c>
      <c r="C123" s="484"/>
      <c r="D123" s="484"/>
      <c r="E123" s="484"/>
      <c r="F123" s="512"/>
      <c r="G123" s="512"/>
      <c r="H123" s="512"/>
      <c r="I123" s="512"/>
      <c r="J123" s="512"/>
      <c r="K123" s="513"/>
      <c r="L123" s="514"/>
      <c r="M123" s="515"/>
      <c r="N123" s="2519"/>
      <c r="O123" s="2519"/>
      <c r="P123" s="2528"/>
      <c r="Q123" s="2506"/>
      <c r="R123" s="2485"/>
      <c r="S123" s="2485"/>
      <c r="T123" s="2485"/>
      <c r="U123" s="2485"/>
      <c r="V123" s="2485"/>
      <c r="W123" s="2485"/>
      <c r="X123" s="2485"/>
      <c r="Y123" s="2485"/>
      <c r="Z123" s="2485"/>
      <c r="AA123" s="2485"/>
      <c r="AB123" s="2485"/>
      <c r="AC123" s="2485"/>
    </row>
    <row r="124" spans="1:29" ht="15.7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19"/>
      <c r="O125" s="2519"/>
      <c r="P125" s="2529"/>
      <c r="Q125" s="2506"/>
      <c r="R125" s="2485"/>
      <c r="S125" s="2485"/>
      <c r="T125" s="2485"/>
      <c r="U125" s="2485"/>
      <c r="V125" s="2485"/>
      <c r="W125" s="2485"/>
      <c r="X125" s="2485"/>
      <c r="Y125" s="2485"/>
      <c r="Z125" s="2485"/>
      <c r="AA125" s="2485"/>
      <c r="AB125" s="2485"/>
      <c r="AC125" s="2485"/>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20"/>
      <c r="O126" s="2520"/>
      <c r="P126" s="2528"/>
      <c r="Q126" s="2506"/>
      <c r="R126" s="2485"/>
      <c r="S126" s="2485"/>
      <c r="T126" s="2485"/>
      <c r="U126" s="2485"/>
      <c r="V126" s="2485"/>
      <c r="W126" s="2485"/>
      <c r="X126" s="2485"/>
      <c r="Y126" s="2485"/>
      <c r="Z126" s="2485"/>
      <c r="AA126" s="2485"/>
      <c r="AB126" s="2485"/>
      <c r="AC126" s="2485"/>
    </row>
    <row r="127" spans="1:29" s="407" customFormat="1" ht="15" thickTop="1">
      <c r="A127" s="405"/>
      <c r="B127" s="468">
        <f>B45</f>
        <v>111</v>
      </c>
      <c r="C127" s="484"/>
      <c r="D127" s="484"/>
      <c r="E127" s="484"/>
      <c r="F127" s="484"/>
      <c r="G127" s="484"/>
      <c r="H127" s="485"/>
      <c r="I127" s="485"/>
      <c r="J127" s="485"/>
      <c r="K127" s="485"/>
      <c r="L127" s="486"/>
      <c r="M127" s="487"/>
      <c r="N127" s="2521"/>
      <c r="O127" s="2521"/>
      <c r="P127" s="2529"/>
      <c r="Q127" s="2513"/>
      <c r="R127" s="2491"/>
      <c r="S127" s="2491"/>
      <c r="T127" s="2491"/>
      <c r="U127" s="2491"/>
      <c r="V127" s="2491"/>
      <c r="W127" s="2491"/>
      <c r="X127" s="2491"/>
      <c r="Y127" s="2491"/>
      <c r="Z127" s="2491"/>
      <c r="AA127" s="2491"/>
      <c r="AB127" s="2491"/>
      <c r="AC127" s="2491"/>
    </row>
    <row r="128" spans="1:29" s="407" customFormat="1" ht="15.75" thickBot="1">
      <c r="A128" s="483"/>
      <c r="B128" s="473"/>
      <c r="C128" s="490"/>
      <c r="D128" s="466"/>
      <c r="E128" s="466"/>
      <c r="F128" s="466"/>
      <c r="G128" s="490"/>
      <c r="H128" s="492"/>
      <c r="I128" s="492"/>
      <c r="J128" s="492"/>
      <c r="K128" s="492"/>
      <c r="L128" s="492"/>
      <c r="M128" s="493"/>
      <c r="N128" s="2521"/>
      <c r="O128" s="2521"/>
      <c r="P128" s="2529"/>
      <c r="Q128" s="2513"/>
      <c r="R128" s="2491"/>
      <c r="S128" s="2491"/>
      <c r="T128" s="2491"/>
      <c r="U128" s="2491"/>
      <c r="V128" s="2491"/>
      <c r="W128" s="2491"/>
      <c r="X128" s="2491"/>
      <c r="Y128" s="2491"/>
      <c r="Z128" s="2491"/>
      <c r="AA128" s="2491"/>
      <c r="AB128" s="2491"/>
      <c r="AC128" s="2491"/>
    </row>
    <row r="129" spans="1:29" ht="15" thickTop="1">
      <c r="A129" s="408"/>
      <c r="B129" s="468">
        <f>B46</f>
        <v>111</v>
      </c>
      <c r="C129" s="484"/>
      <c r="D129" s="484"/>
      <c r="E129" s="484"/>
      <c r="F129" s="484"/>
      <c r="G129" s="512"/>
      <c r="H129" s="512"/>
      <c r="I129" s="512"/>
      <c r="J129" s="512"/>
      <c r="K129" s="513"/>
      <c r="L129" s="514"/>
      <c r="M129" s="515"/>
      <c r="N129" s="2519"/>
      <c r="O129" s="2519"/>
      <c r="P129" s="2528"/>
      <c r="Q129" s="2506"/>
      <c r="R129" s="2485"/>
      <c r="S129" s="2485"/>
      <c r="T129" s="2485"/>
      <c r="U129" s="2485"/>
      <c r="V129" s="2485"/>
      <c r="W129" s="2485"/>
      <c r="X129" s="2485"/>
      <c r="Y129" s="2485"/>
      <c r="Z129" s="2485"/>
      <c r="AA129" s="2485"/>
      <c r="AB129" s="2485"/>
      <c r="AC129" s="2485"/>
    </row>
    <row r="130" spans="1:29" ht="15.75" thickBot="1">
      <c r="A130" s="366"/>
      <c r="B130" s="473"/>
      <c r="C130" s="490"/>
      <c r="D130" s="490"/>
      <c r="E130" s="490"/>
      <c r="F130" s="490"/>
      <c r="G130" s="466"/>
      <c r="H130" s="466"/>
      <c r="I130" s="466"/>
      <c r="J130" s="466"/>
      <c r="K130" s="466"/>
      <c r="L130" s="466"/>
      <c r="M130" s="467"/>
      <c r="N130" s="2520"/>
      <c r="O130" s="2520"/>
      <c r="P130" s="2528"/>
      <c r="Q130" s="2506"/>
      <c r="R130" s="2485"/>
      <c r="S130" s="2485"/>
      <c r="T130" s="2485"/>
      <c r="U130" s="2485"/>
      <c r="V130" s="2485"/>
      <c r="W130" s="2485"/>
      <c r="X130" s="2485"/>
      <c r="Y130" s="2485"/>
      <c r="Z130" s="2485"/>
      <c r="AA130" s="2485"/>
      <c r="AB130" s="2485"/>
      <c r="AC130" s="2485"/>
    </row>
    <row r="131" spans="1:29" ht="15" thickTop="1">
      <c r="A131" s="408"/>
      <c r="B131" s="476">
        <f>B47</f>
        <v>111</v>
      </c>
      <c r="C131" s="31"/>
      <c r="D131" s="31"/>
      <c r="E131" s="31"/>
      <c r="F131" s="31"/>
      <c r="G131" s="516"/>
      <c r="H131" s="516"/>
      <c r="I131" s="516"/>
      <c r="J131" s="516"/>
      <c r="K131" s="31"/>
      <c r="L131" s="456"/>
      <c r="M131" s="519"/>
      <c r="N131" s="2519"/>
      <c r="O131" s="2519"/>
      <c r="P131" s="2528"/>
      <c r="Q131" s="2506"/>
      <c r="R131" s="2485"/>
      <c r="S131" s="2485"/>
      <c r="T131" s="2485"/>
      <c r="U131" s="2485"/>
      <c r="V131" s="2485"/>
      <c r="W131" s="2485"/>
      <c r="X131" s="2485"/>
      <c r="Y131" s="2485"/>
      <c r="Z131" s="2485"/>
      <c r="AA131" s="2485"/>
      <c r="AB131" s="2485"/>
      <c r="AC131" s="2485"/>
    </row>
    <row r="132" spans="1:29" ht="15.75" thickBot="1">
      <c r="A132" s="374"/>
      <c r="B132" s="499"/>
      <c r="C132" s="500"/>
      <c r="D132" s="500"/>
      <c r="E132" s="500"/>
      <c r="F132" s="500"/>
      <c r="G132" s="520"/>
      <c r="H132" s="520"/>
      <c r="I132" s="520"/>
      <c r="J132" s="520"/>
      <c r="K132" s="520"/>
      <c r="L132" s="520"/>
      <c r="M132" s="521"/>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1826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227.25</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1769</v>
      </c>
      <c r="B4" s="345"/>
      <c r="C4" s="3365" t="s">
        <v>1770</v>
      </c>
      <c r="D4" s="3366"/>
      <c r="E4" s="3367" t="s">
        <v>1771</v>
      </c>
      <c r="F4" s="3368"/>
      <c r="G4" s="3365" t="s">
        <v>1772</v>
      </c>
      <c r="H4" s="3366"/>
      <c r="I4" s="3365" t="s">
        <v>1773</v>
      </c>
      <c r="J4" s="3366"/>
      <c r="K4" s="536" t="s">
        <v>1774</v>
      </c>
      <c r="L4" s="859"/>
      <c r="M4" s="860"/>
      <c r="N4" s="860"/>
      <c r="O4" s="860"/>
      <c r="P4" s="3369" t="s">
        <v>1775</v>
      </c>
      <c r="Q4" s="3370"/>
      <c r="R4" s="3375" t="s">
        <v>1771</v>
      </c>
      <c r="S4" s="3376"/>
      <c r="T4" s="3375" t="s">
        <v>1772</v>
      </c>
      <c r="U4" s="3376"/>
      <c r="V4" s="3348" t="s">
        <v>1773</v>
      </c>
      <c r="W4" s="3348"/>
      <c r="X4" s="1264"/>
      <c r="Y4" s="3375" t="s">
        <v>1775</v>
      </c>
      <c r="Z4" s="3376"/>
      <c r="AA4" s="3362" t="s">
        <v>1771</v>
      </c>
      <c r="AB4" s="3363" t="s">
        <v>1772</v>
      </c>
      <c r="AC4" s="3362" t="s">
        <v>1773</v>
      </c>
    </row>
    <row r="5" spans="1:29" ht="15">
      <c r="A5" s="347"/>
      <c r="B5" s="348"/>
      <c r="C5" s="3383" t="s">
        <v>1673</v>
      </c>
      <c r="D5" s="3384"/>
      <c r="E5" s="3390" t="s">
        <v>1674</v>
      </c>
      <c r="F5" s="3391"/>
      <c r="G5" s="3383" t="s">
        <v>1675</v>
      </c>
      <c r="H5" s="3384"/>
      <c r="I5" s="3383" t="s">
        <v>1676</v>
      </c>
      <c r="J5" s="3384"/>
      <c r="K5" s="536"/>
      <c r="L5" s="859"/>
      <c r="M5" s="860"/>
      <c r="N5" s="860"/>
      <c r="O5" s="860"/>
      <c r="P5" s="3371"/>
      <c r="Q5" s="3372"/>
      <c r="R5" s="3377"/>
      <c r="S5" s="3378"/>
      <c r="T5" s="3377"/>
      <c r="U5" s="3378"/>
      <c r="V5" s="3348"/>
      <c r="W5" s="3348"/>
      <c r="X5" s="1264"/>
      <c r="Y5" s="3377"/>
      <c r="Z5" s="3378"/>
      <c r="AA5" s="3363"/>
      <c r="AB5" s="3363"/>
      <c r="AC5" s="3363"/>
    </row>
    <row r="6" spans="1:29" ht="15.75" thickBot="1">
      <c r="A6" s="349"/>
      <c r="B6" s="350"/>
      <c r="C6" s="3381" t="s">
        <v>1677</v>
      </c>
      <c r="D6" s="3382"/>
      <c r="E6" s="3388" t="s">
        <v>1677</v>
      </c>
      <c r="F6" s="3389"/>
      <c r="G6" s="3381" t="s">
        <v>1677</v>
      </c>
      <c r="H6" s="3382"/>
      <c r="I6" s="3381" t="s">
        <v>1677</v>
      </c>
      <c r="J6" s="3382"/>
      <c r="K6" s="536" t="s">
        <v>1678</v>
      </c>
      <c r="L6" s="859"/>
      <c r="M6" s="860"/>
      <c r="N6" s="860"/>
      <c r="O6" s="860"/>
      <c r="P6" s="3373"/>
      <c r="Q6" s="3374"/>
      <c r="R6" s="3377"/>
      <c r="S6" s="3378"/>
      <c r="T6" s="3379"/>
      <c r="U6" s="3380"/>
      <c r="V6" s="3348"/>
      <c r="W6" s="3348"/>
      <c r="X6" s="1264"/>
      <c r="Y6" s="3379"/>
      <c r="Z6" s="3380"/>
      <c r="AA6" s="3364"/>
      <c r="AB6" s="3364"/>
      <c r="AC6" s="3364"/>
    </row>
    <row r="7" spans="1:29" s="101" customFormat="1" ht="15.75" thickBot="1">
      <c r="A7" s="351" t="s">
        <v>1679</v>
      </c>
      <c r="B7" s="352"/>
      <c r="C7" s="353">
        <f>'数据-取费表'!B2</f>
        <v>45580</v>
      </c>
      <c r="D7" s="354">
        <v>100</v>
      </c>
      <c r="E7" s="355"/>
      <c r="F7" s="356">
        <f>SUMIF(52:52,YEAR(E7)&amp;"-"&amp;MONTH(E7),53:53)</f>
        <v>0</v>
      </c>
      <c r="G7" s="355"/>
      <c r="H7" s="354">
        <f>SUMIF(52:52,YEAR(G7)&amp;"-"&amp;MONTH(G7),53:53)</f>
        <v>0</v>
      </c>
      <c r="I7" s="355"/>
      <c r="J7" s="354">
        <f>SUMIF(52:52,YEAR(I7)&amp;"-"&amp;MONTH(I7),53:53)</f>
        <v>0</v>
      </c>
      <c r="K7" s="38"/>
      <c r="L7" s="861"/>
      <c r="M7" s="862"/>
      <c r="N7" s="862"/>
      <c r="O7" s="862"/>
      <c r="P7" s="3385" t="s">
        <v>1680</v>
      </c>
      <c r="Q7" s="3387"/>
      <c r="R7" s="663" t="s">
        <v>14</v>
      </c>
      <c r="S7" s="664">
        <f t="shared" ref="S7:S15" si="0">F7</f>
        <v>0</v>
      </c>
      <c r="T7" s="663" t="s">
        <v>14</v>
      </c>
      <c r="U7" s="664">
        <f t="shared" ref="U7:U15" si="1">H7</f>
        <v>0</v>
      </c>
      <c r="V7" s="663" t="s">
        <v>14</v>
      </c>
      <c r="W7" s="664">
        <f t="shared" ref="W7:W15" si="2">J7</f>
        <v>0</v>
      </c>
      <c r="X7" s="665"/>
      <c r="Y7" s="3385" t="s">
        <v>1680</v>
      </c>
      <c r="Z7" s="3386"/>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385" t="s">
        <v>1683</v>
      </c>
      <c r="Q8" s="3386"/>
      <c r="R8" s="663" t="s">
        <v>14</v>
      </c>
      <c r="S8" s="664">
        <f t="shared" si="0"/>
        <v>100</v>
      </c>
      <c r="T8" s="663" t="s">
        <v>14</v>
      </c>
      <c r="U8" s="664">
        <f t="shared" si="1"/>
        <v>100</v>
      </c>
      <c r="V8" s="663" t="s">
        <v>14</v>
      </c>
      <c r="W8" s="664">
        <f t="shared" si="2"/>
        <v>100</v>
      </c>
      <c r="X8" s="665"/>
      <c r="Y8" s="3385" t="s">
        <v>1683</v>
      </c>
      <c r="Z8" s="3386"/>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347" t="s">
        <v>1686</v>
      </c>
      <c r="Q9" s="529" t="str">
        <f t="shared" ref="Q9:Q15" si="6">B9</f>
        <v>用途</v>
      </c>
      <c r="R9" s="663" t="s">
        <v>14</v>
      </c>
      <c r="S9" s="664">
        <f t="shared" si="0"/>
        <v>100</v>
      </c>
      <c r="T9" s="663" t="s">
        <v>14</v>
      </c>
      <c r="U9" s="664">
        <f t="shared" si="1"/>
        <v>100</v>
      </c>
      <c r="V9" s="663" t="s">
        <v>14</v>
      </c>
      <c r="W9" s="664">
        <f t="shared" si="2"/>
        <v>100</v>
      </c>
      <c r="X9" s="665"/>
      <c r="Y9" s="3246" t="s">
        <v>1687</v>
      </c>
      <c r="Z9" s="50" t="str">
        <f t="shared" ref="Z9:Z15" si="7">Q9</f>
        <v>用途</v>
      </c>
      <c r="AA9" s="50">
        <f t="shared" si="3"/>
        <v>1</v>
      </c>
      <c r="AB9" s="50">
        <f t="shared" si="4"/>
        <v>1</v>
      </c>
      <c r="AC9" s="50">
        <f t="shared" si="5"/>
        <v>1</v>
      </c>
    </row>
    <row r="10" spans="1:29" s="365" customFormat="1" ht="27">
      <c r="A10" s="362"/>
      <c r="B10" s="363" t="s">
        <v>1688</v>
      </c>
      <c r="C10" s="3130"/>
      <c r="D10" s="118">
        <v>100</v>
      </c>
      <c r="E10" s="3130"/>
      <c r="F10" s="118">
        <f>SUMIF(59:59,E10,60:60)-SUMIF(59:59,C10,60:60)+100</f>
        <v>100</v>
      </c>
      <c r="G10" s="3131"/>
      <c r="H10" s="118">
        <f>SUMIF(59:59,G10,60:60)-SUMIF(59:59,C10,60:60)+100</f>
        <v>100</v>
      </c>
      <c r="I10" s="3130"/>
      <c r="J10" s="118">
        <f>SUMIF(59:59,I10,60:60)-SUMIF(59:59,C10,60:60)+100</f>
        <v>100</v>
      </c>
      <c r="K10" s="38"/>
      <c r="L10" s="864"/>
      <c r="M10" s="865"/>
      <c r="N10" s="865"/>
      <c r="O10" s="866"/>
      <c r="P10" s="3347"/>
      <c r="Q10" s="529" t="str">
        <f t="shared" si="6"/>
        <v>土地使用年限（年）</v>
      </c>
      <c r="R10" s="663" t="s">
        <v>14</v>
      </c>
      <c r="S10" s="664">
        <f t="shared" si="0"/>
        <v>100</v>
      </c>
      <c r="T10" s="663" t="s">
        <v>14</v>
      </c>
      <c r="U10" s="664">
        <f t="shared" si="1"/>
        <v>100</v>
      </c>
      <c r="V10" s="663" t="s">
        <v>14</v>
      </c>
      <c r="W10" s="664">
        <f t="shared" si="2"/>
        <v>100</v>
      </c>
      <c r="X10" s="665"/>
      <c r="Y10" s="3246"/>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347"/>
      <c r="Q11" s="529" t="str">
        <f t="shared" si="6"/>
        <v>容积率</v>
      </c>
      <c r="R11" s="663" t="s">
        <v>14</v>
      </c>
      <c r="S11" s="664">
        <f t="shared" si="0"/>
        <v>100</v>
      </c>
      <c r="T11" s="663" t="s">
        <v>14</v>
      </c>
      <c r="U11" s="664">
        <f t="shared" si="1"/>
        <v>100</v>
      </c>
      <c r="V11" s="663" t="s">
        <v>14</v>
      </c>
      <c r="W11" s="664">
        <f t="shared" si="2"/>
        <v>100</v>
      </c>
      <c r="X11" s="665"/>
      <c r="Y11" s="3246"/>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347"/>
      <c r="Q12" s="529">
        <f t="shared" si="6"/>
        <v>111</v>
      </c>
      <c r="R12" s="663" t="s">
        <v>14</v>
      </c>
      <c r="S12" s="664">
        <f t="shared" si="0"/>
        <v>100</v>
      </c>
      <c r="T12" s="663" t="s">
        <v>14</v>
      </c>
      <c r="U12" s="664">
        <f t="shared" si="1"/>
        <v>100</v>
      </c>
      <c r="V12" s="663" t="s">
        <v>14</v>
      </c>
      <c r="W12" s="664">
        <f t="shared" si="2"/>
        <v>100</v>
      </c>
      <c r="X12" s="665"/>
      <c r="Y12" s="3246"/>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347"/>
      <c r="Q13" s="529">
        <f t="shared" si="6"/>
        <v>111</v>
      </c>
      <c r="R13" s="663" t="s">
        <v>14</v>
      </c>
      <c r="S13" s="664">
        <f t="shared" si="0"/>
        <v>100</v>
      </c>
      <c r="T13" s="663" t="s">
        <v>14</v>
      </c>
      <c r="U13" s="664">
        <f t="shared" si="1"/>
        <v>100</v>
      </c>
      <c r="V13" s="663" t="s">
        <v>14</v>
      </c>
      <c r="W13" s="664">
        <f t="shared" si="2"/>
        <v>100</v>
      </c>
      <c r="X13" s="665"/>
      <c r="Y13" s="3246"/>
      <c r="Z13" s="50">
        <f t="shared" si="7"/>
        <v>111</v>
      </c>
      <c r="AA13" s="50">
        <f t="shared" si="3"/>
        <v>1</v>
      </c>
      <c r="AB13" s="50">
        <f t="shared" si="4"/>
        <v>1</v>
      </c>
      <c r="AC13" s="50">
        <f t="shared" si="5"/>
        <v>1</v>
      </c>
    </row>
    <row r="14" spans="1:29" ht="15.75"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347"/>
      <c r="Q14" s="529">
        <f t="shared" si="6"/>
        <v>111</v>
      </c>
      <c r="R14" s="663" t="s">
        <v>14</v>
      </c>
      <c r="S14" s="664">
        <f t="shared" si="0"/>
        <v>100</v>
      </c>
      <c r="T14" s="663" t="s">
        <v>14</v>
      </c>
      <c r="U14" s="664">
        <f t="shared" si="1"/>
        <v>100</v>
      </c>
      <c r="V14" s="663" t="s">
        <v>14</v>
      </c>
      <c r="W14" s="664">
        <f t="shared" si="2"/>
        <v>100</v>
      </c>
      <c r="X14" s="665"/>
      <c r="Y14" s="3246"/>
      <c r="Z14" s="50">
        <f t="shared" si="7"/>
        <v>111</v>
      </c>
      <c r="AA14" s="50">
        <f t="shared" si="3"/>
        <v>1</v>
      </c>
      <c r="AB14" s="50">
        <f t="shared" si="4"/>
        <v>1</v>
      </c>
      <c r="AC14" s="50">
        <f t="shared" si="5"/>
        <v>1</v>
      </c>
    </row>
    <row r="15" spans="1:29" ht="57">
      <c r="A15" s="378" t="s">
        <v>1690</v>
      </c>
      <c r="B15" s="58" t="s">
        <v>1827</v>
      </c>
      <c r="C15" s="1818"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354" t="s">
        <v>1691</v>
      </c>
      <c r="Q15" s="1262" t="str">
        <f t="shared" si="6"/>
        <v>产业集聚程度</v>
      </c>
      <c r="R15" s="666" t="s">
        <v>14</v>
      </c>
      <c r="S15" s="667">
        <f t="shared" si="0"/>
        <v>100</v>
      </c>
      <c r="T15" s="666" t="s">
        <v>14</v>
      </c>
      <c r="U15" s="667">
        <f t="shared" si="1"/>
        <v>100</v>
      </c>
      <c r="V15" s="666" t="s">
        <v>14</v>
      </c>
      <c r="W15" s="667">
        <f t="shared" si="2"/>
        <v>100</v>
      </c>
      <c r="X15" s="1264"/>
      <c r="Y15" s="3354"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355"/>
      <c r="Q16" s="1262"/>
      <c r="R16" s="666"/>
      <c r="S16" s="667"/>
      <c r="T16" s="666"/>
      <c r="U16" s="667"/>
      <c r="V16" s="666"/>
      <c r="W16" s="667"/>
      <c r="X16" s="1264"/>
      <c r="Y16" s="3355"/>
      <c r="Z16" s="1263"/>
      <c r="AA16" s="1263">
        <v>1</v>
      </c>
      <c r="AB16" s="1263">
        <v>1</v>
      </c>
      <c r="AC16" s="1263">
        <v>1</v>
      </c>
    </row>
    <row r="17" spans="1:29" ht="85.5">
      <c r="A17" s="366"/>
      <c r="B17" s="389" t="s">
        <v>1259</v>
      </c>
      <c r="C17" s="1753"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355"/>
      <c r="Q17" s="1262" t="str">
        <f>B17</f>
        <v>交通便捷度</v>
      </c>
      <c r="R17" s="666" t="s">
        <v>14</v>
      </c>
      <c r="S17" s="667">
        <f>F17</f>
        <v>100</v>
      </c>
      <c r="T17" s="666" t="s">
        <v>14</v>
      </c>
      <c r="U17" s="667">
        <f>H17</f>
        <v>100</v>
      </c>
      <c r="V17" s="666" t="s">
        <v>14</v>
      </c>
      <c r="W17" s="667">
        <f>J17</f>
        <v>100</v>
      </c>
      <c r="X17" s="1264"/>
      <c r="Y17" s="3355"/>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355"/>
      <c r="Q18" s="1262"/>
      <c r="R18" s="666"/>
      <c r="S18" s="667"/>
      <c r="T18" s="666"/>
      <c r="U18" s="667"/>
      <c r="V18" s="666"/>
      <c r="W18" s="667"/>
      <c r="X18" s="1264"/>
      <c r="Y18" s="3355"/>
      <c r="Z18" s="1263"/>
      <c r="AA18" s="1263">
        <v>1</v>
      </c>
      <c r="AB18" s="1263">
        <v>1</v>
      </c>
      <c r="AC18" s="1263">
        <v>1</v>
      </c>
    </row>
    <row r="19" spans="1:29" ht="42.75">
      <c r="A19" s="366"/>
      <c r="B19" s="389" t="s">
        <v>1812</v>
      </c>
      <c r="C19" s="1753"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355"/>
      <c r="Q19" s="1262" t="str">
        <f>B19</f>
        <v>公共配套设施</v>
      </c>
      <c r="R19" s="666" t="s">
        <v>14</v>
      </c>
      <c r="S19" s="667">
        <f>F19</f>
        <v>100</v>
      </c>
      <c r="T19" s="666" t="s">
        <v>14</v>
      </c>
      <c r="U19" s="667">
        <f>H19</f>
        <v>100</v>
      </c>
      <c r="V19" s="666" t="s">
        <v>14</v>
      </c>
      <c r="W19" s="667">
        <f>J19</f>
        <v>100</v>
      </c>
      <c r="X19" s="1264"/>
      <c r="Y19" s="3355"/>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355"/>
      <c r="Q20" s="1262"/>
      <c r="R20" s="666"/>
      <c r="S20" s="667"/>
      <c r="T20" s="666"/>
      <c r="U20" s="667"/>
      <c r="V20" s="666"/>
      <c r="W20" s="667"/>
      <c r="X20" s="1264"/>
      <c r="Y20" s="3355"/>
      <c r="Z20" s="1263"/>
      <c r="AA20" s="1263">
        <v>1</v>
      </c>
      <c r="AB20" s="1263">
        <v>1</v>
      </c>
      <c r="AC20" s="1263">
        <v>1</v>
      </c>
    </row>
    <row r="21" spans="1:29" ht="28.5">
      <c r="A21" s="366"/>
      <c r="B21" s="585" t="s">
        <v>1813</v>
      </c>
      <c r="C21" s="1753"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355"/>
      <c r="Q21" s="1262" t="str">
        <f>B21</f>
        <v>基础设施水平</v>
      </c>
      <c r="R21" s="666" t="s">
        <v>14</v>
      </c>
      <c r="S21" s="667">
        <f>F21</f>
        <v>100</v>
      </c>
      <c r="T21" s="666" t="s">
        <v>14</v>
      </c>
      <c r="U21" s="667">
        <f>H21</f>
        <v>100</v>
      </c>
      <c r="V21" s="666" t="s">
        <v>14</v>
      </c>
      <c r="W21" s="667">
        <f>J21</f>
        <v>100</v>
      </c>
      <c r="X21" s="1264"/>
      <c r="Y21" s="3355"/>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355"/>
      <c r="Q22" s="1262"/>
      <c r="R22" s="666"/>
      <c r="S22" s="667"/>
      <c r="T22" s="666"/>
      <c r="U22" s="667"/>
      <c r="V22" s="666"/>
      <c r="W22" s="667"/>
      <c r="X22" s="1264"/>
      <c r="Y22" s="3355"/>
      <c r="Z22" s="1263"/>
      <c r="AA22" s="1263">
        <v>1</v>
      </c>
      <c r="AB22" s="1263">
        <v>1</v>
      </c>
      <c r="AC22" s="1263">
        <v>1</v>
      </c>
    </row>
    <row r="23" spans="1:29" ht="71.25">
      <c r="A23" s="366"/>
      <c r="B23" s="389" t="s">
        <v>1814</v>
      </c>
      <c r="C23" s="1753"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355"/>
      <c r="Q23" s="1262" t="str">
        <f>B23</f>
        <v>环境质量</v>
      </c>
      <c r="R23" s="666" t="s">
        <v>14</v>
      </c>
      <c r="S23" s="667">
        <f>F23</f>
        <v>100</v>
      </c>
      <c r="T23" s="666" t="s">
        <v>14</v>
      </c>
      <c r="U23" s="667">
        <f>H23</f>
        <v>100</v>
      </c>
      <c r="V23" s="666" t="s">
        <v>14</v>
      </c>
      <c r="W23" s="667">
        <f>J23</f>
        <v>100</v>
      </c>
      <c r="X23" s="1264"/>
      <c r="Y23" s="3355"/>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355"/>
      <c r="Q24" s="1262"/>
      <c r="R24" s="666"/>
      <c r="S24" s="667"/>
      <c r="T24" s="666"/>
      <c r="U24" s="667"/>
      <c r="V24" s="666"/>
      <c r="W24" s="667"/>
      <c r="X24" s="1264"/>
      <c r="Y24" s="3355"/>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355"/>
      <c r="Q25" s="1262">
        <f>B25</f>
        <v>111</v>
      </c>
      <c r="R25" s="666" t="s">
        <v>14</v>
      </c>
      <c r="S25" s="667">
        <f>F25</f>
        <v>100</v>
      </c>
      <c r="T25" s="666" t="s">
        <v>14</v>
      </c>
      <c r="U25" s="667">
        <f>H25</f>
        <v>100</v>
      </c>
      <c r="V25" s="666" t="s">
        <v>14</v>
      </c>
      <c r="W25" s="667">
        <f>J25</f>
        <v>100</v>
      </c>
      <c r="X25" s="1264"/>
      <c r="Y25" s="3355"/>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355"/>
      <c r="Q26" s="1262">
        <f t="shared" ref="Q26:Q40" si="11">B26</f>
        <v>111</v>
      </c>
      <c r="R26" s="666" t="s">
        <v>14</v>
      </c>
      <c r="S26" s="667">
        <f>F26</f>
        <v>100</v>
      </c>
      <c r="T26" s="666" t="s">
        <v>14</v>
      </c>
      <c r="U26" s="667">
        <f>H26</f>
        <v>100</v>
      </c>
      <c r="V26" s="666" t="s">
        <v>14</v>
      </c>
      <c r="W26" s="667">
        <f>J26</f>
        <v>100</v>
      </c>
      <c r="X26" s="1264"/>
      <c r="Y26" s="3355"/>
      <c r="Z26" s="1263">
        <f>Q26</f>
        <v>111</v>
      </c>
      <c r="AA26" s="1263">
        <f t="shared" si="3"/>
        <v>1</v>
      </c>
      <c r="AB26" s="1263">
        <f t="shared" si="4"/>
        <v>1</v>
      </c>
      <c r="AC26" s="1263">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355"/>
      <c r="Q27" s="529">
        <f t="shared" si="11"/>
        <v>111</v>
      </c>
      <c r="R27" s="663" t="s">
        <v>14</v>
      </c>
      <c r="S27" s="664">
        <f>F27</f>
        <v>100</v>
      </c>
      <c r="T27" s="663" t="s">
        <v>14</v>
      </c>
      <c r="U27" s="664">
        <f>H27</f>
        <v>100</v>
      </c>
      <c r="V27" s="663" t="s">
        <v>14</v>
      </c>
      <c r="W27" s="664">
        <f>J27</f>
        <v>100</v>
      </c>
      <c r="X27" s="665"/>
      <c r="Y27" s="3355"/>
      <c r="Z27" s="50">
        <f>Q27</f>
        <v>111</v>
      </c>
      <c r="AA27" s="1263">
        <f>D27/F27</f>
        <v>1</v>
      </c>
      <c r="AB27" s="1263">
        <f>D27/H27</f>
        <v>1</v>
      </c>
      <c r="AC27" s="1263">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355"/>
      <c r="Q28" s="1262">
        <f t="shared" si="11"/>
        <v>111</v>
      </c>
      <c r="R28" s="666" t="s">
        <v>14</v>
      </c>
      <c r="S28" s="667">
        <f t="shared" ref="S28:S40" si="12">F28</f>
        <v>100</v>
      </c>
      <c r="T28" s="666" t="s">
        <v>14</v>
      </c>
      <c r="U28" s="667">
        <f t="shared" ref="U28:U40" si="13">H28</f>
        <v>100</v>
      </c>
      <c r="V28" s="666" t="s">
        <v>14</v>
      </c>
      <c r="W28" s="667">
        <f t="shared" ref="W28:W40" si="14">J28</f>
        <v>100</v>
      </c>
      <c r="X28" s="1264"/>
      <c r="Y28" s="3355"/>
      <c r="Z28" s="1263">
        <f t="shared" ref="Z28:Z40" si="15">Q28</f>
        <v>111</v>
      </c>
      <c r="AA28" s="1263">
        <f t="shared" si="3"/>
        <v>1</v>
      </c>
      <c r="AB28" s="1263">
        <f t="shared" si="4"/>
        <v>1</v>
      </c>
      <c r="AC28" s="1263">
        <f t="shared" si="5"/>
        <v>1</v>
      </c>
    </row>
    <row r="29" spans="1:29" ht="28.5">
      <c r="A29" s="403" t="s">
        <v>1694</v>
      </c>
      <c r="B29" s="60"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30" t="s">
        <v>1696</v>
      </c>
      <c r="Q29" s="1262" t="str">
        <f t="shared" si="11"/>
        <v>建筑类型</v>
      </c>
      <c r="R29" s="666" t="s">
        <v>14</v>
      </c>
      <c r="S29" s="667">
        <f t="shared" si="12"/>
        <v>100</v>
      </c>
      <c r="T29" s="666" t="s">
        <v>14</v>
      </c>
      <c r="U29" s="667">
        <f t="shared" si="13"/>
        <v>100</v>
      </c>
      <c r="V29" s="666" t="s">
        <v>14</v>
      </c>
      <c r="W29" s="667">
        <f t="shared" si="14"/>
        <v>100</v>
      </c>
      <c r="X29" s="1264"/>
      <c r="Y29" s="3359"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359"/>
      <c r="Q30" s="530" t="str">
        <f t="shared" si="11"/>
        <v>项目建筑规模</v>
      </c>
      <c r="R30" s="668" t="s">
        <v>14</v>
      </c>
      <c r="S30" s="669" t="e">
        <f t="shared" si="12"/>
        <v>#N/A</v>
      </c>
      <c r="T30" s="668" t="s">
        <v>14</v>
      </c>
      <c r="U30" s="669" t="e">
        <f t="shared" si="13"/>
        <v>#N/A</v>
      </c>
      <c r="V30" s="668" t="s">
        <v>14</v>
      </c>
      <c r="W30" s="669" t="e">
        <f t="shared" si="14"/>
        <v>#N/A</v>
      </c>
      <c r="X30" s="670"/>
      <c r="Y30" s="3359"/>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359"/>
      <c r="Q31" s="1262" t="str">
        <f t="shared" si="11"/>
        <v>建筑结构</v>
      </c>
      <c r="R31" s="666" t="s">
        <v>14</v>
      </c>
      <c r="S31" s="667">
        <f t="shared" si="12"/>
        <v>100</v>
      </c>
      <c r="T31" s="666" t="s">
        <v>14</v>
      </c>
      <c r="U31" s="667">
        <f t="shared" si="13"/>
        <v>100</v>
      </c>
      <c r="V31" s="666" t="s">
        <v>14</v>
      </c>
      <c r="W31" s="667">
        <f t="shared" si="14"/>
        <v>100</v>
      </c>
      <c r="X31" s="1264"/>
      <c r="Y31" s="3359"/>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359"/>
      <c r="Q32" s="1262" t="str">
        <f t="shared" si="11"/>
        <v>公共部分装修</v>
      </c>
      <c r="R32" s="666" t="s">
        <v>14</v>
      </c>
      <c r="S32" s="667">
        <f t="shared" si="12"/>
        <v>100</v>
      </c>
      <c r="T32" s="666" t="s">
        <v>14</v>
      </c>
      <c r="U32" s="667">
        <f t="shared" si="13"/>
        <v>100</v>
      </c>
      <c r="V32" s="666" t="s">
        <v>14</v>
      </c>
      <c r="W32" s="667">
        <f t="shared" si="14"/>
        <v>100</v>
      </c>
      <c r="X32" s="1264"/>
      <c r="Y32" s="3359"/>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359"/>
      <c r="Q33" s="1262" t="str">
        <f t="shared" si="11"/>
        <v>成新度</v>
      </c>
      <c r="R33" s="666" t="s">
        <v>14</v>
      </c>
      <c r="S33" s="667" t="e">
        <f t="shared" si="12"/>
        <v>#N/A</v>
      </c>
      <c r="T33" s="666" t="s">
        <v>14</v>
      </c>
      <c r="U33" s="667" t="e">
        <f t="shared" si="13"/>
        <v>#N/A</v>
      </c>
      <c r="V33" s="666" t="s">
        <v>14</v>
      </c>
      <c r="W33" s="667" t="e">
        <f t="shared" si="14"/>
        <v>#N/A</v>
      </c>
      <c r="X33" s="1264"/>
      <c r="Y33" s="3359"/>
      <c r="Z33" s="1263" t="str">
        <f t="shared" si="15"/>
        <v>成新度</v>
      </c>
      <c r="AA33" s="1263" t="e">
        <f t="shared" si="3"/>
        <v>#N/A</v>
      </c>
      <c r="AB33" s="1263" t="e">
        <f t="shared" si="4"/>
        <v>#N/A</v>
      </c>
      <c r="AC33" s="1263"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359"/>
      <c r="Q34" s="529" t="str">
        <f t="shared" si="11"/>
        <v>物业管理</v>
      </c>
      <c r="R34" s="663" t="s">
        <v>14</v>
      </c>
      <c r="S34" s="664">
        <f t="shared" si="12"/>
        <v>100</v>
      </c>
      <c r="T34" s="663" t="s">
        <v>14</v>
      </c>
      <c r="U34" s="664">
        <f t="shared" si="13"/>
        <v>100</v>
      </c>
      <c r="V34" s="663" t="s">
        <v>14</v>
      </c>
      <c r="W34" s="664">
        <f t="shared" si="14"/>
        <v>100</v>
      </c>
      <c r="X34" s="665"/>
      <c r="Y34" s="3359"/>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359" t="s">
        <v>1696</v>
      </c>
      <c r="Q35" s="1262" t="str">
        <f t="shared" si="11"/>
        <v>市政基础设施</v>
      </c>
      <c r="R35" s="666" t="s">
        <v>14</v>
      </c>
      <c r="S35" s="667">
        <f t="shared" si="12"/>
        <v>100</v>
      </c>
      <c r="T35" s="666" t="s">
        <v>14</v>
      </c>
      <c r="U35" s="667">
        <f t="shared" si="13"/>
        <v>100</v>
      </c>
      <c r="V35" s="666" t="s">
        <v>14</v>
      </c>
      <c r="W35" s="667">
        <f t="shared" si="14"/>
        <v>100</v>
      </c>
      <c r="X35" s="1264"/>
      <c r="Y35" s="3359"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359"/>
      <c r="Q36" s="1262" t="str">
        <f t="shared" si="11"/>
        <v>内部装修</v>
      </c>
      <c r="R36" s="666" t="s">
        <v>14</v>
      </c>
      <c r="S36" s="667">
        <f t="shared" si="12"/>
        <v>100</v>
      </c>
      <c r="T36" s="666" t="s">
        <v>14</v>
      </c>
      <c r="U36" s="667">
        <f t="shared" si="13"/>
        <v>100</v>
      </c>
      <c r="V36" s="666" t="s">
        <v>14</v>
      </c>
      <c r="W36" s="667">
        <f t="shared" si="14"/>
        <v>100</v>
      </c>
      <c r="X36" s="1264"/>
      <c r="Y36" s="3359"/>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359"/>
      <c r="Q37" s="1262" t="str">
        <f t="shared" si="11"/>
        <v>内部装修状况</v>
      </c>
      <c r="R37" s="666" t="s">
        <v>14</v>
      </c>
      <c r="S37" s="667">
        <f t="shared" si="12"/>
        <v>100</v>
      </c>
      <c r="T37" s="666" t="s">
        <v>14</v>
      </c>
      <c r="U37" s="667">
        <f t="shared" si="13"/>
        <v>100</v>
      </c>
      <c r="V37" s="666" t="s">
        <v>14</v>
      </c>
      <c r="W37" s="667">
        <f t="shared" si="14"/>
        <v>100</v>
      </c>
      <c r="X37" s="1264"/>
      <c r="Y37" s="3359"/>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359"/>
      <c r="Q38" s="530">
        <f t="shared" si="11"/>
        <v>111</v>
      </c>
      <c r="R38" s="668" t="s">
        <v>14</v>
      </c>
      <c r="S38" s="669">
        <f t="shared" si="12"/>
        <v>100</v>
      </c>
      <c r="T38" s="668" t="s">
        <v>14</v>
      </c>
      <c r="U38" s="669">
        <f t="shared" si="13"/>
        <v>100</v>
      </c>
      <c r="V38" s="668" t="s">
        <v>14</v>
      </c>
      <c r="W38" s="669">
        <f t="shared" si="14"/>
        <v>100</v>
      </c>
      <c r="X38" s="670"/>
      <c r="Y38" s="3359"/>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359"/>
      <c r="Q39" s="1262">
        <f t="shared" si="11"/>
        <v>111</v>
      </c>
      <c r="R39" s="666" t="s">
        <v>14</v>
      </c>
      <c r="S39" s="667">
        <f t="shared" si="12"/>
        <v>100</v>
      </c>
      <c r="T39" s="666" t="s">
        <v>14</v>
      </c>
      <c r="U39" s="667">
        <f t="shared" si="13"/>
        <v>100</v>
      </c>
      <c r="V39" s="666" t="s">
        <v>14</v>
      </c>
      <c r="W39" s="667">
        <f t="shared" si="14"/>
        <v>100</v>
      </c>
      <c r="X39" s="1264"/>
      <c r="Y39" s="3359"/>
      <c r="Z39" s="1263">
        <f t="shared" si="15"/>
        <v>111</v>
      </c>
      <c r="AA39" s="1263">
        <f t="shared" si="3"/>
        <v>1</v>
      </c>
      <c r="AB39" s="1263">
        <f t="shared" si="4"/>
        <v>1</v>
      </c>
      <c r="AC39" s="1263">
        <f t="shared" si="5"/>
        <v>1</v>
      </c>
    </row>
    <row r="40" spans="1:29" ht="15.75"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360"/>
      <c r="Q40" s="1262">
        <f t="shared" si="11"/>
        <v>111</v>
      </c>
      <c r="R40" s="666" t="s">
        <v>14</v>
      </c>
      <c r="S40" s="667">
        <f t="shared" si="12"/>
        <v>100</v>
      </c>
      <c r="T40" s="666" t="s">
        <v>14</v>
      </c>
      <c r="U40" s="667">
        <f t="shared" si="13"/>
        <v>100</v>
      </c>
      <c r="V40" s="666" t="s">
        <v>14</v>
      </c>
      <c r="W40" s="667">
        <f t="shared" si="14"/>
        <v>100</v>
      </c>
      <c r="X40" s="1264"/>
      <c r="Y40" s="3360"/>
      <c r="Z40" s="1263">
        <f t="shared" si="15"/>
        <v>111</v>
      </c>
      <c r="AA40" s="1263">
        <f t="shared" si="3"/>
        <v>1</v>
      </c>
      <c r="AB40" s="1263">
        <f t="shared" si="4"/>
        <v>1</v>
      </c>
      <c r="AC40" s="1263">
        <f t="shared" si="5"/>
        <v>1</v>
      </c>
    </row>
    <row r="41" spans="1:29" ht="15">
      <c r="A41" s="415" t="s">
        <v>1708</v>
      </c>
      <c r="B41" s="416"/>
      <c r="C41" s="1080" t="s">
        <v>0</v>
      </c>
      <c r="D41" s="417"/>
      <c r="E41" s="418"/>
      <c r="F41" s="419"/>
      <c r="G41" s="420"/>
      <c r="H41" s="421"/>
      <c r="I41" s="418"/>
      <c r="J41" s="421"/>
      <c r="K41" s="673"/>
      <c r="L41" s="872"/>
      <c r="M41" s="860"/>
      <c r="N41" s="860"/>
      <c r="O41" s="860"/>
      <c r="P41" s="3347" t="str">
        <f>A41</f>
        <v>成交单价（元/平方米）</v>
      </c>
      <c r="Q41" s="3347"/>
      <c r="R41" s="3348">
        <f>E41</f>
        <v>0</v>
      </c>
      <c r="S41" s="3348"/>
      <c r="T41" s="3348">
        <f>G41</f>
        <v>0</v>
      </c>
      <c r="U41" s="3348"/>
      <c r="V41" s="3348">
        <f>I41</f>
        <v>0</v>
      </c>
      <c r="W41" s="3348"/>
      <c r="X41" s="384"/>
      <c r="Y41" s="672"/>
      <c r="Z41" s="384"/>
      <c r="AA41" s="384"/>
      <c r="AB41" s="384"/>
      <c r="AC41" s="384"/>
    </row>
    <row r="42" spans="1:29" ht="15.75" thickBot="1">
      <c r="A42" s="422" t="s">
        <v>1793</v>
      </c>
      <c r="B42" s="423"/>
      <c r="C42" s="1081" t="e">
        <f>R43</f>
        <v>#DIV/0!</v>
      </c>
      <c r="D42" s="2140" t="s">
        <v>2138</v>
      </c>
      <c r="E42" s="1082" t="e">
        <f>R42</f>
        <v>#DIV/0!</v>
      </c>
      <c r="F42" s="2141"/>
      <c r="G42" s="1081" t="e">
        <f>T42</f>
        <v>#DIV/0!</v>
      </c>
      <c r="H42" s="2141"/>
      <c r="I42" s="1082" t="e">
        <f>V42</f>
        <v>#DIV/0!</v>
      </c>
      <c r="J42" s="2141"/>
      <c r="K42" s="2143">
        <f>F42+H42+J42</f>
        <v>0</v>
      </c>
      <c r="L42" s="872"/>
      <c r="M42" s="860"/>
      <c r="N42" s="860"/>
      <c r="O42" s="860"/>
      <c r="P42" s="3347" t="str">
        <f>A42</f>
        <v>比较价值（元/平方米）</v>
      </c>
      <c r="Q42" s="3347"/>
      <c r="R42" s="3348" t="e">
        <f>IF(F1="售价",ROUND(PRODUCT(R41,AA7:AA40),0),ROUND(PRODUCT(R41,AA7:AA40),1))</f>
        <v>#DIV/0!</v>
      </c>
      <c r="S42" s="3348"/>
      <c r="T42" s="3348" t="e">
        <f>IF(F1="售价",ROUND(PRODUCT(T41,AB7:AB40),0),ROUND(PRODUCT(T41,AB7:AB40),1))</f>
        <v>#DIV/0!</v>
      </c>
      <c r="U42" s="3348"/>
      <c r="V42" s="3348" t="e">
        <f>IF(F1="售价",ROUND(PRODUCT(V41,AC7:AC40),0),ROUND(PRODUCT(V41,AC7:AC40),1))</f>
        <v>#DIV/0!</v>
      </c>
      <c r="W42" s="3348"/>
      <c r="X42" s="384"/>
      <c r="Y42" s="384"/>
      <c r="Z42" s="384"/>
      <c r="AA42" s="384"/>
      <c r="AB42" s="384"/>
      <c r="AC42" s="384"/>
    </row>
    <row r="43" spans="1:29" ht="15.75" thickBot="1">
      <c r="A43" s="426" t="s">
        <v>1794</v>
      </c>
      <c r="B43" s="427"/>
      <c r="C43" s="350" t="e">
        <f>R43</f>
        <v>#DIV/0!</v>
      </c>
      <c r="D43" s="350"/>
      <c r="E43" s="350"/>
      <c r="F43" s="350"/>
      <c r="G43" s="350"/>
      <c r="H43" s="350"/>
      <c r="I43" s="350"/>
      <c r="J43" s="350"/>
      <c r="K43" s="674"/>
      <c r="L43" s="872"/>
      <c r="M43" s="860"/>
      <c r="N43" s="860"/>
      <c r="O43" s="860"/>
      <c r="P43" s="3349" t="str">
        <f>A43</f>
        <v>估价对象XX用房的比较价值（楼面单价，元/平方米）</v>
      </c>
      <c r="Q43" s="3350"/>
      <c r="R43" s="3351" t="e">
        <f>IF(F1="售价",ROUND(IF(D42="简单平均",AVERAGE(R42:V42),R42*F42+T42*H42+V42*J42),0),ROUND(IF(D42="简单平均",AVERAGE(R42:V42),R42*F42+T42*H42+V42*J42),1))</f>
        <v>#DIV/0!</v>
      </c>
      <c r="S43" s="3351"/>
      <c r="T43" s="3351"/>
      <c r="U43" s="3351"/>
      <c r="V43" s="3351"/>
      <c r="W43" s="3351"/>
      <c r="X43" s="384"/>
      <c r="Y43" s="384"/>
      <c r="Z43" s="384"/>
      <c r="AA43" s="384"/>
      <c r="AB43" s="384"/>
      <c r="AC43" s="384"/>
    </row>
    <row r="44" spans="1:29">
      <c r="A44" s="2485"/>
      <c r="B44" s="2485"/>
      <c r="C44" s="2485"/>
      <c r="D44" s="2485"/>
      <c r="E44" s="2485"/>
      <c r="F44" s="2485"/>
      <c r="G44" s="2496"/>
      <c r="H44" s="2485"/>
      <c r="I44" s="2485"/>
      <c r="J44" s="2485"/>
      <c r="K44" s="2497"/>
      <c r="L44" s="835"/>
      <c r="M44" s="860"/>
      <c r="N44" s="860"/>
      <c r="O44" s="860"/>
    </row>
    <row r="45" spans="1:29">
      <c r="A45" s="2485"/>
      <c r="B45" s="2485"/>
      <c r="C45" s="2485"/>
      <c r="D45" s="2485"/>
      <c r="E45" s="2485"/>
      <c r="F45" s="2485"/>
      <c r="G45" s="2485"/>
      <c r="H45" s="2485"/>
      <c r="I45" s="2485"/>
      <c r="J45" s="2485"/>
      <c r="K45" s="2497"/>
      <c r="L45" s="835"/>
      <c r="M45" s="860"/>
      <c r="N45" s="860"/>
      <c r="O45" s="860"/>
    </row>
    <row r="46" spans="1:29" ht="13.5" customHeight="1">
      <c r="A46" s="2485"/>
      <c r="B46" s="2485"/>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7"/>
      <c r="L46" s="835"/>
      <c r="M46" s="860"/>
      <c r="N46" s="860"/>
      <c r="O46" s="860"/>
    </row>
    <row r="47" spans="1:29" ht="13.5" customHeight="1">
      <c r="A47" s="2485"/>
      <c r="B47" s="2485"/>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7"/>
      <c r="L47" s="835"/>
      <c r="M47" s="860"/>
      <c r="N47" s="860"/>
      <c r="O47" s="860"/>
    </row>
    <row r="48" spans="1:29" s="436" customFormat="1" ht="13.5" customHeight="1">
      <c r="A48" s="2495"/>
      <c r="B48" s="2495"/>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0"/>
      <c r="L48" s="875"/>
      <c r="M48" s="873"/>
      <c r="N48" s="873"/>
      <c r="O48" s="873"/>
    </row>
    <row r="49" spans="1:17" s="436" customFormat="1">
      <c r="A49" s="2495"/>
      <c r="B49" s="2498"/>
      <c r="C49" s="2499"/>
      <c r="D49" s="2495"/>
      <c r="E49" s="2495"/>
      <c r="F49" s="2495"/>
      <c r="G49" s="2495"/>
      <c r="H49" s="2495"/>
      <c r="I49" s="2495"/>
      <c r="J49" s="2495"/>
      <c r="K49" s="2500"/>
      <c r="L49" s="875"/>
      <c r="M49" s="873"/>
      <c r="N49" s="873"/>
      <c r="O49" s="873"/>
    </row>
    <row r="50" spans="1:17">
      <c r="A50" s="2485"/>
      <c r="B50" s="2498"/>
      <c r="C50" s="2499"/>
      <c r="D50" s="2485"/>
      <c r="E50" s="2485"/>
      <c r="F50" s="2485"/>
      <c r="G50" s="2485"/>
      <c r="H50" s="2485"/>
      <c r="I50" s="2485"/>
      <c r="J50" s="2485"/>
      <c r="K50" s="2497"/>
      <c r="L50" s="835"/>
      <c r="M50" s="860"/>
      <c r="N50" s="860"/>
      <c r="O50" s="860"/>
    </row>
    <row r="51" spans="1:17" ht="21.75" thickBot="1">
      <c r="A51" s="657" t="s">
        <v>1798</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2" t="str">
        <f>YEAR(C7)&amp;"-"&amp;MONTH(C7)</f>
        <v>2024-10</v>
      </c>
      <c r="D52" s="1103">
        <f>EDATE(C52,-1)</f>
        <v>45536</v>
      </c>
      <c r="E52" s="1103">
        <f t="shared" ref="E52:O52" si="16">EDATE(D52,-1)</f>
        <v>45505</v>
      </c>
      <c r="F52" s="1103">
        <f t="shared" si="16"/>
        <v>45474</v>
      </c>
      <c r="G52" s="1103">
        <f t="shared" si="16"/>
        <v>45444</v>
      </c>
      <c r="H52" s="1103">
        <f t="shared" si="16"/>
        <v>45413</v>
      </c>
      <c r="I52" s="1103">
        <f t="shared" si="16"/>
        <v>45383</v>
      </c>
      <c r="J52" s="1103">
        <f t="shared" si="16"/>
        <v>45352</v>
      </c>
      <c r="K52" s="1103">
        <f t="shared" si="16"/>
        <v>45323</v>
      </c>
      <c r="L52" s="1103">
        <f t="shared" si="16"/>
        <v>45292</v>
      </c>
      <c r="M52" s="1103">
        <f t="shared" si="16"/>
        <v>45261</v>
      </c>
      <c r="N52" s="1103">
        <f t="shared" si="16"/>
        <v>45231</v>
      </c>
      <c r="O52" s="1103">
        <f t="shared" si="16"/>
        <v>45200</v>
      </c>
    </row>
    <row r="53" spans="1:17" s="101" customFormat="1" ht="15">
      <c r="A53" s="442"/>
      <c r="B53" s="443"/>
      <c r="C53" s="1101">
        <v>100</v>
      </c>
      <c r="D53" s="445"/>
      <c r="E53" s="445"/>
      <c r="F53" s="445"/>
      <c r="G53" s="445"/>
      <c r="H53" s="445"/>
      <c r="I53" s="445"/>
      <c r="J53" s="445"/>
      <c r="K53" s="445"/>
      <c r="L53" s="445"/>
      <c r="M53" s="446"/>
      <c r="N53" s="445"/>
      <c r="O53" s="447"/>
      <c r="P53" s="438"/>
    </row>
    <row r="54" spans="1:17" s="101" customFormat="1" ht="15.75" thickBot="1">
      <c r="A54" s="448" t="s">
        <v>1716</v>
      </c>
      <c r="B54" s="449"/>
      <c r="C54" s="450"/>
      <c r="D54" s="451"/>
      <c r="E54" s="451"/>
      <c r="F54" s="451"/>
      <c r="G54" s="451"/>
      <c r="H54" s="451"/>
      <c r="I54" s="451"/>
      <c r="J54" s="451"/>
      <c r="K54" s="451"/>
      <c r="L54" s="451"/>
      <c r="M54" s="452"/>
      <c r="N54" s="2536"/>
      <c r="O54" s="2537"/>
      <c r="P54" s="438"/>
      <c r="Q54" s="438"/>
    </row>
    <row r="55" spans="1:17" s="101" customFormat="1" ht="15">
      <c r="A55" s="454" t="s">
        <v>1681</v>
      </c>
      <c r="B55" s="443"/>
      <c r="C55" s="455" t="s">
        <v>1776</v>
      </c>
      <c r="D55" s="31"/>
      <c r="E55" s="31"/>
      <c r="F55" s="31"/>
      <c r="G55" s="31"/>
      <c r="H55" s="31"/>
      <c r="I55" s="31"/>
      <c r="J55" s="31"/>
      <c r="K55" s="31"/>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1719</v>
      </c>
      <c r="B57" s="459" t="s">
        <v>1685</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1688</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5.75" thickTop="1">
      <c r="A80" s="369"/>
      <c r="B80" s="468">
        <f>B25</f>
        <v>111</v>
      </c>
      <c r="C80" s="484"/>
      <c r="D80" s="484"/>
      <c r="E80" s="484"/>
      <c r="F80" s="484"/>
      <c r="G80" s="484"/>
      <c r="H80" s="484"/>
      <c r="I80" s="484"/>
      <c r="J80" s="484"/>
      <c r="K80" s="484"/>
      <c r="L80" s="509"/>
      <c r="M80" s="510"/>
      <c r="N80" s="877"/>
      <c r="O80" s="877"/>
      <c r="P80" s="40"/>
      <c r="Q80" s="438"/>
    </row>
    <row r="81" spans="1:17" s="101" customFormat="1" ht="15.75" thickBot="1">
      <c r="A81" s="369"/>
      <c r="B81" s="473"/>
      <c r="C81" s="490"/>
      <c r="D81" s="466"/>
      <c r="E81" s="466"/>
      <c r="F81" s="466"/>
      <c r="G81" s="466"/>
      <c r="H81" s="466"/>
      <c r="I81" s="466"/>
      <c r="J81" s="466"/>
      <c r="K81" s="466"/>
      <c r="L81" s="466"/>
      <c r="M81" s="467"/>
      <c r="N81" s="879"/>
      <c r="O81" s="879"/>
      <c r="P81" s="40"/>
      <c r="Q81" s="438"/>
    </row>
    <row r="82" spans="1:17" s="101" customFormat="1" ht="15.75" thickTop="1">
      <c r="A82" s="369"/>
      <c r="B82" s="468">
        <f>B26</f>
        <v>111</v>
      </c>
      <c r="C82" s="484"/>
      <c r="D82" s="484"/>
      <c r="E82" s="484"/>
      <c r="F82" s="484"/>
      <c r="G82" s="484"/>
      <c r="H82" s="484"/>
      <c r="I82" s="484"/>
      <c r="J82" s="484"/>
      <c r="K82" s="484"/>
      <c r="L82" s="509"/>
      <c r="M82" s="510"/>
      <c r="N82" s="877"/>
      <c r="O82" s="877"/>
      <c r="P82" s="40"/>
      <c r="Q82" s="438"/>
    </row>
    <row r="83" spans="1:17" s="101"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1694</v>
      </c>
      <c r="B88" s="459" t="s">
        <v>1736</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3335</v>
      </c>
      <c r="C1" s="1140" t="s">
        <v>1662</v>
      </c>
      <c r="D1" s="1141"/>
      <c r="E1" s="3129"/>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1"/>
      <c r="M2" s="2502"/>
      <c r="N2" s="2502"/>
      <c r="O2" s="2502"/>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1"/>
      <c r="M3" s="2502" t="e">
        <f ca="1">IF(C2="——",IF(B37="元/平方米",ROUND(C39*D3/10000,0),ROUND(F3*C39/10000,0)),IF(B37="元/平方米",ROUND(C39*D3/10000,0),ROUND(F3*C39/10000,0))-D2)</f>
        <v>#DIV/0!</v>
      </c>
      <c r="N3" s="2502"/>
      <c r="O3" s="2502"/>
      <c r="P3" s="1085"/>
      <c r="Q3" s="340"/>
      <c r="R3" s="340"/>
      <c r="S3" s="340"/>
      <c r="T3" s="340"/>
      <c r="U3" s="340"/>
      <c r="V3" s="340"/>
      <c r="W3" s="340"/>
      <c r="X3" s="340"/>
      <c r="Y3" s="340"/>
      <c r="Z3" s="340"/>
      <c r="AA3" s="340"/>
      <c r="AB3" s="675"/>
      <c r="AC3" s="662"/>
    </row>
    <row r="4" spans="1:29" ht="15">
      <c r="A4" s="344" t="s">
        <v>1769</v>
      </c>
      <c r="B4" s="345"/>
      <c r="C4" s="3365" t="s">
        <v>1770</v>
      </c>
      <c r="D4" s="3366"/>
      <c r="E4" s="3367" t="s">
        <v>1771</v>
      </c>
      <c r="F4" s="3368"/>
      <c r="G4" s="3365" t="s">
        <v>1772</v>
      </c>
      <c r="H4" s="3366"/>
      <c r="I4" s="3365" t="s">
        <v>1773</v>
      </c>
      <c r="J4" s="3366"/>
      <c r="K4" s="536" t="s">
        <v>1774</v>
      </c>
      <c r="L4" s="2484"/>
      <c r="M4" s="2485"/>
      <c r="N4" s="2485"/>
      <c r="O4" s="2485"/>
      <c r="P4" s="3369" t="s">
        <v>1775</v>
      </c>
      <c r="Q4" s="3370"/>
      <c r="R4" s="3375" t="s">
        <v>1771</v>
      </c>
      <c r="S4" s="3376"/>
      <c r="T4" s="3375" t="s">
        <v>1772</v>
      </c>
      <c r="U4" s="3376"/>
      <c r="V4" s="3348" t="s">
        <v>1773</v>
      </c>
      <c r="W4" s="3348"/>
      <c r="X4" s="1264"/>
      <c r="Y4" s="3375" t="s">
        <v>1775</v>
      </c>
      <c r="Z4" s="3376"/>
      <c r="AA4" s="3362" t="s">
        <v>1771</v>
      </c>
      <c r="AB4" s="3363" t="s">
        <v>1772</v>
      </c>
      <c r="AC4" s="3362" t="s">
        <v>1773</v>
      </c>
    </row>
    <row r="5" spans="1:29" ht="15">
      <c r="A5" s="347"/>
      <c r="B5" s="348"/>
      <c r="C5" s="3383" t="s">
        <v>1673</v>
      </c>
      <c r="D5" s="3384"/>
      <c r="E5" s="3390" t="s">
        <v>1674</v>
      </c>
      <c r="F5" s="3391"/>
      <c r="G5" s="3383" t="s">
        <v>1675</v>
      </c>
      <c r="H5" s="3384"/>
      <c r="I5" s="3383" t="s">
        <v>1676</v>
      </c>
      <c r="J5" s="3384"/>
      <c r="K5" s="536"/>
      <c r="L5" s="2484"/>
      <c r="M5" s="2485"/>
      <c r="N5" s="2485"/>
      <c r="O5" s="2485"/>
      <c r="P5" s="3371"/>
      <c r="Q5" s="3372"/>
      <c r="R5" s="3377"/>
      <c r="S5" s="3378"/>
      <c r="T5" s="3377"/>
      <c r="U5" s="3378"/>
      <c r="V5" s="3348"/>
      <c r="W5" s="3348"/>
      <c r="X5" s="1264"/>
      <c r="Y5" s="3377"/>
      <c r="Z5" s="3378"/>
      <c r="AA5" s="3363"/>
      <c r="AB5" s="3363"/>
      <c r="AC5" s="3363"/>
    </row>
    <row r="6" spans="1:29" ht="15.75" thickBot="1">
      <c r="A6" s="349"/>
      <c r="B6" s="350"/>
      <c r="C6" s="3381" t="s">
        <v>1677</v>
      </c>
      <c r="D6" s="3382"/>
      <c r="E6" s="3388" t="s">
        <v>1677</v>
      </c>
      <c r="F6" s="3389"/>
      <c r="G6" s="3381" t="s">
        <v>1677</v>
      </c>
      <c r="H6" s="3382"/>
      <c r="I6" s="3381" t="s">
        <v>1677</v>
      </c>
      <c r="J6" s="3382"/>
      <c r="K6" s="536" t="s">
        <v>1678</v>
      </c>
      <c r="L6" s="2484"/>
      <c r="M6" s="2485"/>
      <c r="N6" s="2485"/>
      <c r="O6" s="2485"/>
      <c r="P6" s="3373"/>
      <c r="Q6" s="3374"/>
      <c r="R6" s="3377"/>
      <c r="S6" s="3378"/>
      <c r="T6" s="3379"/>
      <c r="U6" s="3380"/>
      <c r="V6" s="3348"/>
      <c r="W6" s="3348"/>
      <c r="X6" s="1264"/>
      <c r="Y6" s="3379"/>
      <c r="Z6" s="3380"/>
      <c r="AA6" s="3364"/>
      <c r="AB6" s="3364"/>
      <c r="AC6" s="3364"/>
    </row>
    <row r="7" spans="1:29" s="101" customFormat="1" ht="15.75" thickBot="1">
      <c r="A7" s="351" t="s">
        <v>1679</v>
      </c>
      <c r="B7" s="352"/>
      <c r="C7" s="353">
        <f>'数据-取费表'!B2</f>
        <v>45580</v>
      </c>
      <c r="D7" s="354">
        <v>100</v>
      </c>
      <c r="E7" s="355"/>
      <c r="F7" s="356">
        <f>SUMIF(48:48,YEAR(E7)&amp;"-"&amp;MONTH(E7),49:49)</f>
        <v>0</v>
      </c>
      <c r="G7" s="355"/>
      <c r="H7" s="354">
        <f>SUMIF(48:48,YEAR(G7)&amp;"-"&amp;MONTH(G7),49:49)</f>
        <v>0</v>
      </c>
      <c r="I7" s="355"/>
      <c r="J7" s="354">
        <f>SUMIF(48:48,YEAR(I7)&amp;"-"&amp;MONTH(I7),49:49)</f>
        <v>0</v>
      </c>
      <c r="K7" s="38"/>
      <c r="L7" s="2486"/>
      <c r="M7" s="2438"/>
      <c r="N7" s="2438"/>
      <c r="O7" s="2438"/>
      <c r="P7" s="3385" t="s">
        <v>1680</v>
      </c>
      <c r="Q7" s="3387"/>
      <c r="R7" s="663" t="s">
        <v>14</v>
      </c>
      <c r="S7" s="664">
        <f t="shared" ref="S7:S14" si="0">F7</f>
        <v>0</v>
      </c>
      <c r="T7" s="663" t="s">
        <v>14</v>
      </c>
      <c r="U7" s="664">
        <f t="shared" ref="U7:U14" si="1">H7</f>
        <v>0</v>
      </c>
      <c r="V7" s="663" t="s">
        <v>14</v>
      </c>
      <c r="W7" s="664">
        <f t="shared" ref="W7:W14" si="2">J7</f>
        <v>0</v>
      </c>
      <c r="X7" s="665"/>
      <c r="Y7" s="3385" t="s">
        <v>1680</v>
      </c>
      <c r="Z7" s="3386"/>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6"/>
      <c r="M8" s="2438"/>
      <c r="N8" s="2438"/>
      <c r="O8" s="2438"/>
      <c r="P8" s="3385" t="s">
        <v>1683</v>
      </c>
      <c r="Q8" s="3386"/>
      <c r="R8" s="663" t="s">
        <v>14</v>
      </c>
      <c r="S8" s="664">
        <f t="shared" si="0"/>
        <v>100</v>
      </c>
      <c r="T8" s="663" t="s">
        <v>14</v>
      </c>
      <c r="U8" s="664">
        <f t="shared" si="1"/>
        <v>100</v>
      </c>
      <c r="V8" s="663" t="s">
        <v>14</v>
      </c>
      <c r="W8" s="664">
        <f t="shared" si="2"/>
        <v>100</v>
      </c>
      <c r="X8" s="665"/>
      <c r="Y8" s="3385" t="s">
        <v>1683</v>
      </c>
      <c r="Z8" s="3386"/>
      <c r="AA8" s="50">
        <f t="shared" ref="AA8:AA36" si="3">D8/F8</f>
        <v>1</v>
      </c>
      <c r="AB8" s="50">
        <f t="shared" ref="AB8:AB36" si="4">D8/H8</f>
        <v>1</v>
      </c>
      <c r="AC8" s="50">
        <f t="shared" ref="AC8:AC36" si="5">D8/J8</f>
        <v>1</v>
      </c>
    </row>
    <row r="9" spans="1:29" s="101"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6"/>
      <c r="M9" s="2438"/>
      <c r="N9" s="2438"/>
      <c r="O9" s="2438"/>
      <c r="P9" s="3347" t="s">
        <v>1686</v>
      </c>
      <c r="Q9" s="529" t="str">
        <f t="shared" ref="Q9:Q14" si="6">B9</f>
        <v>用途</v>
      </c>
      <c r="R9" s="663" t="s">
        <v>14</v>
      </c>
      <c r="S9" s="664">
        <f t="shared" si="0"/>
        <v>100</v>
      </c>
      <c r="T9" s="663" t="s">
        <v>14</v>
      </c>
      <c r="U9" s="664">
        <f t="shared" si="1"/>
        <v>100</v>
      </c>
      <c r="V9" s="663" t="s">
        <v>14</v>
      </c>
      <c r="W9" s="664">
        <f t="shared" si="2"/>
        <v>100</v>
      </c>
      <c r="X9" s="665"/>
      <c r="Y9" s="3246" t="s">
        <v>1687</v>
      </c>
      <c r="Z9" s="50" t="str">
        <f t="shared" ref="Z9:Z14" si="7">Q9</f>
        <v>用途</v>
      </c>
      <c r="AA9" s="50">
        <f t="shared" si="3"/>
        <v>1</v>
      </c>
      <c r="AB9" s="50">
        <f t="shared" si="4"/>
        <v>1</v>
      </c>
      <c r="AC9" s="50">
        <f t="shared" si="5"/>
        <v>1</v>
      </c>
    </row>
    <row r="10" spans="1:29" s="365" customFormat="1" ht="27">
      <c r="A10" s="564"/>
      <c r="B10" s="565" t="s">
        <v>1688</v>
      </c>
      <c r="C10" s="3130"/>
      <c r="D10" s="118">
        <v>100</v>
      </c>
      <c r="E10" s="3130"/>
      <c r="F10" s="118">
        <f>SUMIF(55:55,E10,56:56)-SUMIF(55:55,C10,56:56)+100</f>
        <v>100</v>
      </c>
      <c r="G10" s="3131"/>
      <c r="H10" s="118">
        <f>SUMIF(55:55,G10,56:56)-SUMIF(55:55,C10,56:56)+100</f>
        <v>100</v>
      </c>
      <c r="I10" s="3130"/>
      <c r="J10" s="118">
        <f>SUMIF(55:55,I10,56:56)-SUMIF(55:55,C10,56:56)+100</f>
        <v>100</v>
      </c>
      <c r="K10" s="38"/>
      <c r="L10" s="2487"/>
      <c r="M10" s="2488"/>
      <c r="N10" s="2488"/>
      <c r="O10" s="2488"/>
      <c r="P10" s="3347"/>
      <c r="Q10" s="529" t="str">
        <f t="shared" si="6"/>
        <v>土地使用年限（年）</v>
      </c>
      <c r="R10" s="663" t="s">
        <v>14</v>
      </c>
      <c r="S10" s="664">
        <f t="shared" si="0"/>
        <v>100</v>
      </c>
      <c r="T10" s="663" t="s">
        <v>14</v>
      </c>
      <c r="U10" s="664">
        <f t="shared" si="1"/>
        <v>100</v>
      </c>
      <c r="V10" s="663" t="s">
        <v>14</v>
      </c>
      <c r="W10" s="664">
        <f t="shared" si="2"/>
        <v>100</v>
      </c>
      <c r="X10" s="665"/>
      <c r="Y10" s="3246"/>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9"/>
      <c r="M11" s="2485"/>
      <c r="N11" s="2485"/>
      <c r="O11" s="2485"/>
      <c r="P11" s="3347"/>
      <c r="Q11" s="529">
        <f t="shared" si="6"/>
        <v>111</v>
      </c>
      <c r="R11" s="663" t="s">
        <v>14</v>
      </c>
      <c r="S11" s="664">
        <f t="shared" si="0"/>
        <v>100</v>
      </c>
      <c r="T11" s="663" t="s">
        <v>14</v>
      </c>
      <c r="U11" s="664">
        <f t="shared" si="1"/>
        <v>100</v>
      </c>
      <c r="V11" s="663" t="s">
        <v>14</v>
      </c>
      <c r="W11" s="664">
        <f t="shared" si="2"/>
        <v>100</v>
      </c>
      <c r="X11" s="665"/>
      <c r="Y11" s="3246"/>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6"/>
      <c r="M12" s="2438"/>
      <c r="N12" s="2438"/>
      <c r="O12" s="2438"/>
      <c r="P12" s="3347"/>
      <c r="Q12" s="529">
        <f t="shared" si="6"/>
        <v>111</v>
      </c>
      <c r="R12" s="663" t="s">
        <v>14</v>
      </c>
      <c r="S12" s="664">
        <f t="shared" si="0"/>
        <v>100</v>
      </c>
      <c r="T12" s="663" t="s">
        <v>14</v>
      </c>
      <c r="U12" s="664">
        <f t="shared" si="1"/>
        <v>100</v>
      </c>
      <c r="V12" s="663" t="s">
        <v>14</v>
      </c>
      <c r="W12" s="664">
        <f t="shared" si="2"/>
        <v>100</v>
      </c>
      <c r="X12" s="665"/>
      <c r="Y12" s="3246"/>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0"/>
      <c r="M13" s="2485"/>
      <c r="N13" s="2485"/>
      <c r="O13" s="2485"/>
      <c r="P13" s="3347"/>
      <c r="Q13" s="529">
        <f t="shared" si="6"/>
        <v>111</v>
      </c>
      <c r="R13" s="663" t="s">
        <v>14</v>
      </c>
      <c r="S13" s="664">
        <f t="shared" si="0"/>
        <v>100</v>
      </c>
      <c r="T13" s="663" t="s">
        <v>14</v>
      </c>
      <c r="U13" s="664">
        <f t="shared" si="1"/>
        <v>100</v>
      </c>
      <c r="V13" s="663" t="s">
        <v>14</v>
      </c>
      <c r="W13" s="664">
        <f t="shared" si="2"/>
        <v>100</v>
      </c>
      <c r="X13" s="665"/>
      <c r="Y13" s="3246"/>
      <c r="Z13" s="50">
        <f t="shared" si="7"/>
        <v>111</v>
      </c>
      <c r="AA13" s="50">
        <f t="shared" si="3"/>
        <v>1</v>
      </c>
      <c r="AB13" s="50">
        <f t="shared" si="4"/>
        <v>1</v>
      </c>
      <c r="AC13" s="50">
        <f t="shared" si="5"/>
        <v>1</v>
      </c>
    </row>
    <row r="14" spans="1:29" ht="85.5">
      <c r="A14" s="344" t="s">
        <v>1690</v>
      </c>
      <c r="B14" s="553" t="s">
        <v>1833</v>
      </c>
      <c r="C14" s="1818" t="str">
        <f>IF(B1="工业",估价对象房地状况!G4,估价对象房地状况!C6)</f>
        <v>估价对象周边道路状况、公共交通通达情况、停车便捷程度，综合评价交通便捷度较好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90"/>
      <c r="M14" s="2485"/>
      <c r="N14" s="2485"/>
      <c r="O14" s="2485"/>
      <c r="P14" s="3354" t="s">
        <v>1691</v>
      </c>
      <c r="Q14" s="1262" t="str">
        <f t="shared" si="6"/>
        <v>交通便捷度</v>
      </c>
      <c r="R14" s="666" t="s">
        <v>14</v>
      </c>
      <c r="S14" s="667">
        <f t="shared" si="0"/>
        <v>100</v>
      </c>
      <c r="T14" s="666" t="s">
        <v>14</v>
      </c>
      <c r="U14" s="667">
        <f t="shared" si="1"/>
        <v>100</v>
      </c>
      <c r="V14" s="666" t="s">
        <v>14</v>
      </c>
      <c r="W14" s="667">
        <f t="shared" si="2"/>
        <v>100</v>
      </c>
      <c r="X14" s="1264"/>
      <c r="Y14" s="3354"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90"/>
      <c r="M15" s="2485"/>
      <c r="N15" s="2485"/>
      <c r="O15" s="2485"/>
      <c r="P15" s="3355"/>
      <c r="Q15" s="1262"/>
      <c r="R15" s="666"/>
      <c r="S15" s="667"/>
      <c r="T15" s="666"/>
      <c r="U15" s="667"/>
      <c r="V15" s="666"/>
      <c r="W15" s="667"/>
      <c r="X15" s="1264"/>
      <c r="Y15" s="3355"/>
      <c r="Z15" s="1263"/>
      <c r="AA15" s="1263">
        <v>1</v>
      </c>
      <c r="AB15" s="1263">
        <v>1</v>
      </c>
      <c r="AC15" s="1263">
        <v>1</v>
      </c>
    </row>
    <row r="16" spans="1:29" ht="42.75">
      <c r="A16" s="347"/>
      <c r="B16" s="555" t="s">
        <v>1812</v>
      </c>
      <c r="C16" s="1753" t="str">
        <f>IF(B1="工业",估价对象房地状况!G5,估价对象房地状况!C7)</f>
        <v>估价对象所在区域公共配套设施齐备情况</v>
      </c>
      <c r="D16" s="393">
        <v>100</v>
      </c>
      <c r="E16" s="395"/>
      <c r="F16" s="396">
        <f>SUMIF(65:65,E17,66:66)-SUMIF(65:65,C17,66:66)+100</f>
        <v>100</v>
      </c>
      <c r="G16" s="397"/>
      <c r="H16" s="393">
        <f>SUMIF(65:65,G17,66:66)-SUMIF(65:65,C17,66:66)+100</f>
        <v>100</v>
      </c>
      <c r="I16" s="395"/>
      <c r="J16" s="393">
        <f>SUMIF(65:65,I17,66:66)-SUMIF(65:65,C17,66:66)+100</f>
        <v>100</v>
      </c>
      <c r="K16" s="539"/>
      <c r="L16" s="2490"/>
      <c r="M16" s="2485"/>
      <c r="N16" s="2485"/>
      <c r="O16" s="2485"/>
      <c r="P16" s="3355"/>
      <c r="Q16" s="1262" t="str">
        <f>B16</f>
        <v>公共配套设施</v>
      </c>
      <c r="R16" s="666" t="s">
        <v>14</v>
      </c>
      <c r="S16" s="667">
        <f>F16</f>
        <v>100</v>
      </c>
      <c r="T16" s="666" t="s">
        <v>14</v>
      </c>
      <c r="U16" s="667">
        <f>H16</f>
        <v>100</v>
      </c>
      <c r="V16" s="666" t="s">
        <v>14</v>
      </c>
      <c r="W16" s="667">
        <f>J16</f>
        <v>100</v>
      </c>
      <c r="X16" s="1264"/>
      <c r="Y16" s="3355"/>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90"/>
      <c r="M17" s="2485"/>
      <c r="N17" s="2485"/>
      <c r="O17" s="2485"/>
      <c r="P17" s="3355"/>
      <c r="Q17" s="1262"/>
      <c r="R17" s="666"/>
      <c r="S17" s="667"/>
      <c r="T17" s="666"/>
      <c r="U17" s="667"/>
      <c r="V17" s="666"/>
      <c r="W17" s="667"/>
      <c r="X17" s="1264"/>
      <c r="Y17" s="3355"/>
      <c r="Z17" s="1263"/>
      <c r="AA17" s="1263">
        <v>1</v>
      </c>
      <c r="AB17" s="1263">
        <v>1</v>
      </c>
      <c r="AC17" s="1263">
        <v>1</v>
      </c>
    </row>
    <row r="18" spans="1:29" ht="28.5">
      <c r="A18" s="347"/>
      <c r="B18" s="556" t="s">
        <v>1813</v>
      </c>
      <c r="C18" s="1753"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90"/>
      <c r="M18" s="2485"/>
      <c r="N18" s="2485"/>
      <c r="O18" s="2485"/>
      <c r="P18" s="3355"/>
      <c r="Q18" s="1262" t="str">
        <f>B18</f>
        <v>基础设施水平</v>
      </c>
      <c r="R18" s="666" t="s">
        <v>14</v>
      </c>
      <c r="S18" s="667">
        <f>F18</f>
        <v>100</v>
      </c>
      <c r="T18" s="666" t="s">
        <v>14</v>
      </c>
      <c r="U18" s="667">
        <f>H18</f>
        <v>100</v>
      </c>
      <c r="V18" s="666" t="s">
        <v>14</v>
      </c>
      <c r="W18" s="667">
        <f>J18</f>
        <v>100</v>
      </c>
      <c r="X18" s="1264"/>
      <c r="Y18" s="3355"/>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90"/>
      <c r="M19" s="2485"/>
      <c r="N19" s="2485"/>
      <c r="O19" s="2485"/>
      <c r="P19" s="3355"/>
      <c r="Q19" s="1262"/>
      <c r="R19" s="666"/>
      <c r="S19" s="667"/>
      <c r="T19" s="666"/>
      <c r="U19" s="667"/>
      <c r="V19" s="666"/>
      <c r="W19" s="667"/>
      <c r="X19" s="1264"/>
      <c r="Y19" s="3355"/>
      <c r="Z19" s="1263"/>
      <c r="AA19" s="1263">
        <v>1</v>
      </c>
      <c r="AB19" s="1263">
        <v>1</v>
      </c>
      <c r="AC19" s="1263">
        <v>1</v>
      </c>
    </row>
    <row r="20" spans="1:29" ht="57">
      <c r="A20" s="347"/>
      <c r="B20" s="555" t="s">
        <v>1834</v>
      </c>
      <c r="C20" s="1753" t="str">
        <f>IF(B1="工业",估价对象房地状况!G7,估价对象房地状况!C9)</f>
        <v>区域自然环境：；人文环境；综合评价环境状况一般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90"/>
      <c r="M20" s="2485"/>
      <c r="N20" s="2485"/>
      <c r="O20" s="2485"/>
      <c r="P20" s="3355"/>
      <c r="Q20" s="1262" t="str">
        <f>B20</f>
        <v>自然及人文环境</v>
      </c>
      <c r="R20" s="666" t="s">
        <v>14</v>
      </c>
      <c r="S20" s="667">
        <f>F20</f>
        <v>100</v>
      </c>
      <c r="T20" s="666" t="s">
        <v>14</v>
      </c>
      <c r="U20" s="667">
        <f>H20</f>
        <v>100</v>
      </c>
      <c r="V20" s="666" t="s">
        <v>14</v>
      </c>
      <c r="W20" s="667">
        <f>J20</f>
        <v>100</v>
      </c>
      <c r="X20" s="1264"/>
      <c r="Y20" s="3355"/>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90"/>
      <c r="M21" s="2485"/>
      <c r="N21" s="2485"/>
      <c r="O21" s="2485"/>
      <c r="P21" s="3355"/>
      <c r="Q21" s="1262"/>
      <c r="R21" s="666"/>
      <c r="S21" s="667"/>
      <c r="T21" s="666"/>
      <c r="U21" s="667"/>
      <c r="V21" s="666"/>
      <c r="W21" s="667"/>
      <c r="X21" s="1264"/>
      <c r="Y21" s="3355"/>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90"/>
      <c r="M22" s="2485"/>
      <c r="N22" s="2485"/>
      <c r="O22" s="2485"/>
      <c r="P22" s="3355"/>
      <c r="Q22" s="1262" t="str">
        <f>B22</f>
        <v>楼层</v>
      </c>
      <c r="R22" s="666" t="s">
        <v>14</v>
      </c>
      <c r="S22" s="667">
        <f>F22</f>
        <v>100</v>
      </c>
      <c r="T22" s="666" t="s">
        <v>14</v>
      </c>
      <c r="U22" s="667">
        <f>H22</f>
        <v>100</v>
      </c>
      <c r="V22" s="666" t="s">
        <v>14</v>
      </c>
      <c r="W22" s="667">
        <f>J22</f>
        <v>100</v>
      </c>
      <c r="X22" s="1264"/>
      <c r="Y22" s="3355"/>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0"/>
      <c r="M23" s="2485"/>
      <c r="N23" s="2485"/>
      <c r="O23" s="2485"/>
      <c r="P23" s="3355"/>
      <c r="Q23" s="1262">
        <f>B23</f>
        <v>111</v>
      </c>
      <c r="R23" s="666" t="s">
        <v>14</v>
      </c>
      <c r="S23" s="667">
        <f>F23</f>
        <v>100</v>
      </c>
      <c r="T23" s="666" t="s">
        <v>14</v>
      </c>
      <c r="U23" s="667">
        <f>H23</f>
        <v>100</v>
      </c>
      <c r="V23" s="666" t="s">
        <v>14</v>
      </c>
      <c r="W23" s="667">
        <f>J23</f>
        <v>100</v>
      </c>
      <c r="X23" s="1264"/>
      <c r="Y23" s="3355"/>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0"/>
      <c r="M24" s="2485"/>
      <c r="N24" s="2485"/>
      <c r="O24" s="2485"/>
      <c r="P24" s="3355"/>
      <c r="Q24" s="1262">
        <f t="shared" ref="Q24:Q36" si="11">B24</f>
        <v>111</v>
      </c>
      <c r="R24" s="666" t="s">
        <v>14</v>
      </c>
      <c r="S24" s="667">
        <f>F24</f>
        <v>100</v>
      </c>
      <c r="T24" s="666" t="s">
        <v>14</v>
      </c>
      <c r="U24" s="667">
        <f>H24</f>
        <v>100</v>
      </c>
      <c r="V24" s="666" t="s">
        <v>14</v>
      </c>
      <c r="W24" s="667">
        <f>J24</f>
        <v>100</v>
      </c>
      <c r="X24" s="1264"/>
      <c r="Y24" s="3355"/>
      <c r="Z24" s="1263">
        <f>Q24</f>
        <v>111</v>
      </c>
      <c r="AA24" s="1263">
        <f t="shared" si="3"/>
        <v>1</v>
      </c>
      <c r="AB24" s="1263">
        <f t="shared" si="4"/>
        <v>1</v>
      </c>
      <c r="AC24" s="1263">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6"/>
      <c r="M25" s="2438"/>
      <c r="N25" s="2438"/>
      <c r="O25" s="2438"/>
      <c r="P25" s="3355"/>
      <c r="Q25" s="529">
        <f t="shared" si="11"/>
        <v>111</v>
      </c>
      <c r="R25" s="663" t="s">
        <v>14</v>
      </c>
      <c r="S25" s="664">
        <f>F25</f>
        <v>100</v>
      </c>
      <c r="T25" s="663" t="s">
        <v>14</v>
      </c>
      <c r="U25" s="664">
        <f>H25</f>
        <v>100</v>
      </c>
      <c r="V25" s="663" t="s">
        <v>14</v>
      </c>
      <c r="W25" s="664">
        <f>J25</f>
        <v>100</v>
      </c>
      <c r="X25" s="665"/>
      <c r="Y25" s="3355"/>
      <c r="Z25" s="50">
        <f>Q25</f>
        <v>111</v>
      </c>
      <c r="AA25" s="1263">
        <f>D25/F25</f>
        <v>1</v>
      </c>
      <c r="AB25" s="1263">
        <f>D25/H25</f>
        <v>1</v>
      </c>
      <c r="AC25" s="1263">
        <f>D25/J25</f>
        <v>1</v>
      </c>
    </row>
    <row r="26" spans="1:29" ht="28.5">
      <c r="A26" s="573" t="s">
        <v>1694</v>
      </c>
      <c r="B26" s="59"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90"/>
      <c r="M26" s="2485"/>
      <c r="N26" s="2485"/>
      <c r="O26" s="2485"/>
      <c r="P26" s="3430"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359"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89"/>
      <c r="M27" s="2491"/>
      <c r="N27" s="2491"/>
      <c r="O27" s="2491"/>
      <c r="P27" s="3359"/>
      <c r="Q27" s="530" t="str">
        <f t="shared" si="11"/>
        <v>项目停车位配比</v>
      </c>
      <c r="R27" s="668" t="s">
        <v>14</v>
      </c>
      <c r="S27" s="669">
        <f t="shared" si="12"/>
        <v>100</v>
      </c>
      <c r="T27" s="668" t="s">
        <v>14</v>
      </c>
      <c r="U27" s="669">
        <f t="shared" si="13"/>
        <v>100</v>
      </c>
      <c r="V27" s="668" t="s">
        <v>14</v>
      </c>
      <c r="W27" s="669">
        <f t="shared" si="14"/>
        <v>100</v>
      </c>
      <c r="X27" s="670"/>
      <c r="Y27" s="3359"/>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90"/>
      <c r="M28" s="2485"/>
      <c r="N28" s="2485"/>
      <c r="O28" s="2485"/>
      <c r="P28" s="3359"/>
      <c r="Q28" s="1262" t="str">
        <f t="shared" si="11"/>
        <v>公共部分装修</v>
      </c>
      <c r="R28" s="666" t="s">
        <v>14</v>
      </c>
      <c r="S28" s="667">
        <f t="shared" si="12"/>
        <v>100</v>
      </c>
      <c r="T28" s="666" t="s">
        <v>14</v>
      </c>
      <c r="U28" s="667">
        <f t="shared" si="13"/>
        <v>100</v>
      </c>
      <c r="V28" s="666" t="s">
        <v>14</v>
      </c>
      <c r="W28" s="667">
        <f t="shared" si="14"/>
        <v>100</v>
      </c>
      <c r="X28" s="1264"/>
      <c r="Y28" s="3359"/>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0"/>
      <c r="M29" s="2485"/>
      <c r="N29" s="2485"/>
      <c r="O29" s="2485"/>
      <c r="P29" s="3359"/>
      <c r="Q29" s="1262" t="str">
        <f t="shared" si="11"/>
        <v>成新率</v>
      </c>
      <c r="R29" s="666" t="s">
        <v>14</v>
      </c>
      <c r="S29" s="667" t="e">
        <f t="shared" si="12"/>
        <v>#N/A</v>
      </c>
      <c r="T29" s="666" t="s">
        <v>14</v>
      </c>
      <c r="U29" s="667" t="e">
        <f t="shared" si="13"/>
        <v>#N/A</v>
      </c>
      <c r="V29" s="666" t="s">
        <v>14</v>
      </c>
      <c r="W29" s="667" t="e">
        <f t="shared" si="14"/>
        <v>#N/A</v>
      </c>
      <c r="X29" s="1264"/>
      <c r="Y29" s="3359"/>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90"/>
      <c r="M30" s="2485"/>
      <c r="N30" s="2485"/>
      <c r="O30" s="2485"/>
      <c r="P30" s="3359"/>
      <c r="Q30" s="1262" t="str">
        <f t="shared" si="11"/>
        <v>物业等级</v>
      </c>
      <c r="R30" s="666" t="s">
        <v>14</v>
      </c>
      <c r="S30" s="667">
        <f t="shared" si="12"/>
        <v>100</v>
      </c>
      <c r="T30" s="666" t="s">
        <v>14</v>
      </c>
      <c r="U30" s="667">
        <f t="shared" si="13"/>
        <v>100</v>
      </c>
      <c r="V30" s="666" t="s">
        <v>14</v>
      </c>
      <c r="W30" s="667">
        <f t="shared" si="14"/>
        <v>100</v>
      </c>
      <c r="X30" s="1264"/>
      <c r="Y30" s="3359"/>
      <c r="Z30" s="1263" t="str">
        <f t="shared" si="15"/>
        <v>物业等级</v>
      </c>
      <c r="AA30" s="1263">
        <f t="shared" si="3"/>
        <v>1</v>
      </c>
      <c r="AB30" s="1263">
        <f t="shared" si="4"/>
        <v>1</v>
      </c>
      <c r="AC30" s="1263">
        <f t="shared" si="5"/>
        <v>1</v>
      </c>
    </row>
    <row r="31" spans="1:29" s="101"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6"/>
      <c r="M31" s="2438"/>
      <c r="N31" s="2438"/>
      <c r="O31" s="2438"/>
      <c r="P31" s="3359"/>
      <c r="Q31" s="529" t="str">
        <f t="shared" si="11"/>
        <v>停车位面积</v>
      </c>
      <c r="R31" s="663" t="s">
        <v>14</v>
      </c>
      <c r="S31" s="664" t="e">
        <f t="shared" si="12"/>
        <v>#N/A</v>
      </c>
      <c r="T31" s="663" t="s">
        <v>14</v>
      </c>
      <c r="U31" s="664" t="e">
        <f t="shared" si="13"/>
        <v>#N/A</v>
      </c>
      <c r="V31" s="663" t="s">
        <v>14</v>
      </c>
      <c r="W31" s="664" t="e">
        <f t="shared" si="14"/>
        <v>#N/A</v>
      </c>
      <c r="X31" s="665"/>
      <c r="Y31" s="3359"/>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90"/>
      <c r="M32" s="2485"/>
      <c r="N32" s="2485"/>
      <c r="O32" s="2485"/>
      <c r="P32" s="3359" t="s">
        <v>1696</v>
      </c>
      <c r="Q32" s="1262" t="str">
        <f t="shared" si="11"/>
        <v>车位类型</v>
      </c>
      <c r="R32" s="666" t="s">
        <v>14</v>
      </c>
      <c r="S32" s="667">
        <f t="shared" si="12"/>
        <v>100</v>
      </c>
      <c r="T32" s="666" t="s">
        <v>14</v>
      </c>
      <c r="U32" s="667">
        <f t="shared" si="13"/>
        <v>100</v>
      </c>
      <c r="V32" s="666" t="s">
        <v>14</v>
      </c>
      <c r="W32" s="667">
        <f t="shared" si="14"/>
        <v>100</v>
      </c>
      <c r="X32" s="1264"/>
      <c r="Y32" s="3359"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90"/>
      <c r="M33" s="2485"/>
      <c r="N33" s="2485"/>
      <c r="O33" s="2485"/>
      <c r="P33" s="3359"/>
      <c r="Q33" s="1262" t="str">
        <f t="shared" si="11"/>
        <v>是否直接入户</v>
      </c>
      <c r="R33" s="666" t="s">
        <v>14</v>
      </c>
      <c r="S33" s="667">
        <f t="shared" si="12"/>
        <v>100</v>
      </c>
      <c r="T33" s="666" t="s">
        <v>14</v>
      </c>
      <c r="U33" s="667">
        <f t="shared" si="13"/>
        <v>100</v>
      </c>
      <c r="V33" s="666" t="s">
        <v>14</v>
      </c>
      <c r="W33" s="667">
        <f t="shared" si="14"/>
        <v>100</v>
      </c>
      <c r="X33" s="1264"/>
      <c r="Y33" s="3359"/>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0"/>
      <c r="M34" s="2485"/>
      <c r="N34" s="2485"/>
      <c r="O34" s="2485"/>
      <c r="P34" s="3359"/>
      <c r="Q34" s="1262">
        <f t="shared" si="11"/>
        <v>111</v>
      </c>
      <c r="R34" s="666" t="s">
        <v>14</v>
      </c>
      <c r="S34" s="667">
        <f t="shared" si="12"/>
        <v>100</v>
      </c>
      <c r="T34" s="666" t="s">
        <v>14</v>
      </c>
      <c r="U34" s="667">
        <f t="shared" si="13"/>
        <v>100</v>
      </c>
      <c r="V34" s="666" t="s">
        <v>14</v>
      </c>
      <c r="W34" s="667">
        <f t="shared" si="14"/>
        <v>100</v>
      </c>
      <c r="X34" s="1264"/>
      <c r="Y34" s="3359"/>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9"/>
      <c r="M35" s="2491"/>
      <c r="N35" s="2491"/>
      <c r="O35" s="2491"/>
      <c r="P35" s="3359"/>
      <c r="Q35" s="530">
        <f t="shared" si="11"/>
        <v>111</v>
      </c>
      <c r="R35" s="668" t="s">
        <v>14</v>
      </c>
      <c r="S35" s="669">
        <f t="shared" si="12"/>
        <v>100</v>
      </c>
      <c r="T35" s="668" t="s">
        <v>14</v>
      </c>
      <c r="U35" s="669">
        <f t="shared" si="13"/>
        <v>100</v>
      </c>
      <c r="V35" s="668" t="s">
        <v>14</v>
      </c>
      <c r="W35" s="669">
        <f t="shared" si="14"/>
        <v>100</v>
      </c>
      <c r="X35" s="670"/>
      <c r="Y35" s="3359"/>
      <c r="Z35" s="671">
        <f t="shared" si="15"/>
        <v>111</v>
      </c>
      <c r="AA35" s="1263">
        <f t="shared" si="3"/>
        <v>1</v>
      </c>
      <c r="AB35" s="1263">
        <f t="shared" si="4"/>
        <v>1</v>
      </c>
      <c r="AC35" s="1263">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0"/>
      <c r="M36" s="2485"/>
      <c r="N36" s="2485"/>
      <c r="O36" s="2485"/>
      <c r="P36" s="3359"/>
      <c r="Q36" s="1262">
        <f t="shared" si="11"/>
        <v>111</v>
      </c>
      <c r="R36" s="666" t="s">
        <v>14</v>
      </c>
      <c r="S36" s="667">
        <f t="shared" si="12"/>
        <v>100</v>
      </c>
      <c r="T36" s="666" t="s">
        <v>14</v>
      </c>
      <c r="U36" s="667">
        <f t="shared" si="13"/>
        <v>100</v>
      </c>
      <c r="V36" s="666" t="s">
        <v>14</v>
      </c>
      <c r="W36" s="667">
        <f t="shared" si="14"/>
        <v>100</v>
      </c>
      <c r="X36" s="1264"/>
      <c r="Y36" s="3359"/>
      <c r="Z36" s="1263">
        <f t="shared" si="15"/>
        <v>111</v>
      </c>
      <c r="AA36" s="1263">
        <f t="shared" si="3"/>
        <v>1</v>
      </c>
      <c r="AB36" s="1263">
        <f t="shared" si="4"/>
        <v>1</v>
      </c>
      <c r="AC36" s="1263">
        <f t="shared" si="5"/>
        <v>1</v>
      </c>
    </row>
    <row r="37" spans="1:29" ht="15">
      <c r="A37" s="415" t="s">
        <v>1844</v>
      </c>
      <c r="B37" s="1820" t="s">
        <v>3356</v>
      </c>
      <c r="C37" s="1080" t="s">
        <v>0</v>
      </c>
      <c r="D37" s="417"/>
      <c r="E37" s="418"/>
      <c r="F37" s="419"/>
      <c r="G37" s="420"/>
      <c r="H37" s="421"/>
      <c r="I37" s="418"/>
      <c r="J37" s="421"/>
      <c r="K37" s="544"/>
      <c r="L37" s="2492"/>
      <c r="M37" s="2485"/>
      <c r="N37" s="2485"/>
      <c r="O37" s="2485"/>
      <c r="P37" s="3347" t="str">
        <f>A37</f>
        <v>成交单价</v>
      </c>
      <c r="Q37" s="3347"/>
      <c r="R37" s="3348">
        <f>E37</f>
        <v>0</v>
      </c>
      <c r="S37" s="3348"/>
      <c r="T37" s="3348">
        <f>G37</f>
        <v>0</v>
      </c>
      <c r="U37" s="3348"/>
      <c r="V37" s="3348">
        <f>I37</f>
        <v>0</v>
      </c>
      <c r="W37" s="3348"/>
      <c r="X37" s="384"/>
      <c r="Y37" s="672"/>
      <c r="Z37" s="384"/>
      <c r="AA37" s="384"/>
      <c r="AB37" s="384"/>
      <c r="AC37" s="384"/>
    </row>
    <row r="38" spans="1:29" ht="15.75" thickBot="1">
      <c r="A38" s="422" t="s">
        <v>1845</v>
      </c>
      <c r="B38" s="423" t="str">
        <f>B37</f>
        <v>元/平方米</v>
      </c>
      <c r="C38" s="1081" t="e">
        <f>R39</f>
        <v>#DIV/0!</v>
      </c>
      <c r="D38" s="2140" t="s">
        <v>2138</v>
      </c>
      <c r="E38" s="1082" t="e">
        <f>R38</f>
        <v>#DIV/0!</v>
      </c>
      <c r="F38" s="2141"/>
      <c r="G38" s="1081" t="e">
        <f>T38</f>
        <v>#DIV/0!</v>
      </c>
      <c r="H38" s="2141"/>
      <c r="I38" s="1082" t="e">
        <f>V38</f>
        <v>#DIV/0!</v>
      </c>
      <c r="J38" s="2141"/>
      <c r="K38" s="2143">
        <f>F38+H38+J38</f>
        <v>0</v>
      </c>
      <c r="L38" s="2492"/>
      <c r="M38" s="2485"/>
      <c r="N38" s="2485"/>
      <c r="O38" s="2485"/>
      <c r="P38" s="3347" t="str">
        <f>A38</f>
        <v>比较价值（元/平方米）</v>
      </c>
      <c r="Q38" s="3347"/>
      <c r="R38" s="3348" t="e">
        <f>IF(F1="售价",ROUND(PRODUCT(R37,AA7:AA36),0),ROUND(PRODUCT(R37,AA7:AA36),1))</f>
        <v>#DIV/0!</v>
      </c>
      <c r="S38" s="3348"/>
      <c r="T38" s="3348" t="e">
        <f>IF(F1="售价",ROUND(PRODUCT(T37,AB7:AB36),0),ROUND(PRODUCT(T37,AB7:AB36),1))</f>
        <v>#DIV/0!</v>
      </c>
      <c r="U38" s="3348"/>
      <c r="V38" s="3348" t="e">
        <f>IF(F1="售价",ROUND(PRODUCT(V37,AC7:AC36),0),ROUND(PRODUCT(V37,AC7:AC36),1))</f>
        <v>#DIV/0!</v>
      </c>
      <c r="W38" s="3348"/>
      <c r="X38" s="384"/>
      <c r="Y38" s="384"/>
      <c r="Z38" s="384"/>
      <c r="AA38" s="384"/>
      <c r="AB38" s="384"/>
      <c r="AC38" s="384"/>
    </row>
    <row r="39" spans="1:29" ht="15.75" thickBot="1">
      <c r="A39" s="426" t="s">
        <v>1846</v>
      </c>
      <c r="B39" s="427"/>
      <c r="C39" s="350" t="e">
        <f>R39</f>
        <v>#DIV/0!</v>
      </c>
      <c r="D39" s="350"/>
      <c r="E39" s="350"/>
      <c r="F39" s="350"/>
      <c r="G39" s="350"/>
      <c r="H39" s="350"/>
      <c r="I39" s="350"/>
      <c r="J39" s="350"/>
      <c r="K39" s="545"/>
      <c r="L39" s="2492"/>
      <c r="M39" s="2485"/>
      <c r="N39" s="2485"/>
      <c r="O39" s="2485"/>
      <c r="P39" s="3349" t="str">
        <f>A39</f>
        <v>估价对象XX用房的比较价值（楼面单价，元/平方米）</v>
      </c>
      <c r="Q39" s="3350"/>
      <c r="R39" s="3431" t="e">
        <f>IF(F1="售价",ROUND(IF(D38="简单平均",AVERAGE(R38:W38),R38*F38+T38*H38+V38*J38),0),ROUND(IF(D38="简单平均",AVERAGE(R38:V38),R38*F38+T38*H38+V38*J38),1))</f>
        <v>#DIV/0!</v>
      </c>
      <c r="S39" s="3431"/>
      <c r="T39" s="3431"/>
      <c r="U39" s="3431"/>
      <c r="V39" s="3431"/>
      <c r="W39" s="3431"/>
      <c r="X39" s="384"/>
      <c r="Y39" s="384"/>
      <c r="Z39" s="384"/>
      <c r="AA39" s="384"/>
      <c r="AB39" s="384"/>
      <c r="AC39" s="384"/>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6" customFormat="1" ht="13.5" customHeight="1">
      <c r="A44" s="2495"/>
      <c r="B44" s="2495"/>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6"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6" t="s">
        <v>1850</v>
      </c>
      <c r="B47" s="860"/>
      <c r="C47" s="885"/>
      <c r="D47" s="885"/>
      <c r="E47" s="885"/>
      <c r="F47" s="1087"/>
      <c r="G47" s="1087"/>
      <c r="H47" s="885"/>
      <c r="I47" s="885"/>
      <c r="J47" s="885"/>
      <c r="K47" s="886"/>
      <c r="L47" s="887"/>
      <c r="M47" s="885"/>
      <c r="N47" s="2535"/>
      <c r="O47" s="2535"/>
      <c r="P47" s="2524"/>
      <c r="Q47" s="2506"/>
      <c r="R47" s="2485"/>
      <c r="S47" s="2485"/>
      <c r="T47" s="2485"/>
      <c r="U47" s="2485"/>
      <c r="V47" s="2485"/>
      <c r="W47" s="2485"/>
      <c r="X47" s="2485"/>
      <c r="Y47" s="2485"/>
      <c r="Z47" s="2485"/>
      <c r="AA47" s="2485"/>
      <c r="AB47" s="2485"/>
      <c r="AC47" s="2485"/>
    </row>
    <row r="48" spans="1:29" s="441" customFormat="1" ht="15">
      <c r="A48" s="439" t="s">
        <v>1851</v>
      </c>
      <c r="B48" s="440"/>
      <c r="C48" s="1102" t="str">
        <f>YEAR(C7)&amp;"-"&amp;MONTH(C7)</f>
        <v>2024-10</v>
      </c>
      <c r="D48" s="1103">
        <f>EDATE(C48,-1)</f>
        <v>45536</v>
      </c>
      <c r="E48" s="1103">
        <f t="shared" ref="E48:O48" si="16">EDATE(D48,-1)</f>
        <v>45505</v>
      </c>
      <c r="F48" s="1103">
        <f t="shared" si="16"/>
        <v>45474</v>
      </c>
      <c r="G48" s="1103">
        <f t="shared" si="16"/>
        <v>45444</v>
      </c>
      <c r="H48" s="1103">
        <f t="shared" si="16"/>
        <v>45413</v>
      </c>
      <c r="I48" s="1103">
        <f t="shared" si="16"/>
        <v>45383</v>
      </c>
      <c r="J48" s="1103">
        <f t="shared" si="16"/>
        <v>45352</v>
      </c>
      <c r="K48" s="1103">
        <f t="shared" si="16"/>
        <v>45323</v>
      </c>
      <c r="L48" s="1103">
        <f t="shared" si="16"/>
        <v>45292</v>
      </c>
      <c r="M48" s="1103">
        <f t="shared" si="16"/>
        <v>45261</v>
      </c>
      <c r="N48" s="1103">
        <f t="shared" si="16"/>
        <v>45231</v>
      </c>
      <c r="O48" s="1103">
        <f t="shared" si="16"/>
        <v>45200</v>
      </c>
      <c r="P48" s="2525"/>
      <c r="Q48" s="2508"/>
      <c r="R48" s="2508"/>
      <c r="S48" s="2508"/>
      <c r="T48" s="2508"/>
      <c r="U48" s="2508"/>
      <c r="V48" s="2508"/>
      <c r="W48" s="2508"/>
      <c r="X48" s="2508"/>
      <c r="Y48" s="2508"/>
      <c r="Z48" s="2508"/>
      <c r="AA48" s="2508"/>
      <c r="AB48" s="2508"/>
      <c r="AC48" s="2508"/>
    </row>
    <row r="49" spans="1:29" s="101" customFormat="1" ht="15">
      <c r="A49" s="442"/>
      <c r="B49" s="443"/>
      <c r="C49" s="1096">
        <v>100</v>
      </c>
      <c r="D49" s="445"/>
      <c r="E49" s="445"/>
      <c r="F49" s="445"/>
      <c r="G49" s="445"/>
      <c r="H49" s="445"/>
      <c r="I49" s="445"/>
      <c r="J49" s="445"/>
      <c r="K49" s="445"/>
      <c r="L49" s="445"/>
      <c r="M49" s="446"/>
      <c r="N49" s="445"/>
      <c r="O49" s="446"/>
      <c r="P49" s="2526"/>
      <c r="Q49" s="2438"/>
      <c r="R49" s="2438"/>
      <c r="S49" s="2438"/>
      <c r="T49" s="2438"/>
      <c r="U49" s="2438"/>
      <c r="V49" s="2438"/>
      <c r="W49" s="2438"/>
      <c r="X49" s="2438"/>
      <c r="Y49" s="2438"/>
      <c r="Z49" s="2438"/>
      <c r="AA49" s="2438"/>
      <c r="AB49" s="2438"/>
      <c r="AC49" s="2438"/>
    </row>
    <row r="50" spans="1:29" s="101" customFormat="1" ht="15.75" thickBot="1">
      <c r="A50" s="448" t="s">
        <v>1716</v>
      </c>
      <c r="B50" s="449"/>
      <c r="C50" s="450"/>
      <c r="D50" s="451"/>
      <c r="E50" s="451"/>
      <c r="F50" s="451"/>
      <c r="G50" s="451"/>
      <c r="H50" s="451"/>
      <c r="I50" s="451"/>
      <c r="J50" s="451"/>
      <c r="K50" s="451"/>
      <c r="L50" s="451"/>
      <c r="M50" s="452"/>
      <c r="N50" s="451"/>
      <c r="O50" s="452"/>
      <c r="P50" s="2526"/>
      <c r="Q50" s="2506"/>
      <c r="R50" s="2438"/>
      <c r="S50" s="2438"/>
      <c r="T50" s="2438"/>
      <c r="U50" s="2438"/>
      <c r="V50" s="2438"/>
      <c r="W50" s="2438"/>
      <c r="X50" s="2438"/>
      <c r="Y50" s="2438"/>
      <c r="Z50" s="2438"/>
      <c r="AA50" s="2438"/>
      <c r="AB50" s="2438"/>
      <c r="AC50" s="2438"/>
    </row>
    <row r="51" spans="1:29" s="101" customFormat="1" ht="15">
      <c r="A51" s="454" t="s">
        <v>1681</v>
      </c>
      <c r="B51" s="443"/>
      <c r="C51" s="455" t="s">
        <v>1776</v>
      </c>
      <c r="D51" s="31"/>
      <c r="E51" s="31"/>
      <c r="F51" s="31"/>
      <c r="G51" s="31"/>
      <c r="H51" s="31"/>
      <c r="I51" s="31"/>
      <c r="J51" s="31"/>
      <c r="K51" s="31"/>
      <c r="L51" s="456"/>
      <c r="M51" s="457"/>
      <c r="N51" s="2518"/>
      <c r="O51" s="2518"/>
      <c r="P51" s="2527"/>
      <c r="Q51" s="2506"/>
      <c r="R51" s="2438"/>
      <c r="S51" s="2438"/>
      <c r="T51" s="2438"/>
      <c r="U51" s="2438"/>
      <c r="V51" s="2438"/>
      <c r="W51" s="2438"/>
      <c r="X51" s="2438"/>
      <c r="Y51" s="2438"/>
      <c r="Z51" s="2438"/>
      <c r="AA51" s="2438"/>
      <c r="AB51" s="2438"/>
      <c r="AC51" s="2438"/>
    </row>
    <row r="52" spans="1:29" s="101" customFormat="1" ht="15.75" thickBot="1">
      <c r="A52" s="454"/>
      <c r="B52" s="443"/>
      <c r="C52" s="562">
        <v>100</v>
      </c>
      <c r="D52" s="445"/>
      <c r="E52" s="445"/>
      <c r="F52" s="445"/>
      <c r="G52" s="445"/>
      <c r="H52" s="445"/>
      <c r="I52" s="445"/>
      <c r="J52" s="445"/>
      <c r="K52" s="445"/>
      <c r="L52" s="445"/>
      <c r="M52" s="447"/>
      <c r="N52" s="2518"/>
      <c r="O52" s="2518"/>
      <c r="P52" s="2526"/>
      <c r="Q52" s="2506"/>
      <c r="R52" s="2438"/>
      <c r="S52" s="2438"/>
      <c r="T52" s="2438"/>
      <c r="U52" s="2438"/>
      <c r="V52" s="2438"/>
      <c r="W52" s="2438"/>
      <c r="X52" s="2438"/>
      <c r="Y52" s="2438"/>
      <c r="Z52" s="2438"/>
      <c r="AA52" s="2438"/>
      <c r="AB52" s="2438"/>
      <c r="AC52" s="2438"/>
    </row>
    <row r="53" spans="1:29">
      <c r="A53" s="378" t="s">
        <v>1719</v>
      </c>
      <c r="B53" s="459" t="s">
        <v>1685</v>
      </c>
      <c r="C53" s="460">
        <f>C9</f>
        <v>0</v>
      </c>
      <c r="D53" s="461"/>
      <c r="E53" s="461"/>
      <c r="F53" s="461"/>
      <c r="G53" s="461"/>
      <c r="H53" s="461"/>
      <c r="I53" s="461"/>
      <c r="J53" s="461"/>
      <c r="K53" s="462"/>
      <c r="L53" s="463"/>
      <c r="M53" s="464"/>
      <c r="N53" s="2519"/>
      <c r="O53" s="2519"/>
      <c r="P53" s="2528"/>
      <c r="Q53" s="2506"/>
      <c r="R53" s="2485"/>
      <c r="S53" s="2485"/>
      <c r="T53" s="2485"/>
      <c r="U53" s="2485"/>
      <c r="V53" s="2485"/>
      <c r="W53" s="2485"/>
      <c r="X53" s="2485"/>
      <c r="Y53" s="2485"/>
      <c r="Z53" s="2485"/>
      <c r="AA53" s="2485"/>
      <c r="AB53" s="2485"/>
      <c r="AC53" s="2485"/>
    </row>
    <row r="54" spans="1:29" ht="15.75" thickBot="1">
      <c r="A54" s="366"/>
      <c r="B54" s="465"/>
      <c r="C54" s="466">
        <v>100</v>
      </c>
      <c r="D54" s="466"/>
      <c r="E54" s="466"/>
      <c r="F54" s="466"/>
      <c r="G54" s="466"/>
      <c r="H54" s="466"/>
      <c r="I54" s="466"/>
      <c r="J54" s="466"/>
      <c r="K54" s="466"/>
      <c r="L54" s="466"/>
      <c r="M54" s="467"/>
      <c r="N54" s="2520"/>
      <c r="O54" s="2520"/>
      <c r="P54" s="2528"/>
      <c r="Q54" s="2506"/>
      <c r="R54" s="2485"/>
      <c r="S54" s="2485"/>
      <c r="T54" s="2485"/>
      <c r="U54" s="2485"/>
      <c r="V54" s="2485"/>
      <c r="W54" s="2485"/>
      <c r="X54" s="2485"/>
      <c r="Y54" s="2485"/>
      <c r="Z54" s="2485"/>
      <c r="AA54" s="2485"/>
      <c r="AB54" s="2485"/>
      <c r="AC54" s="2485"/>
    </row>
    <row r="55" spans="1:29" ht="27.75" thickTop="1">
      <c r="A55" s="366"/>
      <c r="B55" s="468" t="s">
        <v>1688</v>
      </c>
      <c r="C55" s="512"/>
      <c r="D55" s="512"/>
      <c r="E55" s="512"/>
      <c r="F55" s="512"/>
      <c r="G55" s="512"/>
      <c r="H55" s="512"/>
      <c r="I55" s="512"/>
      <c r="J55" s="512"/>
      <c r="K55" s="513"/>
      <c r="L55" s="514"/>
      <c r="M55" s="515"/>
      <c r="N55" s="2519"/>
      <c r="O55" s="2519"/>
      <c r="P55" s="2528"/>
      <c r="Q55" s="2506"/>
      <c r="R55" s="2485"/>
      <c r="S55" s="2485"/>
      <c r="T55" s="2485"/>
      <c r="U55" s="2485"/>
      <c r="V55" s="2485"/>
      <c r="W55" s="2485"/>
      <c r="X55" s="2485"/>
      <c r="Y55" s="2485"/>
      <c r="Z55" s="2485"/>
      <c r="AA55" s="2485"/>
      <c r="AB55" s="2485"/>
      <c r="AC55" s="2485"/>
    </row>
    <row r="56" spans="1:29" ht="15.75" thickBot="1">
      <c r="A56" s="366"/>
      <c r="B56" s="473"/>
      <c r="C56" s="466"/>
      <c r="D56" s="466"/>
      <c r="E56" s="466"/>
      <c r="F56" s="466"/>
      <c r="G56" s="466"/>
      <c r="H56" s="466"/>
      <c r="I56" s="466"/>
      <c r="J56" s="466"/>
      <c r="K56" s="466"/>
      <c r="L56" s="466"/>
      <c r="M56" s="467"/>
      <c r="N56" s="2520"/>
      <c r="O56" s="2520"/>
      <c r="P56" s="2528"/>
      <c r="Q56" s="2506"/>
      <c r="R56" s="2485"/>
      <c r="S56" s="2485"/>
      <c r="T56" s="2485"/>
      <c r="U56" s="2485"/>
      <c r="V56" s="2485"/>
      <c r="W56" s="2485"/>
      <c r="X56" s="2485"/>
      <c r="Y56" s="2485"/>
      <c r="Z56" s="2485"/>
      <c r="AA56" s="2485"/>
      <c r="AB56" s="2485"/>
      <c r="AC56" s="2485"/>
    </row>
    <row r="57" spans="1:29" ht="15.75" thickTop="1">
      <c r="A57" s="366"/>
      <c r="B57" s="580">
        <f>B11</f>
        <v>111</v>
      </c>
      <c r="C57" s="479"/>
      <c r="D57" s="479"/>
      <c r="E57" s="479"/>
      <c r="F57" s="479"/>
      <c r="G57" s="479"/>
      <c r="H57" s="479"/>
      <c r="I57" s="479"/>
      <c r="J57" s="479"/>
      <c r="K57" s="480"/>
      <c r="L57" s="481"/>
      <c r="M57" s="482"/>
      <c r="N57" s="2519"/>
      <c r="O57" s="2519"/>
      <c r="P57" s="2528"/>
      <c r="Q57" s="2506"/>
      <c r="R57" s="2485"/>
      <c r="S57" s="2485"/>
      <c r="T57" s="2485"/>
      <c r="U57" s="2485"/>
      <c r="V57" s="2485"/>
      <c r="W57" s="2485"/>
      <c r="X57" s="2485"/>
      <c r="Y57" s="2485"/>
      <c r="Z57" s="2485"/>
      <c r="AA57" s="2485"/>
      <c r="AB57" s="2485"/>
      <c r="AC57" s="2485"/>
    </row>
    <row r="58" spans="1:29" ht="15.75" thickBot="1">
      <c r="A58" s="366"/>
      <c r="B58" s="465"/>
      <c r="C58" s="490"/>
      <c r="D58" s="466"/>
      <c r="E58" s="466"/>
      <c r="F58" s="466"/>
      <c r="G58" s="466"/>
      <c r="H58" s="466"/>
      <c r="I58" s="466"/>
      <c r="J58" s="466"/>
      <c r="K58" s="466"/>
      <c r="L58" s="466"/>
      <c r="M58" s="467"/>
      <c r="N58" s="2520"/>
      <c r="O58" s="2520"/>
      <c r="P58" s="2528"/>
      <c r="Q58" s="2506"/>
      <c r="R58" s="2485"/>
      <c r="S58" s="2485"/>
      <c r="T58" s="2485"/>
      <c r="U58" s="2485"/>
      <c r="V58" s="2485"/>
      <c r="W58" s="2485"/>
      <c r="X58" s="2485"/>
      <c r="Y58" s="2485"/>
      <c r="Z58" s="2485"/>
      <c r="AA58" s="2485"/>
      <c r="AB58" s="2485"/>
      <c r="AC58" s="2485"/>
    </row>
    <row r="59" spans="1:29" s="407" customFormat="1" ht="15.75" thickTop="1">
      <c r="A59" s="483"/>
      <c r="B59" s="468">
        <f>B12</f>
        <v>111</v>
      </c>
      <c r="C59" s="479"/>
      <c r="D59" s="479"/>
      <c r="E59" s="479"/>
      <c r="F59" s="479"/>
      <c r="G59" s="484"/>
      <c r="H59" s="485"/>
      <c r="I59" s="485"/>
      <c r="J59" s="485"/>
      <c r="K59" s="485"/>
      <c r="L59" s="486"/>
      <c r="M59" s="487"/>
      <c r="N59" s="2521"/>
      <c r="O59" s="2521"/>
      <c r="P59" s="2529"/>
      <c r="Q59" s="2513"/>
      <c r="R59" s="2491"/>
      <c r="S59" s="2491"/>
      <c r="T59" s="2491"/>
      <c r="U59" s="2491"/>
      <c r="V59" s="2491"/>
      <c r="W59" s="2491"/>
      <c r="X59" s="2491"/>
      <c r="Y59" s="2491"/>
      <c r="Z59" s="2491"/>
      <c r="AA59" s="2491"/>
      <c r="AB59" s="2491"/>
      <c r="AC59" s="2491"/>
    </row>
    <row r="60" spans="1:29" s="407" customFormat="1" ht="15.75" thickBot="1">
      <c r="A60" s="483"/>
      <c r="B60" s="473"/>
      <c r="C60" s="490"/>
      <c r="D60" s="466"/>
      <c r="E60" s="466"/>
      <c r="F60" s="466"/>
      <c r="G60" s="466"/>
      <c r="H60" s="466"/>
      <c r="I60" s="466"/>
      <c r="J60" s="466"/>
      <c r="K60" s="466"/>
      <c r="L60" s="466"/>
      <c r="M60" s="467"/>
      <c r="N60" s="2520"/>
      <c r="O60" s="2520"/>
      <c r="P60" s="2529"/>
      <c r="Q60" s="2513"/>
      <c r="R60" s="2491"/>
      <c r="S60" s="2491"/>
      <c r="T60" s="2491"/>
      <c r="U60" s="2491"/>
      <c r="V60" s="2491"/>
      <c r="W60" s="2491"/>
      <c r="X60" s="2491"/>
      <c r="Y60" s="2491"/>
      <c r="Z60" s="2491"/>
      <c r="AA60" s="2491"/>
      <c r="AB60" s="2491"/>
      <c r="AC60" s="2491"/>
    </row>
    <row r="61" spans="1:29" s="407" customFormat="1" ht="15.75" thickTop="1">
      <c r="A61" s="483"/>
      <c r="B61" s="468">
        <f>B13</f>
        <v>111</v>
      </c>
      <c r="C61" s="484"/>
      <c r="D61" s="484"/>
      <c r="E61" s="484"/>
      <c r="F61" s="484"/>
      <c r="G61" s="484"/>
      <c r="H61" s="485"/>
      <c r="I61" s="485"/>
      <c r="J61" s="485"/>
      <c r="K61" s="485"/>
      <c r="L61" s="486"/>
      <c r="M61" s="487"/>
      <c r="N61" s="2521"/>
      <c r="O61" s="2521"/>
      <c r="P61" s="2530"/>
      <c r="Q61" s="2515"/>
      <c r="R61" s="2491"/>
      <c r="S61" s="2491"/>
      <c r="T61" s="2491"/>
      <c r="U61" s="2491"/>
      <c r="V61" s="2491"/>
      <c r="W61" s="2491"/>
      <c r="X61" s="2491"/>
      <c r="Y61" s="2491"/>
      <c r="Z61" s="2491"/>
      <c r="AA61" s="2491"/>
      <c r="AB61" s="2491"/>
      <c r="AC61" s="2491"/>
    </row>
    <row r="62" spans="1:29" s="407" customFormat="1" ht="15.75" thickBot="1">
      <c r="A62" s="483"/>
      <c r="B62" s="473"/>
      <c r="C62" s="490"/>
      <c r="D62" s="490"/>
      <c r="E62" s="490"/>
      <c r="F62" s="490"/>
      <c r="G62" s="490"/>
      <c r="H62" s="492"/>
      <c r="I62" s="492"/>
      <c r="J62" s="492"/>
      <c r="K62" s="492"/>
      <c r="L62" s="492"/>
      <c r="M62" s="493"/>
      <c r="N62" s="2521"/>
      <c r="O62" s="2521"/>
      <c r="P62" s="2529"/>
      <c r="Q62" s="2513"/>
      <c r="R62" s="2491"/>
      <c r="S62" s="2491"/>
      <c r="T62" s="2491"/>
      <c r="U62" s="2491"/>
      <c r="V62" s="2491"/>
      <c r="W62" s="2491"/>
      <c r="X62" s="2491"/>
      <c r="Y62" s="2491"/>
      <c r="Z62" s="2491"/>
      <c r="AA62" s="2491"/>
      <c r="AB62" s="2491"/>
      <c r="AC62" s="2491"/>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9"/>
      <c r="O63" s="2519"/>
      <c r="P63" s="2532"/>
      <c r="Q63" s="2506"/>
      <c r="R63" s="2485"/>
      <c r="S63" s="2485"/>
      <c r="T63" s="2485"/>
      <c r="U63" s="2485"/>
      <c r="V63" s="2485"/>
      <c r="W63" s="2485"/>
      <c r="X63" s="2485"/>
      <c r="Y63" s="2485"/>
      <c r="Z63" s="2485"/>
      <c r="AA63" s="2485"/>
      <c r="AB63" s="2485"/>
      <c r="AC63" s="2485"/>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20"/>
      <c r="O64" s="2520"/>
      <c r="P64" s="2528"/>
      <c r="Q64" s="2506"/>
      <c r="R64" s="2485"/>
      <c r="S64" s="2485"/>
      <c r="T64" s="2485"/>
      <c r="U64" s="2485"/>
      <c r="V64" s="2485"/>
      <c r="W64" s="2485"/>
      <c r="X64" s="2485"/>
      <c r="Y64" s="2485"/>
      <c r="Z64" s="2485"/>
      <c r="AA64" s="2485"/>
      <c r="AB64" s="2485"/>
      <c r="AC64" s="2485"/>
    </row>
    <row r="65" spans="1:29" ht="15.75" thickTop="1">
      <c r="A65" s="366"/>
      <c r="B65" s="468" t="s">
        <v>1727</v>
      </c>
      <c r="C65" s="508" t="s">
        <v>1721</v>
      </c>
      <c r="D65" s="508" t="s">
        <v>1722</v>
      </c>
      <c r="E65" s="508" t="s">
        <v>1723</v>
      </c>
      <c r="F65" s="508" t="s">
        <v>1724</v>
      </c>
      <c r="G65" s="508" t="s">
        <v>1725</v>
      </c>
      <c r="H65" s="469"/>
      <c r="I65" s="469"/>
      <c r="J65" s="469"/>
      <c r="K65" s="470"/>
      <c r="L65" s="471"/>
      <c r="M65" s="472"/>
      <c r="N65" s="2519"/>
      <c r="O65" s="2519"/>
      <c r="P65" s="2528"/>
      <c r="Q65" s="2506"/>
      <c r="R65" s="2485"/>
      <c r="S65" s="2485"/>
      <c r="T65" s="2485"/>
      <c r="U65" s="2485"/>
      <c r="V65" s="2485"/>
      <c r="W65" s="2485"/>
      <c r="X65" s="2485"/>
      <c r="Y65" s="2485"/>
      <c r="Z65" s="2485"/>
      <c r="AA65" s="2485"/>
      <c r="AB65" s="2485"/>
      <c r="AC65" s="2485"/>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20"/>
      <c r="O66" s="2520"/>
      <c r="P66" s="2528"/>
      <c r="Q66" s="2506"/>
      <c r="R66" s="2485"/>
      <c r="S66" s="2485"/>
      <c r="T66" s="2485"/>
      <c r="U66" s="2485"/>
      <c r="V66" s="2485"/>
      <c r="W66" s="2485"/>
      <c r="X66" s="2485"/>
      <c r="Y66" s="2485"/>
      <c r="Z66" s="2485"/>
      <c r="AA66" s="2485"/>
      <c r="AB66" s="2485"/>
      <c r="AC66" s="2485"/>
    </row>
    <row r="67" spans="1:29" ht="15.75" thickTop="1">
      <c r="A67" s="366"/>
      <c r="B67" s="476" t="s">
        <v>1813</v>
      </c>
      <c r="C67" s="580" t="s">
        <v>1799</v>
      </c>
      <c r="D67" s="580" t="s">
        <v>1800</v>
      </c>
      <c r="E67" s="580" t="s">
        <v>1801</v>
      </c>
      <c r="F67" s="580" t="s">
        <v>1802</v>
      </c>
      <c r="G67" s="580" t="s">
        <v>1803</v>
      </c>
      <c r="H67" s="469"/>
      <c r="I67" s="469"/>
      <c r="J67" s="469"/>
      <c r="K67" s="469"/>
      <c r="L67" s="469"/>
      <c r="M67" s="1062"/>
      <c r="N67" s="2520"/>
      <c r="O67" s="2520"/>
      <c r="P67" s="2528"/>
      <c r="Q67" s="2506"/>
      <c r="R67" s="2485"/>
      <c r="S67" s="2485"/>
      <c r="T67" s="2485"/>
      <c r="U67" s="2485"/>
      <c r="V67" s="2485"/>
      <c r="W67" s="2485"/>
      <c r="X67" s="2485"/>
      <c r="Y67" s="2485"/>
      <c r="Z67" s="2485"/>
      <c r="AA67" s="2485"/>
      <c r="AB67" s="2485"/>
      <c r="AC67" s="2485"/>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20"/>
      <c r="O68" s="2520"/>
      <c r="P68" s="2528"/>
      <c r="Q68" s="2506"/>
      <c r="R68" s="2485"/>
      <c r="S68" s="2485"/>
      <c r="T68" s="2485"/>
      <c r="U68" s="2485"/>
      <c r="V68" s="2485"/>
      <c r="W68" s="2485"/>
      <c r="X68" s="2485"/>
      <c r="Y68" s="2485"/>
      <c r="Z68" s="2485"/>
      <c r="AA68" s="2485"/>
      <c r="AB68" s="2485"/>
      <c r="AC68" s="2485"/>
    </row>
    <row r="69" spans="1:29" ht="15.75" thickTop="1">
      <c r="A69" s="366"/>
      <c r="B69" s="468" t="s">
        <v>1733</v>
      </c>
      <c r="C69" s="508" t="s">
        <v>1721</v>
      </c>
      <c r="D69" s="508" t="s">
        <v>1722</v>
      </c>
      <c r="E69" s="508" t="s">
        <v>1723</v>
      </c>
      <c r="F69" s="508" t="s">
        <v>1724</v>
      </c>
      <c r="G69" s="508" t="s">
        <v>1725</v>
      </c>
      <c r="H69" s="469"/>
      <c r="I69" s="469"/>
      <c r="J69" s="469"/>
      <c r="K69" s="470"/>
      <c r="L69" s="471"/>
      <c r="M69" s="472"/>
      <c r="N69" s="2519"/>
      <c r="O69" s="2519"/>
      <c r="P69" s="2528"/>
      <c r="Q69" s="2506"/>
      <c r="R69" s="2485"/>
      <c r="S69" s="2485"/>
      <c r="T69" s="2485"/>
      <c r="U69" s="2485"/>
      <c r="V69" s="2485"/>
      <c r="W69" s="2485"/>
      <c r="X69" s="2485"/>
      <c r="Y69" s="2485"/>
      <c r="Z69" s="2485"/>
      <c r="AA69" s="2485"/>
      <c r="AB69" s="2485"/>
      <c r="AC69" s="2485"/>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20"/>
      <c r="O70" s="2520"/>
      <c r="P70" s="2528"/>
      <c r="Q70" s="2506"/>
      <c r="R70" s="2485"/>
      <c r="S70" s="2485"/>
      <c r="T70" s="2485"/>
      <c r="U70" s="2485"/>
      <c r="V70" s="2485"/>
      <c r="W70" s="2485"/>
      <c r="X70" s="2485"/>
      <c r="Y70" s="2485"/>
      <c r="Z70" s="2485"/>
      <c r="AA70" s="2485"/>
      <c r="AB70" s="2485"/>
      <c r="AC70" s="2485"/>
    </row>
    <row r="71" spans="1:29" ht="15.75" thickTop="1">
      <c r="A71" s="366"/>
      <c r="B71" s="468" t="s">
        <v>1852</v>
      </c>
      <c r="C71" s="484"/>
      <c r="D71" s="484"/>
      <c r="E71" s="484"/>
      <c r="F71" s="484"/>
      <c r="G71" s="484"/>
      <c r="H71" s="512"/>
      <c r="I71" s="512"/>
      <c r="J71" s="512"/>
      <c r="K71" s="513"/>
      <c r="L71" s="514"/>
      <c r="M71" s="515"/>
      <c r="N71" s="2519"/>
      <c r="O71" s="2519"/>
      <c r="P71" s="2528"/>
      <c r="Q71" s="2506"/>
      <c r="R71" s="2485"/>
      <c r="S71" s="2485"/>
      <c r="T71" s="2485"/>
      <c r="U71" s="2485"/>
      <c r="V71" s="2485"/>
      <c r="W71" s="2485"/>
      <c r="X71" s="2485"/>
      <c r="Y71" s="2485"/>
      <c r="Z71" s="2485"/>
      <c r="AA71" s="2485"/>
      <c r="AB71" s="2485"/>
      <c r="AC71" s="2485"/>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20"/>
      <c r="O72" s="2520"/>
      <c r="P72" s="2528"/>
      <c r="Q72" s="2506"/>
      <c r="R72" s="2485"/>
      <c r="S72" s="2485"/>
      <c r="T72" s="2485"/>
      <c r="U72" s="2485"/>
      <c r="V72" s="2485"/>
      <c r="W72" s="2485"/>
      <c r="X72" s="2485"/>
      <c r="Y72" s="2485"/>
      <c r="Z72" s="2485"/>
      <c r="AA72" s="2485"/>
      <c r="AB72" s="2485"/>
      <c r="AC72" s="2485"/>
    </row>
    <row r="73" spans="1:29" s="101" customFormat="1" ht="15.75" thickTop="1">
      <c r="A73" s="369"/>
      <c r="B73" s="468">
        <f>B23</f>
        <v>111</v>
      </c>
      <c r="C73" s="479"/>
      <c r="D73" s="479"/>
      <c r="E73" s="479"/>
      <c r="F73" s="479"/>
      <c r="G73" s="484"/>
      <c r="H73" s="484"/>
      <c r="I73" s="484"/>
      <c r="J73" s="484"/>
      <c r="K73" s="484"/>
      <c r="L73" s="509"/>
      <c r="M73" s="510"/>
      <c r="N73" s="2518"/>
      <c r="O73" s="2518"/>
      <c r="P73" s="2528"/>
      <c r="Q73" s="2506"/>
      <c r="R73" s="2438"/>
      <c r="S73" s="2438"/>
      <c r="T73" s="2438"/>
      <c r="U73" s="2438"/>
      <c r="V73" s="2438"/>
      <c r="W73" s="2438"/>
      <c r="X73" s="2438"/>
      <c r="Y73" s="2438"/>
      <c r="Z73" s="2438"/>
      <c r="AA73" s="2438"/>
      <c r="AB73" s="2438"/>
      <c r="AC73" s="2438"/>
    </row>
    <row r="74" spans="1:29" s="101" customFormat="1" ht="15.75" thickBot="1">
      <c r="A74" s="369"/>
      <c r="B74" s="473"/>
      <c r="C74" s="490"/>
      <c r="D74" s="466"/>
      <c r="E74" s="466"/>
      <c r="F74" s="466"/>
      <c r="G74" s="466"/>
      <c r="H74" s="466"/>
      <c r="I74" s="466"/>
      <c r="J74" s="466"/>
      <c r="K74" s="466"/>
      <c r="L74" s="466"/>
      <c r="M74" s="467"/>
      <c r="N74" s="2520"/>
      <c r="O74" s="2520"/>
      <c r="P74" s="2528"/>
      <c r="Q74" s="2506"/>
      <c r="R74" s="2438"/>
      <c r="S74" s="2438"/>
      <c r="T74" s="2438"/>
      <c r="U74" s="2438"/>
      <c r="V74" s="2438"/>
      <c r="W74" s="2438"/>
      <c r="X74" s="2438"/>
      <c r="Y74" s="2438"/>
      <c r="Z74" s="2438"/>
      <c r="AA74" s="2438"/>
      <c r="AB74" s="2438"/>
      <c r="AC74" s="2438"/>
    </row>
    <row r="75" spans="1:29" s="101" customFormat="1" ht="15.75" thickTop="1">
      <c r="A75" s="369"/>
      <c r="B75" s="468">
        <f>B24</f>
        <v>111</v>
      </c>
      <c r="C75" s="479"/>
      <c r="D75" s="479"/>
      <c r="E75" s="479"/>
      <c r="F75" s="479"/>
      <c r="G75" s="484"/>
      <c r="H75" s="484"/>
      <c r="I75" s="484"/>
      <c r="J75" s="484"/>
      <c r="K75" s="484"/>
      <c r="L75" s="484"/>
      <c r="M75" s="510"/>
      <c r="N75" s="2518"/>
      <c r="O75" s="2518"/>
      <c r="P75" s="2528"/>
      <c r="Q75" s="2506"/>
      <c r="R75" s="2438"/>
      <c r="S75" s="2438"/>
      <c r="T75" s="2438"/>
      <c r="U75" s="2438"/>
      <c r="V75" s="2438"/>
      <c r="W75" s="2438"/>
      <c r="X75" s="2438"/>
      <c r="Y75" s="2438"/>
      <c r="Z75" s="2438"/>
      <c r="AA75" s="2438"/>
      <c r="AB75" s="2438"/>
      <c r="AC75" s="2438"/>
    </row>
    <row r="76" spans="1:29" s="101" customFormat="1" ht="15.75" thickBot="1">
      <c r="A76" s="369"/>
      <c r="B76" s="473"/>
      <c r="C76" s="490"/>
      <c r="D76" s="466"/>
      <c r="E76" s="466"/>
      <c r="F76" s="466"/>
      <c r="G76" s="466"/>
      <c r="H76" s="466"/>
      <c r="I76" s="466"/>
      <c r="J76" s="466"/>
      <c r="K76" s="466"/>
      <c r="L76" s="466"/>
      <c r="M76" s="467"/>
      <c r="N76" s="2520"/>
      <c r="O76" s="2520"/>
      <c r="P76" s="2528"/>
      <c r="Q76" s="2506"/>
      <c r="R76" s="2438"/>
      <c r="S76" s="2438"/>
      <c r="T76" s="2438"/>
      <c r="U76" s="2438"/>
      <c r="V76" s="2438"/>
      <c r="W76" s="2438"/>
      <c r="X76" s="2438"/>
      <c r="Y76" s="2438"/>
      <c r="Z76" s="2438"/>
      <c r="AA76" s="2438"/>
      <c r="AB76" s="2438"/>
      <c r="AC76" s="2438"/>
    </row>
    <row r="77" spans="1:29" s="407" customFormat="1" ht="15.75" thickTop="1">
      <c r="A77" s="483"/>
      <c r="B77" s="468">
        <f>B25</f>
        <v>111</v>
      </c>
      <c r="C77" s="484"/>
      <c r="D77" s="484"/>
      <c r="E77" s="484"/>
      <c r="F77" s="484"/>
      <c r="G77" s="484"/>
      <c r="H77" s="485"/>
      <c r="I77" s="485"/>
      <c r="J77" s="485"/>
      <c r="K77" s="485"/>
      <c r="L77" s="486"/>
      <c r="M77" s="487"/>
      <c r="N77" s="2521"/>
      <c r="O77" s="2521"/>
      <c r="P77" s="2529"/>
      <c r="Q77" s="2513"/>
      <c r="R77" s="2491"/>
      <c r="S77" s="2491"/>
      <c r="T77" s="2491"/>
      <c r="U77" s="2491"/>
      <c r="V77" s="2491"/>
      <c r="W77" s="2491"/>
      <c r="X77" s="2491"/>
      <c r="Y77" s="2491"/>
      <c r="Z77" s="2491"/>
      <c r="AA77" s="2491"/>
      <c r="AB77" s="2491"/>
      <c r="AC77" s="2491"/>
    </row>
    <row r="78" spans="1:29" s="407" customFormat="1" ht="15.75" thickBot="1">
      <c r="A78" s="483"/>
      <c r="B78" s="473"/>
      <c r="C78" s="490"/>
      <c r="D78" s="490"/>
      <c r="E78" s="490"/>
      <c r="F78" s="490"/>
      <c r="G78" s="466"/>
      <c r="H78" s="466"/>
      <c r="I78" s="466"/>
      <c r="J78" s="466"/>
      <c r="K78" s="466"/>
      <c r="L78" s="466"/>
      <c r="M78" s="467"/>
      <c r="N78" s="2521"/>
      <c r="O78" s="2521"/>
      <c r="P78" s="2529"/>
      <c r="Q78" s="2513"/>
      <c r="R78" s="2491"/>
      <c r="S78" s="2491"/>
      <c r="T78" s="2491"/>
      <c r="U78" s="2491"/>
      <c r="V78" s="2491"/>
      <c r="W78" s="2491"/>
      <c r="X78" s="2491"/>
      <c r="Y78" s="2491"/>
      <c r="Z78" s="2491"/>
      <c r="AA78" s="2491"/>
      <c r="AB78" s="2491"/>
      <c r="AC78" s="2491"/>
    </row>
    <row r="79" spans="1:29" ht="27.75" thickTop="1">
      <c r="A79" s="378" t="s">
        <v>1694</v>
      </c>
      <c r="B79" s="459" t="s">
        <v>1853</v>
      </c>
      <c r="C79" s="460" t="str">
        <f>C26</f>
        <v>车库</v>
      </c>
      <c r="D79" s="461"/>
      <c r="E79" s="461"/>
      <c r="F79" s="461"/>
      <c r="G79" s="461"/>
      <c r="H79" s="461"/>
      <c r="I79" s="461"/>
      <c r="J79" s="461"/>
      <c r="K79" s="462"/>
      <c r="L79" s="463"/>
      <c r="M79" s="464"/>
      <c r="N79" s="2519"/>
      <c r="O79" s="2519"/>
      <c r="P79" s="2528"/>
      <c r="Q79" s="2506"/>
      <c r="R79" s="2485"/>
      <c r="S79" s="2485"/>
      <c r="T79" s="2485"/>
      <c r="U79" s="2485"/>
      <c r="V79" s="2485"/>
      <c r="W79" s="2485"/>
      <c r="X79" s="2485"/>
      <c r="Y79" s="2485"/>
      <c r="Z79" s="2485"/>
      <c r="AA79" s="2485"/>
      <c r="AB79" s="2485"/>
      <c r="AC79" s="2485"/>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6"/>
      <c r="B81" s="468" t="s">
        <v>1854</v>
      </c>
      <c r="C81" s="581"/>
      <c r="D81" s="581"/>
      <c r="E81" s="581"/>
      <c r="F81" s="581"/>
      <c r="G81" s="581"/>
      <c r="H81" s="581"/>
      <c r="I81" s="581"/>
      <c r="J81" s="581"/>
      <c r="K81" s="582"/>
      <c r="L81" s="583"/>
      <c r="M81" s="584"/>
      <c r="N81" s="2518"/>
      <c r="O81" s="2518"/>
      <c r="P81" s="2528"/>
      <c r="Q81" s="2506"/>
      <c r="R81" s="2485"/>
      <c r="S81" s="2485"/>
      <c r="T81" s="2485"/>
      <c r="U81" s="2485"/>
      <c r="V81" s="2485"/>
      <c r="W81" s="2485"/>
      <c r="X81" s="2485"/>
      <c r="Y81" s="2485"/>
      <c r="Z81" s="2485"/>
      <c r="AA81" s="2485"/>
      <c r="AB81" s="2485"/>
      <c r="AC81" s="2485"/>
    </row>
    <row r="82" spans="1:29" s="407" customFormat="1" ht="15.75" thickBot="1">
      <c r="A82" s="483"/>
      <c r="B82" s="473"/>
      <c r="C82" s="490"/>
      <c r="D82" s="466"/>
      <c r="E82" s="466"/>
      <c r="F82" s="466"/>
      <c r="G82" s="466"/>
      <c r="H82" s="466"/>
      <c r="I82" s="466"/>
      <c r="J82" s="466"/>
      <c r="K82" s="466"/>
      <c r="L82" s="466"/>
      <c r="M82" s="467"/>
      <c r="N82" s="2520"/>
      <c r="O82" s="2520"/>
      <c r="P82" s="2529"/>
      <c r="Q82" s="2513"/>
      <c r="R82" s="2491"/>
      <c r="S82" s="2491"/>
      <c r="T82" s="2491"/>
      <c r="U82" s="2491"/>
      <c r="V82" s="2491"/>
      <c r="W82" s="2491"/>
      <c r="X82" s="2491"/>
      <c r="Y82" s="2491"/>
      <c r="Z82" s="2491"/>
      <c r="AA82" s="2491"/>
      <c r="AB82" s="2491"/>
      <c r="AC82" s="2491"/>
    </row>
    <row r="83" spans="1:29" ht="15" thickTop="1">
      <c r="A83" s="408"/>
      <c r="B83" s="468" t="s">
        <v>1740</v>
      </c>
      <c r="C83" s="484"/>
      <c r="D83" s="484"/>
      <c r="E83" s="512"/>
      <c r="F83" s="512"/>
      <c r="G83" s="512"/>
      <c r="H83" s="512"/>
      <c r="I83" s="512"/>
      <c r="J83" s="512"/>
      <c r="K83" s="513"/>
      <c r="L83" s="514"/>
      <c r="M83" s="515"/>
      <c r="N83" s="2519"/>
      <c r="O83" s="2519"/>
      <c r="P83" s="2528"/>
      <c r="Q83" s="2506"/>
      <c r="R83" s="2485"/>
      <c r="S83" s="2485"/>
      <c r="T83" s="2485"/>
      <c r="U83" s="2485"/>
      <c r="V83" s="2485"/>
      <c r="W83" s="2485"/>
      <c r="X83" s="2485"/>
      <c r="Y83" s="2485"/>
      <c r="Z83" s="2485"/>
      <c r="AA83" s="2485"/>
      <c r="AB83" s="2485"/>
      <c r="AC83" s="2485"/>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9"/>
      <c r="O85" s="2519"/>
      <c r="P85" s="2528"/>
      <c r="Q85" s="2506"/>
      <c r="R85" s="2485"/>
      <c r="S85" s="2485"/>
      <c r="T85" s="2485"/>
      <c r="U85" s="2485"/>
      <c r="V85" s="2485"/>
      <c r="W85" s="2485"/>
      <c r="X85" s="2485"/>
      <c r="Y85" s="2485"/>
      <c r="Z85" s="2485"/>
      <c r="AA85" s="2485"/>
      <c r="AB85" s="2485"/>
      <c r="AC85" s="2485"/>
    </row>
    <row r="86" spans="1:29">
      <c r="A86" s="408"/>
      <c r="B86" s="476"/>
      <c r="C86" s="529">
        <v>0.5</v>
      </c>
      <c r="D86" s="529">
        <v>0.6</v>
      </c>
      <c r="E86" s="529">
        <v>0.7</v>
      </c>
      <c r="F86" s="529">
        <v>0.8</v>
      </c>
      <c r="G86" s="529">
        <v>0.9</v>
      </c>
      <c r="H86" s="529">
        <v>1.0001</v>
      </c>
      <c r="I86" s="547"/>
      <c r="J86" s="547"/>
      <c r="K86" s="548"/>
      <c r="L86" s="549"/>
      <c r="M86" s="550"/>
      <c r="N86" s="2519"/>
      <c r="O86" s="2519"/>
      <c r="P86" s="2528"/>
      <c r="Q86" s="2506"/>
      <c r="R86" s="2485"/>
      <c r="S86" s="2485"/>
      <c r="T86" s="2485"/>
      <c r="U86" s="2485"/>
      <c r="V86" s="2485"/>
      <c r="W86" s="2485"/>
      <c r="X86" s="2485"/>
      <c r="Y86" s="2485"/>
      <c r="Z86" s="2485"/>
      <c r="AA86" s="2485"/>
      <c r="AB86" s="2485"/>
      <c r="AC86" s="2485"/>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8"/>
      <c r="B88" s="476" t="s">
        <v>1856</v>
      </c>
      <c r="C88" s="461"/>
      <c r="D88" s="461"/>
      <c r="E88" s="461"/>
      <c r="F88" s="461"/>
      <c r="G88" s="461"/>
      <c r="H88" s="461"/>
      <c r="I88" s="461"/>
      <c r="J88" s="461"/>
      <c r="K88" s="462"/>
      <c r="L88" s="463"/>
      <c r="M88" s="464"/>
      <c r="N88" s="2519"/>
      <c r="O88" s="2519"/>
      <c r="P88" s="2528"/>
      <c r="Q88" s="2506"/>
      <c r="R88" s="2485"/>
      <c r="S88" s="2485"/>
      <c r="T88" s="2485"/>
      <c r="U88" s="2485"/>
      <c r="V88" s="2485"/>
      <c r="W88" s="2485"/>
      <c r="X88" s="2485"/>
      <c r="Y88" s="2485"/>
      <c r="Z88" s="2485"/>
      <c r="AA88" s="2485"/>
      <c r="AB88" s="2485"/>
      <c r="AC88" s="2485"/>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0"/>
      <c r="O89" s="2520"/>
      <c r="P89" s="2528"/>
      <c r="Q89" s="2506"/>
      <c r="R89" s="2485"/>
      <c r="S89" s="2485"/>
      <c r="T89" s="2485"/>
      <c r="U89" s="2485"/>
      <c r="V89" s="2485"/>
      <c r="W89" s="2485"/>
      <c r="X89" s="2485"/>
      <c r="Y89" s="2485"/>
      <c r="Z89" s="2485"/>
      <c r="AA89" s="2485"/>
      <c r="AB89" s="2485"/>
      <c r="AC89" s="2485"/>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1"/>
      <c r="O90" s="2521"/>
      <c r="P90" s="2529"/>
      <c r="Q90" s="2513"/>
      <c r="R90" s="2491"/>
      <c r="S90" s="2491"/>
      <c r="T90" s="2491"/>
      <c r="U90" s="2491"/>
      <c r="V90" s="2491"/>
      <c r="W90" s="2491"/>
      <c r="X90" s="2491"/>
      <c r="Y90" s="2491"/>
      <c r="Z90" s="2491"/>
      <c r="AA90" s="2491"/>
      <c r="AB90" s="2491"/>
      <c r="AC90" s="2491"/>
    </row>
    <row r="91" spans="1:29" s="407" customFormat="1">
      <c r="A91" s="405"/>
      <c r="B91" s="476"/>
      <c r="C91" s="6"/>
      <c r="D91" s="6"/>
      <c r="E91" s="6"/>
      <c r="F91" s="6"/>
      <c r="G91" s="6"/>
      <c r="H91" s="6"/>
      <c r="I91" s="6"/>
      <c r="J91" s="523"/>
      <c r="K91" s="523"/>
      <c r="L91" s="524"/>
      <c r="M91" s="525"/>
      <c r="N91" s="2521"/>
      <c r="O91" s="2521"/>
      <c r="P91" s="2529"/>
      <c r="Q91" s="2513"/>
      <c r="R91" s="2491"/>
      <c r="S91" s="2491"/>
      <c r="T91" s="2491"/>
      <c r="U91" s="2491"/>
      <c r="V91" s="2491"/>
      <c r="W91" s="2491"/>
      <c r="X91" s="2491"/>
      <c r="Y91" s="2491"/>
      <c r="Z91" s="2491"/>
      <c r="AA91" s="2491"/>
      <c r="AB91" s="2491"/>
      <c r="AC91" s="2491"/>
    </row>
    <row r="92" spans="1:29" s="407" customFormat="1" ht="15.75" thickBot="1">
      <c r="A92" s="483"/>
      <c r="B92" s="473"/>
      <c r="C92" s="490"/>
      <c r="D92" s="466"/>
      <c r="E92" s="466"/>
      <c r="F92" s="466"/>
      <c r="G92" s="466"/>
      <c r="H92" s="466"/>
      <c r="I92" s="466"/>
      <c r="J92" s="466"/>
      <c r="K92" s="466"/>
      <c r="L92" s="466"/>
      <c r="M92" s="467"/>
      <c r="N92" s="2521"/>
      <c r="O92" s="2521"/>
      <c r="P92" s="2529"/>
      <c r="Q92" s="2513"/>
      <c r="R92" s="2491"/>
      <c r="S92" s="2491"/>
      <c r="T92" s="2491"/>
      <c r="U92" s="2491"/>
      <c r="V92" s="2491"/>
      <c r="W92" s="2491"/>
      <c r="X92" s="2491"/>
      <c r="Y92" s="2491"/>
      <c r="Z92" s="2491"/>
      <c r="AA92" s="2491"/>
      <c r="AB92" s="2491"/>
      <c r="AC92" s="2491"/>
    </row>
    <row r="93" spans="1:29" ht="15" thickTop="1">
      <c r="A93" s="408"/>
      <c r="B93" s="468" t="s">
        <v>1858</v>
      </c>
      <c r="C93" s="484"/>
      <c r="D93" s="484"/>
      <c r="E93" s="512"/>
      <c r="F93" s="512"/>
      <c r="G93" s="512"/>
      <c r="H93" s="512"/>
      <c r="I93" s="512"/>
      <c r="J93" s="512"/>
      <c r="K93" s="513"/>
      <c r="L93" s="514"/>
      <c r="M93" s="515"/>
      <c r="N93" s="2519"/>
      <c r="O93" s="2519"/>
      <c r="P93" s="2528"/>
      <c r="Q93" s="2506"/>
      <c r="R93" s="2485"/>
      <c r="S93" s="2485"/>
      <c r="T93" s="2485"/>
      <c r="U93" s="2485"/>
      <c r="V93" s="2485"/>
      <c r="W93" s="2485"/>
      <c r="X93" s="2485"/>
      <c r="Y93" s="2485"/>
      <c r="Z93" s="2485"/>
      <c r="AA93" s="2485"/>
      <c r="AB93" s="2485"/>
      <c r="AC93" s="2485"/>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8"/>
      <c r="B95" s="468" t="s">
        <v>1859</v>
      </c>
      <c r="C95" s="461"/>
      <c r="D95" s="461"/>
      <c r="E95" s="461"/>
      <c r="F95" s="461"/>
      <c r="G95" s="461"/>
      <c r="H95" s="461"/>
      <c r="I95" s="461"/>
      <c r="J95" s="461"/>
      <c r="K95" s="462"/>
      <c r="L95" s="463"/>
      <c r="M95" s="464"/>
      <c r="N95" s="2519"/>
      <c r="O95" s="2519"/>
      <c r="P95" s="2528"/>
      <c r="Q95" s="2506"/>
      <c r="R95" s="2485"/>
      <c r="S95" s="2485"/>
      <c r="T95" s="2485"/>
      <c r="U95" s="2485"/>
      <c r="V95" s="2485"/>
      <c r="W95" s="2485"/>
      <c r="X95" s="2485"/>
      <c r="Y95" s="2485"/>
      <c r="Z95" s="2485"/>
      <c r="AA95" s="2485"/>
      <c r="AB95" s="2485"/>
      <c r="AC95" s="2485"/>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20"/>
      <c r="O96" s="2520"/>
      <c r="P96" s="2528"/>
      <c r="Q96" s="2506"/>
      <c r="R96" s="2485"/>
      <c r="S96" s="2485"/>
      <c r="T96" s="2485"/>
      <c r="U96" s="2485"/>
      <c r="V96" s="2485"/>
      <c r="W96" s="2485"/>
      <c r="X96" s="2485"/>
      <c r="Y96" s="2485"/>
      <c r="Z96" s="2485"/>
      <c r="AA96" s="2485"/>
      <c r="AB96" s="2485"/>
      <c r="AC96" s="2485"/>
    </row>
    <row r="97" spans="1:29" ht="15" thickTop="1">
      <c r="A97" s="408"/>
      <c r="B97" s="559">
        <f>B34</f>
        <v>111</v>
      </c>
      <c r="C97" s="479"/>
      <c r="D97" s="479"/>
      <c r="E97" s="479"/>
      <c r="F97" s="479"/>
      <c r="G97" s="484"/>
      <c r="H97" s="485"/>
      <c r="I97" s="485"/>
      <c r="J97" s="485"/>
      <c r="K97" s="485"/>
      <c r="L97" s="486"/>
      <c r="M97" s="487"/>
      <c r="N97" s="2520"/>
      <c r="O97" s="2520"/>
      <c r="P97" s="2533"/>
      <c r="Q97" s="2534"/>
      <c r="R97" s="2485"/>
      <c r="S97" s="2485"/>
      <c r="T97" s="2485"/>
      <c r="U97" s="2485"/>
      <c r="V97" s="2485"/>
      <c r="W97" s="2485"/>
      <c r="X97" s="2485"/>
      <c r="Y97" s="2485"/>
      <c r="Z97" s="2485"/>
      <c r="AA97" s="2485"/>
      <c r="AB97" s="2485"/>
      <c r="AC97" s="2485"/>
    </row>
    <row r="98" spans="1:29" ht="15.75" thickBot="1">
      <c r="A98" s="366"/>
      <c r="B98" s="473"/>
      <c r="C98" s="490"/>
      <c r="D98" s="466"/>
      <c r="E98" s="466"/>
      <c r="F98" s="466"/>
      <c r="G98" s="490"/>
      <c r="H98" s="492"/>
      <c r="I98" s="492"/>
      <c r="J98" s="492"/>
      <c r="K98" s="492"/>
      <c r="L98" s="492"/>
      <c r="M98" s="493"/>
      <c r="N98" s="2520"/>
      <c r="O98" s="2520"/>
      <c r="P98" s="2528"/>
      <c r="Q98" s="2506"/>
      <c r="R98" s="2485"/>
      <c r="S98" s="2485"/>
      <c r="T98" s="2485"/>
      <c r="U98" s="2485"/>
      <c r="V98" s="2485"/>
      <c r="W98" s="2485"/>
      <c r="X98" s="2485"/>
      <c r="Y98" s="2485"/>
      <c r="Z98" s="2485"/>
      <c r="AA98" s="2485"/>
      <c r="AB98" s="2485"/>
      <c r="AC98" s="2485"/>
    </row>
    <row r="99" spans="1:29" s="407" customFormat="1" ht="15" thickTop="1">
      <c r="A99" s="405"/>
      <c r="B99" s="468">
        <f>B35</f>
        <v>111</v>
      </c>
      <c r="C99" s="479"/>
      <c r="D99" s="479"/>
      <c r="E99" s="479"/>
      <c r="F99" s="479"/>
      <c r="G99" s="484"/>
      <c r="H99" s="485"/>
      <c r="I99" s="485"/>
      <c r="J99" s="485"/>
      <c r="K99" s="485"/>
      <c r="L99" s="486"/>
      <c r="M99" s="487"/>
      <c r="N99" s="2521"/>
      <c r="O99" s="2521"/>
      <c r="P99" s="2529"/>
      <c r="Q99" s="2513"/>
      <c r="R99" s="2491"/>
      <c r="S99" s="2491"/>
      <c r="T99" s="2491"/>
      <c r="U99" s="2491"/>
      <c r="V99" s="2491"/>
      <c r="W99" s="2491"/>
      <c r="X99" s="2491"/>
      <c r="Y99" s="2491"/>
      <c r="Z99" s="2491"/>
      <c r="AA99" s="2491"/>
      <c r="AB99" s="2491"/>
      <c r="AC99" s="2491"/>
    </row>
    <row r="100" spans="1:29" s="407" customFormat="1" ht="15.75" thickBot="1">
      <c r="A100" s="483"/>
      <c r="B100" s="465"/>
      <c r="C100" s="490"/>
      <c r="D100" s="466"/>
      <c r="E100" s="466"/>
      <c r="F100" s="466"/>
      <c r="G100" s="490"/>
      <c r="H100" s="492"/>
      <c r="I100" s="492"/>
      <c r="J100" s="492"/>
      <c r="K100" s="492"/>
      <c r="L100" s="492"/>
      <c r="M100" s="493"/>
      <c r="N100" s="2521"/>
      <c r="O100" s="2521"/>
      <c r="P100" s="2529"/>
      <c r="Q100" s="2513"/>
      <c r="R100" s="2491"/>
      <c r="S100" s="2491"/>
      <c r="T100" s="2491"/>
      <c r="U100" s="2491"/>
      <c r="V100" s="2491"/>
      <c r="W100" s="2491"/>
      <c r="X100" s="2491"/>
      <c r="Y100" s="2491"/>
      <c r="Z100" s="2491"/>
      <c r="AA100" s="2491"/>
      <c r="AB100" s="2491"/>
      <c r="AC100" s="2491"/>
    </row>
    <row r="101" spans="1:29" ht="15" thickTop="1">
      <c r="A101" s="408"/>
      <c r="B101" s="468">
        <f>B36</f>
        <v>111</v>
      </c>
      <c r="C101" s="484"/>
      <c r="D101" s="484"/>
      <c r="E101" s="484"/>
      <c r="F101" s="484"/>
      <c r="G101" s="484"/>
      <c r="H101" s="485"/>
      <c r="I101" s="485"/>
      <c r="J101" s="485"/>
      <c r="K101" s="485"/>
      <c r="L101" s="486"/>
      <c r="M101" s="487"/>
      <c r="N101" s="2519"/>
      <c r="O101" s="2519"/>
      <c r="P101" s="2528"/>
      <c r="Q101" s="2506"/>
      <c r="R101" s="2485"/>
      <c r="S101" s="2485"/>
      <c r="T101" s="2485"/>
      <c r="U101" s="2485"/>
      <c r="V101" s="2485"/>
      <c r="W101" s="2485"/>
      <c r="X101" s="2485"/>
      <c r="Y101" s="2485"/>
      <c r="Z101" s="2485"/>
      <c r="AA101" s="2485"/>
      <c r="AB101" s="2485"/>
      <c r="AC101" s="2485"/>
    </row>
    <row r="102" spans="1:29" ht="15.75" thickBot="1">
      <c r="A102" s="366"/>
      <c r="B102" s="473"/>
      <c r="C102" s="490"/>
      <c r="D102" s="490"/>
      <c r="E102" s="490"/>
      <c r="F102" s="490"/>
      <c r="G102" s="490"/>
      <c r="H102" s="492"/>
      <c r="I102" s="492"/>
      <c r="J102" s="492"/>
      <c r="K102" s="492"/>
      <c r="L102" s="492"/>
      <c r="M102" s="493"/>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3336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1"/>
      <c r="M3" s="2502"/>
      <c r="N3" s="2502"/>
      <c r="O3" s="2502"/>
      <c r="P3" s="340"/>
      <c r="Q3" s="340"/>
      <c r="R3" s="340"/>
      <c r="S3" s="340"/>
      <c r="T3" s="340"/>
      <c r="U3" s="340"/>
      <c r="V3" s="340"/>
      <c r="W3" s="340"/>
      <c r="X3" s="340"/>
      <c r="Y3" s="340"/>
      <c r="Z3" s="340"/>
      <c r="AA3" s="340"/>
      <c r="AB3" s="675"/>
      <c r="AC3" s="662"/>
    </row>
    <row r="4" spans="1:29" ht="15">
      <c r="A4" s="344" t="s">
        <v>1769</v>
      </c>
      <c r="B4" s="345"/>
      <c r="C4" s="3365" t="s">
        <v>1770</v>
      </c>
      <c r="D4" s="3366"/>
      <c r="E4" s="3367" t="s">
        <v>1771</v>
      </c>
      <c r="F4" s="3368"/>
      <c r="G4" s="3365" t="s">
        <v>1772</v>
      </c>
      <c r="H4" s="3366"/>
      <c r="I4" s="3365" t="s">
        <v>1773</v>
      </c>
      <c r="J4" s="3366"/>
      <c r="K4" s="536" t="s">
        <v>1774</v>
      </c>
      <c r="L4" s="2484"/>
      <c r="M4" s="2485"/>
      <c r="N4" s="2485"/>
      <c r="O4" s="2485"/>
      <c r="P4" s="3369" t="s">
        <v>1775</v>
      </c>
      <c r="Q4" s="3370"/>
      <c r="R4" s="3375" t="s">
        <v>1771</v>
      </c>
      <c r="S4" s="3376"/>
      <c r="T4" s="3375" t="s">
        <v>1772</v>
      </c>
      <c r="U4" s="3376"/>
      <c r="V4" s="3348" t="s">
        <v>1773</v>
      </c>
      <c r="W4" s="3348"/>
      <c r="X4" s="1264"/>
      <c r="Y4" s="3375" t="s">
        <v>1775</v>
      </c>
      <c r="Z4" s="3376"/>
      <c r="AA4" s="3362" t="s">
        <v>1771</v>
      </c>
      <c r="AB4" s="3363" t="s">
        <v>1772</v>
      </c>
      <c r="AC4" s="3362" t="s">
        <v>1773</v>
      </c>
    </row>
    <row r="5" spans="1:29" ht="15">
      <c r="A5" s="347"/>
      <c r="B5" s="348"/>
      <c r="C5" s="3383" t="s">
        <v>1673</v>
      </c>
      <c r="D5" s="3384"/>
      <c r="E5" s="3390" t="s">
        <v>1674</v>
      </c>
      <c r="F5" s="3391"/>
      <c r="G5" s="3383" t="s">
        <v>1675</v>
      </c>
      <c r="H5" s="3384"/>
      <c r="I5" s="3383" t="s">
        <v>1676</v>
      </c>
      <c r="J5" s="3384"/>
      <c r="K5" s="536"/>
      <c r="L5" s="2484"/>
      <c r="M5" s="2485"/>
      <c r="N5" s="2485"/>
      <c r="O5" s="2485"/>
      <c r="P5" s="3371"/>
      <c r="Q5" s="3372"/>
      <c r="R5" s="3377"/>
      <c r="S5" s="3378"/>
      <c r="T5" s="3377"/>
      <c r="U5" s="3378"/>
      <c r="V5" s="3348"/>
      <c r="W5" s="3348"/>
      <c r="X5" s="1264"/>
      <c r="Y5" s="3377"/>
      <c r="Z5" s="3378"/>
      <c r="AA5" s="3363"/>
      <c r="AB5" s="3363"/>
      <c r="AC5" s="3363"/>
    </row>
    <row r="6" spans="1:29" ht="15.75" thickBot="1">
      <c r="A6" s="349"/>
      <c r="B6" s="350"/>
      <c r="C6" s="3381" t="s">
        <v>1677</v>
      </c>
      <c r="D6" s="3382"/>
      <c r="E6" s="3388" t="s">
        <v>1677</v>
      </c>
      <c r="F6" s="3389"/>
      <c r="G6" s="3381" t="s">
        <v>1677</v>
      </c>
      <c r="H6" s="3382"/>
      <c r="I6" s="3381" t="s">
        <v>1677</v>
      </c>
      <c r="J6" s="3382"/>
      <c r="K6" s="536" t="s">
        <v>1678</v>
      </c>
      <c r="L6" s="2484"/>
      <c r="M6" s="2485"/>
      <c r="N6" s="2485"/>
      <c r="O6" s="2485"/>
      <c r="P6" s="3373"/>
      <c r="Q6" s="3374"/>
      <c r="R6" s="3377"/>
      <c r="S6" s="3378"/>
      <c r="T6" s="3379"/>
      <c r="U6" s="3380"/>
      <c r="V6" s="3348"/>
      <c r="W6" s="3348"/>
      <c r="X6" s="1264"/>
      <c r="Y6" s="3379"/>
      <c r="Z6" s="3380"/>
      <c r="AA6" s="3364"/>
      <c r="AB6" s="3364"/>
      <c r="AC6" s="3364"/>
    </row>
    <row r="7" spans="1:29" s="101" customFormat="1" ht="15.75" thickBot="1">
      <c r="A7" s="351" t="s">
        <v>1679</v>
      </c>
      <c r="B7" s="352"/>
      <c r="C7" s="353">
        <f>'数据-取费表'!B2</f>
        <v>45580</v>
      </c>
      <c r="D7" s="354">
        <v>100</v>
      </c>
      <c r="E7" s="355"/>
      <c r="F7" s="356">
        <f>SUMIF(46:46,YEAR(E7)&amp;"-"&amp;MONTH(E7),47:47)</f>
        <v>0</v>
      </c>
      <c r="G7" s="1821"/>
      <c r="H7" s="354">
        <f>SUMIF(46:46,YEAR(G7)&amp;"-"&amp;MONTH(G7),47:47)</f>
        <v>0</v>
      </c>
      <c r="I7" s="355"/>
      <c r="J7" s="354">
        <f>SUMIF(46:46,YEAR(I7)&amp;"-"&amp;MONTH(I7),47:47)</f>
        <v>0</v>
      </c>
      <c r="K7" s="38"/>
      <c r="L7" s="2486"/>
      <c r="M7" s="2438"/>
      <c r="N7" s="2438"/>
      <c r="O7" s="2438"/>
      <c r="P7" s="3385" t="s">
        <v>1680</v>
      </c>
      <c r="Q7" s="3387"/>
      <c r="R7" s="663" t="s">
        <v>14</v>
      </c>
      <c r="S7" s="664">
        <f t="shared" ref="S7:S14" si="0">F7</f>
        <v>0</v>
      </c>
      <c r="T7" s="663" t="s">
        <v>14</v>
      </c>
      <c r="U7" s="664">
        <f t="shared" ref="U7:U14" si="1">H7</f>
        <v>0</v>
      </c>
      <c r="V7" s="663" t="s">
        <v>14</v>
      </c>
      <c r="W7" s="664">
        <f t="shared" ref="W7:W14" si="2">J7</f>
        <v>0</v>
      </c>
      <c r="X7" s="665"/>
      <c r="Y7" s="3385" t="s">
        <v>1680</v>
      </c>
      <c r="Z7" s="3386"/>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6"/>
      <c r="M8" s="2438"/>
      <c r="N8" s="2438"/>
      <c r="O8" s="2438"/>
      <c r="P8" s="3385" t="s">
        <v>1683</v>
      </c>
      <c r="Q8" s="3386"/>
      <c r="R8" s="663" t="s">
        <v>14</v>
      </c>
      <c r="S8" s="664">
        <f t="shared" si="0"/>
        <v>100</v>
      </c>
      <c r="T8" s="663" t="s">
        <v>14</v>
      </c>
      <c r="U8" s="664">
        <f t="shared" si="1"/>
        <v>100</v>
      </c>
      <c r="V8" s="663" t="s">
        <v>14</v>
      </c>
      <c r="W8" s="664">
        <f t="shared" si="2"/>
        <v>100</v>
      </c>
      <c r="X8" s="665"/>
      <c r="Y8" s="3385" t="s">
        <v>1683</v>
      </c>
      <c r="Z8" s="3386"/>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6"/>
      <c r="M9" s="2438"/>
      <c r="N9" s="2438"/>
      <c r="O9" s="2538"/>
      <c r="P9" s="3347" t="s">
        <v>1686</v>
      </c>
      <c r="Q9" s="529" t="str">
        <f t="shared" ref="Q9:Q14" si="6">B9</f>
        <v>用途</v>
      </c>
      <c r="R9" s="663" t="s">
        <v>14</v>
      </c>
      <c r="S9" s="664">
        <f t="shared" si="0"/>
        <v>100</v>
      </c>
      <c r="T9" s="663" t="s">
        <v>14</v>
      </c>
      <c r="U9" s="664">
        <f t="shared" si="1"/>
        <v>100</v>
      </c>
      <c r="V9" s="663" t="s">
        <v>14</v>
      </c>
      <c r="W9" s="664">
        <f t="shared" si="2"/>
        <v>100</v>
      </c>
      <c r="X9" s="665"/>
      <c r="Y9" s="3246" t="s">
        <v>1687</v>
      </c>
      <c r="Z9" s="50" t="str">
        <f t="shared" ref="Z9:Z14" si="7">Q9</f>
        <v>用途</v>
      </c>
      <c r="AA9" s="50">
        <f t="shared" si="3"/>
        <v>1</v>
      </c>
      <c r="AB9" s="50">
        <f t="shared" si="4"/>
        <v>1</v>
      </c>
      <c r="AC9" s="50">
        <f t="shared" si="5"/>
        <v>1</v>
      </c>
    </row>
    <row r="10" spans="1:29" s="365" customFormat="1" ht="27">
      <c r="A10" s="362"/>
      <c r="B10" s="363" t="s">
        <v>1688</v>
      </c>
      <c r="C10" s="3130"/>
      <c r="D10" s="118">
        <v>100</v>
      </c>
      <c r="E10" s="3130"/>
      <c r="F10" s="363">
        <f>SUMIF(53:53,E10,54:54)-SUMIF(53:53,C10,54:54)+100</f>
        <v>100</v>
      </c>
      <c r="G10" s="3130"/>
      <c r="H10" s="118">
        <f>SUMIF(53:53,G10,54:54)-SUMIF(53:53,C10,54:54)+100</f>
        <v>100</v>
      </c>
      <c r="I10" s="3130"/>
      <c r="J10" s="118">
        <f>SUMIF(53:53,I10,54:54)-SUMIF(53:53,C10,54:54)+100</f>
        <v>100</v>
      </c>
      <c r="K10" s="38"/>
      <c r="L10" s="2487"/>
      <c r="M10" s="2488"/>
      <c r="N10" s="2488"/>
      <c r="O10" s="2539"/>
      <c r="P10" s="3347"/>
      <c r="Q10" s="529" t="str">
        <f t="shared" si="6"/>
        <v>土地使用年限（年）</v>
      </c>
      <c r="R10" s="663" t="s">
        <v>14</v>
      </c>
      <c r="S10" s="664">
        <f t="shared" si="0"/>
        <v>100</v>
      </c>
      <c r="T10" s="663" t="s">
        <v>14</v>
      </c>
      <c r="U10" s="664">
        <f t="shared" si="1"/>
        <v>100</v>
      </c>
      <c r="V10" s="663" t="s">
        <v>14</v>
      </c>
      <c r="W10" s="664">
        <f t="shared" si="2"/>
        <v>100</v>
      </c>
      <c r="X10" s="665"/>
      <c r="Y10" s="3246"/>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9"/>
      <c r="M11" s="2485"/>
      <c r="N11" s="2485"/>
      <c r="O11" s="2540"/>
      <c r="P11" s="3347"/>
      <c r="Q11" s="529">
        <f t="shared" si="6"/>
        <v>111</v>
      </c>
      <c r="R11" s="663" t="s">
        <v>14</v>
      </c>
      <c r="S11" s="664">
        <f t="shared" si="0"/>
        <v>100</v>
      </c>
      <c r="T11" s="663" t="s">
        <v>14</v>
      </c>
      <c r="U11" s="664">
        <f t="shared" si="1"/>
        <v>100</v>
      </c>
      <c r="V11" s="663" t="s">
        <v>14</v>
      </c>
      <c r="W11" s="664">
        <f t="shared" si="2"/>
        <v>100</v>
      </c>
      <c r="X11" s="665"/>
      <c r="Y11" s="3246"/>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6"/>
      <c r="M12" s="2438"/>
      <c r="N12" s="2438"/>
      <c r="O12" s="2538"/>
      <c r="P12" s="3347"/>
      <c r="Q12" s="529">
        <f t="shared" si="6"/>
        <v>111</v>
      </c>
      <c r="R12" s="663" t="s">
        <v>14</v>
      </c>
      <c r="S12" s="664">
        <f t="shared" si="0"/>
        <v>100</v>
      </c>
      <c r="T12" s="663" t="s">
        <v>14</v>
      </c>
      <c r="U12" s="664">
        <f t="shared" si="1"/>
        <v>100</v>
      </c>
      <c r="V12" s="663" t="s">
        <v>14</v>
      </c>
      <c r="W12" s="664">
        <f t="shared" si="2"/>
        <v>100</v>
      </c>
      <c r="X12" s="665"/>
      <c r="Y12" s="3246"/>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90"/>
      <c r="M13" s="2485"/>
      <c r="N13" s="2485"/>
      <c r="O13" s="2540"/>
      <c r="P13" s="3347"/>
      <c r="Q13" s="529">
        <f t="shared" si="6"/>
        <v>111</v>
      </c>
      <c r="R13" s="663" t="s">
        <v>14</v>
      </c>
      <c r="S13" s="664">
        <f t="shared" si="0"/>
        <v>100</v>
      </c>
      <c r="T13" s="663" t="s">
        <v>14</v>
      </c>
      <c r="U13" s="664">
        <f t="shared" si="1"/>
        <v>100</v>
      </c>
      <c r="V13" s="663" t="s">
        <v>14</v>
      </c>
      <c r="W13" s="664">
        <f t="shared" si="2"/>
        <v>100</v>
      </c>
      <c r="X13" s="665"/>
      <c r="Y13" s="3246"/>
      <c r="Z13" s="50">
        <f t="shared" si="7"/>
        <v>111</v>
      </c>
      <c r="AA13" s="50">
        <f t="shared" si="3"/>
        <v>1</v>
      </c>
      <c r="AB13" s="50">
        <f t="shared" si="4"/>
        <v>1</v>
      </c>
      <c r="AC13" s="50">
        <f t="shared" si="5"/>
        <v>1</v>
      </c>
    </row>
    <row r="14" spans="1:29" ht="85.5">
      <c r="A14" s="378" t="s">
        <v>1690</v>
      </c>
      <c r="B14" s="58" t="s">
        <v>1833</v>
      </c>
      <c r="C14" s="1818" t="str">
        <f>IF(B1="工业",估价对象房地状况!G4,估价对象房地状况!C6)</f>
        <v>估价对象周边道路状况、公共交通通达情况、停车便捷程度，综合评价交通便捷度较好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90"/>
      <c r="M14" s="2485"/>
      <c r="N14" s="2485"/>
      <c r="O14" s="2540"/>
      <c r="P14" s="3354" t="s">
        <v>1691</v>
      </c>
      <c r="Q14" s="1262" t="str">
        <f t="shared" si="6"/>
        <v>交通便捷度</v>
      </c>
      <c r="R14" s="666" t="s">
        <v>14</v>
      </c>
      <c r="S14" s="667">
        <f t="shared" si="0"/>
        <v>100</v>
      </c>
      <c r="T14" s="666" t="s">
        <v>14</v>
      </c>
      <c r="U14" s="667">
        <f t="shared" si="1"/>
        <v>100</v>
      </c>
      <c r="V14" s="666" t="s">
        <v>14</v>
      </c>
      <c r="W14" s="667">
        <f t="shared" si="2"/>
        <v>100</v>
      </c>
      <c r="X14" s="1264"/>
      <c r="Y14" s="3354"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90"/>
      <c r="M15" s="2485"/>
      <c r="N15" s="2485"/>
      <c r="O15" s="2540"/>
      <c r="P15" s="3355"/>
      <c r="Q15" s="1262"/>
      <c r="R15" s="666"/>
      <c r="S15" s="667"/>
      <c r="T15" s="666"/>
      <c r="U15" s="667"/>
      <c r="V15" s="666"/>
      <c r="W15" s="667"/>
      <c r="X15" s="1264"/>
      <c r="Y15" s="3355"/>
      <c r="Z15" s="1263"/>
      <c r="AA15" s="1263">
        <v>1</v>
      </c>
      <c r="AB15" s="1263">
        <v>1</v>
      </c>
      <c r="AC15" s="1263">
        <v>1</v>
      </c>
    </row>
    <row r="16" spans="1:29" ht="42.75">
      <c r="A16" s="366"/>
      <c r="B16" s="389" t="s">
        <v>1812</v>
      </c>
      <c r="C16" s="1753" t="str">
        <f>IF(B1="工业",估价对象房地状况!G5,估价对象房地状况!C7)</f>
        <v>估价对象所在区域公共配套设施齐备情况</v>
      </c>
      <c r="D16" s="393">
        <v>100</v>
      </c>
      <c r="E16" s="395"/>
      <c r="F16" s="396">
        <f>SUMIF(63:63,E17,64:64)-SUMIF(63:63,C17,64:64)+100</f>
        <v>100</v>
      </c>
      <c r="G16" s="397"/>
      <c r="H16" s="393">
        <f>SUMIF(63:63,G17,64:64)-SUMIF(63:63,C17,64:64)+100</f>
        <v>100</v>
      </c>
      <c r="I16" s="395"/>
      <c r="J16" s="393">
        <f>SUMIF(63:63,I17,64:64)-SUMIF(63:63,C17,64:64)+100</f>
        <v>100</v>
      </c>
      <c r="K16" s="539"/>
      <c r="L16" s="2490"/>
      <c r="M16" s="2485"/>
      <c r="N16" s="2485"/>
      <c r="O16" s="2540"/>
      <c r="P16" s="3355"/>
      <c r="Q16" s="1262" t="str">
        <f>B16</f>
        <v>公共配套设施</v>
      </c>
      <c r="R16" s="666" t="s">
        <v>14</v>
      </c>
      <c r="S16" s="667">
        <f>F16</f>
        <v>100</v>
      </c>
      <c r="T16" s="666" t="s">
        <v>14</v>
      </c>
      <c r="U16" s="667">
        <f>H16</f>
        <v>100</v>
      </c>
      <c r="V16" s="666" t="s">
        <v>14</v>
      </c>
      <c r="W16" s="667">
        <f>J16</f>
        <v>100</v>
      </c>
      <c r="X16" s="1264"/>
      <c r="Y16" s="3355"/>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90"/>
      <c r="M17" s="2485"/>
      <c r="N17" s="2485"/>
      <c r="O17" s="2540"/>
      <c r="P17" s="3355"/>
      <c r="Q17" s="1262"/>
      <c r="R17" s="666"/>
      <c r="S17" s="667"/>
      <c r="T17" s="666"/>
      <c r="U17" s="667"/>
      <c r="V17" s="666"/>
      <c r="W17" s="667"/>
      <c r="X17" s="1264"/>
      <c r="Y17" s="3355"/>
      <c r="Z17" s="1263"/>
      <c r="AA17" s="1263">
        <v>1</v>
      </c>
      <c r="AB17" s="1263">
        <v>1</v>
      </c>
      <c r="AC17" s="1263">
        <v>1</v>
      </c>
    </row>
    <row r="18" spans="1:29" ht="28.5">
      <c r="A18" s="366"/>
      <c r="B18" s="585" t="s">
        <v>1813</v>
      </c>
      <c r="C18" s="1753"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90"/>
      <c r="M18" s="2485"/>
      <c r="N18" s="2485"/>
      <c r="O18" s="2540"/>
      <c r="P18" s="3355"/>
      <c r="Q18" s="1262" t="str">
        <f>B18</f>
        <v>基础设施水平</v>
      </c>
      <c r="R18" s="666" t="s">
        <v>14</v>
      </c>
      <c r="S18" s="667">
        <f>F18</f>
        <v>100</v>
      </c>
      <c r="T18" s="666" t="s">
        <v>14</v>
      </c>
      <c r="U18" s="667">
        <f>H18</f>
        <v>100</v>
      </c>
      <c r="V18" s="666" t="s">
        <v>14</v>
      </c>
      <c r="W18" s="667">
        <f>J18</f>
        <v>100</v>
      </c>
      <c r="X18" s="1264"/>
      <c r="Y18" s="3355"/>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90"/>
      <c r="M19" s="2485"/>
      <c r="N19" s="2485"/>
      <c r="O19" s="2540"/>
      <c r="P19" s="3355"/>
      <c r="Q19" s="1262"/>
      <c r="R19" s="666"/>
      <c r="S19" s="667"/>
      <c r="T19" s="666"/>
      <c r="U19" s="667"/>
      <c r="V19" s="666"/>
      <c r="W19" s="667"/>
      <c r="X19" s="1264"/>
      <c r="Y19" s="3355"/>
      <c r="Z19" s="1263"/>
      <c r="AA19" s="1263">
        <v>1</v>
      </c>
      <c r="AB19" s="1263">
        <v>1</v>
      </c>
      <c r="AC19" s="1263">
        <v>1</v>
      </c>
    </row>
    <row r="20" spans="1:29" ht="57">
      <c r="A20" s="366"/>
      <c r="B20" s="389" t="s">
        <v>1834</v>
      </c>
      <c r="C20" s="1753" t="str">
        <f>IF(B1="工业",估价对象房地状况!G7,估价对象房地状况!C9)</f>
        <v>区域自然环境：；人文环境；综合评价环境状况一般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90"/>
      <c r="M20" s="2485"/>
      <c r="N20" s="2485"/>
      <c r="O20" s="2540"/>
      <c r="P20" s="3355"/>
      <c r="Q20" s="1262" t="str">
        <f>B20</f>
        <v>自然及人文环境</v>
      </c>
      <c r="R20" s="666" t="s">
        <v>14</v>
      </c>
      <c r="S20" s="667">
        <f>F20</f>
        <v>100</v>
      </c>
      <c r="T20" s="666" t="s">
        <v>14</v>
      </c>
      <c r="U20" s="667">
        <f>H20</f>
        <v>100</v>
      </c>
      <c r="V20" s="666" t="s">
        <v>14</v>
      </c>
      <c r="W20" s="667">
        <f>J20</f>
        <v>100</v>
      </c>
      <c r="X20" s="1264"/>
      <c r="Y20" s="3355"/>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90"/>
      <c r="M21" s="2485"/>
      <c r="N21" s="2485"/>
      <c r="O21" s="2540"/>
      <c r="P21" s="3355"/>
      <c r="Q21" s="1262"/>
      <c r="R21" s="666"/>
      <c r="S21" s="667"/>
      <c r="T21" s="666"/>
      <c r="U21" s="667"/>
      <c r="V21" s="666"/>
      <c r="W21" s="667"/>
      <c r="X21" s="1264"/>
      <c r="Y21" s="3355"/>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90"/>
      <c r="M22" s="2485"/>
      <c r="N22" s="2485"/>
      <c r="O22" s="2540"/>
      <c r="P22" s="3355"/>
      <c r="Q22" s="1262" t="str">
        <f>B22</f>
        <v>楼层</v>
      </c>
      <c r="R22" s="666" t="s">
        <v>14</v>
      </c>
      <c r="S22" s="667">
        <f>F22</f>
        <v>100</v>
      </c>
      <c r="T22" s="666" t="s">
        <v>14</v>
      </c>
      <c r="U22" s="667">
        <f>H22</f>
        <v>100</v>
      </c>
      <c r="V22" s="666" t="s">
        <v>14</v>
      </c>
      <c r="W22" s="667">
        <f>J22</f>
        <v>100</v>
      </c>
      <c r="X22" s="1264"/>
      <c r="Y22" s="3355"/>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0"/>
      <c r="M23" s="2485"/>
      <c r="N23" s="2485"/>
      <c r="O23" s="2540"/>
      <c r="P23" s="3355"/>
      <c r="Q23" s="1262">
        <f>B23</f>
        <v>111</v>
      </c>
      <c r="R23" s="666" t="s">
        <v>14</v>
      </c>
      <c r="S23" s="667">
        <f>F23</f>
        <v>100</v>
      </c>
      <c r="T23" s="666" t="s">
        <v>14</v>
      </c>
      <c r="U23" s="667">
        <f>H23</f>
        <v>100</v>
      </c>
      <c r="V23" s="666" t="s">
        <v>14</v>
      </c>
      <c r="W23" s="667">
        <f>J23</f>
        <v>100</v>
      </c>
      <c r="X23" s="1264"/>
      <c r="Y23" s="3355"/>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0"/>
      <c r="M24" s="2485"/>
      <c r="N24" s="2485"/>
      <c r="O24" s="2540"/>
      <c r="P24" s="3355"/>
      <c r="Q24" s="1262">
        <f t="shared" ref="Q24:Q34" si="11">B24</f>
        <v>111</v>
      </c>
      <c r="R24" s="666" t="s">
        <v>14</v>
      </c>
      <c r="S24" s="667">
        <f>F24</f>
        <v>100</v>
      </c>
      <c r="T24" s="666" t="s">
        <v>14</v>
      </c>
      <c r="U24" s="667">
        <f>H24</f>
        <v>100</v>
      </c>
      <c r="V24" s="666" t="s">
        <v>14</v>
      </c>
      <c r="W24" s="667">
        <f>J24</f>
        <v>100</v>
      </c>
      <c r="X24" s="1264"/>
      <c r="Y24" s="3355"/>
      <c r="Z24" s="1263">
        <f>Q24</f>
        <v>111</v>
      </c>
      <c r="AA24" s="1263">
        <f t="shared" si="3"/>
        <v>1</v>
      </c>
      <c r="AB24" s="1263">
        <f t="shared" si="4"/>
        <v>1</v>
      </c>
      <c r="AC24" s="1263">
        <f t="shared" si="5"/>
        <v>1</v>
      </c>
    </row>
    <row r="25" spans="1:29" s="101" customFormat="1" ht="15.75"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6"/>
      <c r="M25" s="2438"/>
      <c r="N25" s="2438"/>
      <c r="O25" s="2538"/>
      <c r="P25" s="3355"/>
      <c r="Q25" s="529">
        <f t="shared" si="11"/>
        <v>111</v>
      </c>
      <c r="R25" s="663" t="s">
        <v>14</v>
      </c>
      <c r="S25" s="664">
        <f>F25</f>
        <v>100</v>
      </c>
      <c r="T25" s="663" t="s">
        <v>14</v>
      </c>
      <c r="U25" s="664">
        <f>H25</f>
        <v>100</v>
      </c>
      <c r="V25" s="663" t="s">
        <v>14</v>
      </c>
      <c r="W25" s="664">
        <f>J25</f>
        <v>100</v>
      </c>
      <c r="X25" s="665"/>
      <c r="Y25" s="3355"/>
      <c r="Z25" s="50">
        <f>Q25</f>
        <v>111</v>
      </c>
      <c r="AA25" s="1263">
        <f>D25/F25</f>
        <v>1</v>
      </c>
      <c r="AB25" s="1263">
        <f>D25/H25</f>
        <v>1</v>
      </c>
      <c r="AC25" s="1263">
        <f>D25/J25</f>
        <v>1</v>
      </c>
    </row>
    <row r="26" spans="1:29" ht="28.5">
      <c r="A26" s="403" t="s">
        <v>1694</v>
      </c>
      <c r="B26" s="60"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90"/>
      <c r="M26" s="2485"/>
      <c r="N26" s="2485"/>
      <c r="O26" s="2540"/>
      <c r="P26" s="3430"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359"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9"/>
      <c r="M27" s="2491"/>
      <c r="N27" s="2491"/>
      <c r="O27" s="2541"/>
      <c r="P27" s="3359"/>
      <c r="Q27" s="530" t="str">
        <f t="shared" si="11"/>
        <v>成新率</v>
      </c>
      <c r="R27" s="668" t="s">
        <v>14</v>
      </c>
      <c r="S27" s="669" t="e">
        <f t="shared" si="12"/>
        <v>#N/A</v>
      </c>
      <c r="T27" s="668" t="s">
        <v>14</v>
      </c>
      <c r="U27" s="669" t="e">
        <f t="shared" si="13"/>
        <v>#N/A</v>
      </c>
      <c r="V27" s="668" t="s">
        <v>14</v>
      </c>
      <c r="W27" s="669" t="e">
        <f t="shared" si="14"/>
        <v>#N/A</v>
      </c>
      <c r="X27" s="670"/>
      <c r="Y27" s="3359"/>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90"/>
      <c r="M28" s="2485"/>
      <c r="N28" s="2485"/>
      <c r="O28" s="2540"/>
      <c r="P28" s="3359"/>
      <c r="Q28" s="1262" t="str">
        <f t="shared" si="11"/>
        <v>物业等级</v>
      </c>
      <c r="R28" s="666" t="s">
        <v>14</v>
      </c>
      <c r="S28" s="667">
        <f t="shared" si="12"/>
        <v>100</v>
      </c>
      <c r="T28" s="666" t="s">
        <v>14</v>
      </c>
      <c r="U28" s="667">
        <f t="shared" si="13"/>
        <v>100</v>
      </c>
      <c r="V28" s="666" t="s">
        <v>14</v>
      </c>
      <c r="W28" s="667">
        <f t="shared" si="14"/>
        <v>100</v>
      </c>
      <c r="X28" s="1264"/>
      <c r="Y28" s="3359"/>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90"/>
      <c r="M29" s="2485"/>
      <c r="N29" s="2485"/>
      <c r="O29" s="2540"/>
      <c r="P29" s="3359"/>
      <c r="Q29" s="1262" t="str">
        <f t="shared" si="11"/>
        <v>有无电梯</v>
      </c>
      <c r="R29" s="666" t="s">
        <v>14</v>
      </c>
      <c r="S29" s="667">
        <f t="shared" si="12"/>
        <v>100</v>
      </c>
      <c r="T29" s="666" t="s">
        <v>14</v>
      </c>
      <c r="U29" s="667">
        <f t="shared" si="13"/>
        <v>100</v>
      </c>
      <c r="V29" s="666" t="s">
        <v>14</v>
      </c>
      <c r="W29" s="667">
        <f t="shared" si="14"/>
        <v>100</v>
      </c>
      <c r="X29" s="1264"/>
      <c r="Y29" s="3359"/>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0"/>
      <c r="M30" s="2485"/>
      <c r="N30" s="2485"/>
      <c r="O30" s="2540"/>
      <c r="P30" s="3359"/>
      <c r="Q30" s="1262" t="str">
        <f t="shared" si="11"/>
        <v>建筑面积</v>
      </c>
      <c r="R30" s="666" t="s">
        <v>14</v>
      </c>
      <c r="S30" s="667" t="e">
        <f t="shared" si="12"/>
        <v>#N/A</v>
      </c>
      <c r="T30" s="666" t="s">
        <v>14</v>
      </c>
      <c r="U30" s="667" t="e">
        <f t="shared" si="13"/>
        <v>#N/A</v>
      </c>
      <c r="V30" s="666" t="s">
        <v>14</v>
      </c>
      <c r="W30" s="667" t="e">
        <f t="shared" si="14"/>
        <v>#N/A</v>
      </c>
      <c r="X30" s="1264"/>
      <c r="Y30" s="3359"/>
      <c r="Z30" s="1263" t="str">
        <f t="shared" si="15"/>
        <v>建筑面积</v>
      </c>
      <c r="AA30" s="1263" t="e">
        <f t="shared" si="3"/>
        <v>#N/A</v>
      </c>
      <c r="AB30" s="1263" t="e">
        <f t="shared" si="4"/>
        <v>#N/A</v>
      </c>
      <c r="AC30" s="1263" t="e">
        <f t="shared" si="5"/>
        <v>#N/A</v>
      </c>
    </row>
    <row r="31" spans="1:29" s="101"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6"/>
      <c r="M31" s="2438"/>
      <c r="N31" s="2438"/>
      <c r="O31" s="2538"/>
      <c r="P31" s="3359"/>
      <c r="Q31" s="529" t="str">
        <f t="shared" si="11"/>
        <v>是否封闭</v>
      </c>
      <c r="R31" s="663" t="s">
        <v>14</v>
      </c>
      <c r="S31" s="664">
        <f t="shared" si="12"/>
        <v>100</v>
      </c>
      <c r="T31" s="663" t="s">
        <v>14</v>
      </c>
      <c r="U31" s="664">
        <f t="shared" si="13"/>
        <v>100</v>
      </c>
      <c r="V31" s="663" t="s">
        <v>14</v>
      </c>
      <c r="W31" s="664">
        <f t="shared" si="14"/>
        <v>100</v>
      </c>
      <c r="X31" s="665"/>
      <c r="Y31" s="3359"/>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0"/>
      <c r="M32" s="2485"/>
      <c r="N32" s="2485"/>
      <c r="O32" s="2540"/>
      <c r="P32" s="3359" t="s">
        <v>1696</v>
      </c>
      <c r="Q32" s="1262">
        <f t="shared" si="11"/>
        <v>111</v>
      </c>
      <c r="R32" s="666" t="s">
        <v>14</v>
      </c>
      <c r="S32" s="667">
        <f t="shared" si="12"/>
        <v>100</v>
      </c>
      <c r="T32" s="666" t="s">
        <v>14</v>
      </c>
      <c r="U32" s="667">
        <f t="shared" si="13"/>
        <v>100</v>
      </c>
      <c r="V32" s="666" t="s">
        <v>14</v>
      </c>
      <c r="W32" s="667">
        <f t="shared" si="14"/>
        <v>100</v>
      </c>
      <c r="X32" s="1264"/>
      <c r="Y32" s="3359"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0"/>
      <c r="M33" s="2485"/>
      <c r="N33" s="2485"/>
      <c r="O33" s="2540"/>
      <c r="P33" s="3359"/>
      <c r="Q33" s="1262">
        <f t="shared" si="11"/>
        <v>111</v>
      </c>
      <c r="R33" s="666" t="s">
        <v>14</v>
      </c>
      <c r="S33" s="667">
        <f t="shared" si="12"/>
        <v>100</v>
      </c>
      <c r="T33" s="666" t="s">
        <v>14</v>
      </c>
      <c r="U33" s="667">
        <f t="shared" si="13"/>
        <v>100</v>
      </c>
      <c r="V33" s="666" t="s">
        <v>14</v>
      </c>
      <c r="W33" s="667">
        <f t="shared" si="14"/>
        <v>100</v>
      </c>
      <c r="X33" s="1264"/>
      <c r="Y33" s="3359"/>
      <c r="Z33" s="1263">
        <f t="shared" si="15"/>
        <v>111</v>
      </c>
      <c r="AA33" s="1263">
        <f t="shared" si="3"/>
        <v>1</v>
      </c>
      <c r="AB33" s="1263">
        <f t="shared" si="4"/>
        <v>1</v>
      </c>
      <c r="AC33" s="1263">
        <f t="shared" si="5"/>
        <v>1</v>
      </c>
    </row>
    <row r="34" spans="1:30" ht="15.75"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90"/>
      <c r="M34" s="2485"/>
      <c r="N34" s="2485"/>
      <c r="O34" s="2540"/>
      <c r="P34" s="3359"/>
      <c r="Q34" s="1262">
        <f t="shared" si="11"/>
        <v>111</v>
      </c>
      <c r="R34" s="666" t="s">
        <v>14</v>
      </c>
      <c r="S34" s="667">
        <f t="shared" si="12"/>
        <v>100</v>
      </c>
      <c r="T34" s="666" t="s">
        <v>14</v>
      </c>
      <c r="U34" s="667">
        <f t="shared" si="13"/>
        <v>100</v>
      </c>
      <c r="V34" s="666" t="s">
        <v>14</v>
      </c>
      <c r="W34" s="667">
        <f t="shared" si="14"/>
        <v>100</v>
      </c>
      <c r="X34" s="1264"/>
      <c r="Y34" s="3359"/>
      <c r="Z34" s="1263">
        <f t="shared" si="15"/>
        <v>111</v>
      </c>
      <c r="AA34" s="1263">
        <f t="shared" si="3"/>
        <v>1</v>
      </c>
      <c r="AB34" s="1263">
        <f t="shared" si="4"/>
        <v>1</v>
      </c>
      <c r="AC34" s="1263">
        <f t="shared" si="5"/>
        <v>1</v>
      </c>
    </row>
    <row r="35" spans="1:30" ht="15">
      <c r="A35" s="415" t="s">
        <v>1708</v>
      </c>
      <c r="B35" s="416"/>
      <c r="C35" s="1080" t="s">
        <v>0</v>
      </c>
      <c r="D35" s="417"/>
      <c r="E35" s="418"/>
      <c r="F35" s="419"/>
      <c r="G35" s="420"/>
      <c r="H35" s="421"/>
      <c r="I35" s="418"/>
      <c r="J35" s="421"/>
      <c r="K35" s="673"/>
      <c r="L35" s="2492"/>
      <c r="M35" s="2485"/>
      <c r="N35" s="2485"/>
      <c r="O35" s="2485"/>
      <c r="P35" s="3347" t="str">
        <f>A35</f>
        <v>成交单价（元/平方米）</v>
      </c>
      <c r="Q35" s="3347"/>
      <c r="R35" s="3348">
        <f>E35</f>
        <v>0</v>
      </c>
      <c r="S35" s="3348"/>
      <c r="T35" s="3348">
        <f>G35</f>
        <v>0</v>
      </c>
      <c r="U35" s="3348"/>
      <c r="V35" s="3348">
        <f>I35</f>
        <v>0</v>
      </c>
      <c r="W35" s="3348"/>
      <c r="X35" s="384"/>
      <c r="Y35" s="672"/>
      <c r="Z35" s="384"/>
      <c r="AA35" s="384"/>
      <c r="AB35" s="384"/>
      <c r="AC35" s="384"/>
    </row>
    <row r="36" spans="1:30" ht="15.75" thickBot="1">
      <c r="A36" s="422" t="s">
        <v>1793</v>
      </c>
      <c r="B36" s="423"/>
      <c r="C36" s="1081" t="e">
        <f>R37</f>
        <v>#DIV/0!</v>
      </c>
      <c r="D36" s="2140" t="s">
        <v>2138</v>
      </c>
      <c r="E36" s="1082" t="e">
        <f>R36</f>
        <v>#DIV/0!</v>
      </c>
      <c r="F36" s="2141"/>
      <c r="G36" s="1081" t="e">
        <f>T36</f>
        <v>#DIV/0!</v>
      </c>
      <c r="H36" s="2141"/>
      <c r="I36" s="1082" t="e">
        <f>V36</f>
        <v>#DIV/0!</v>
      </c>
      <c r="J36" s="2141"/>
      <c r="K36" s="2143">
        <f>F36+H36+J36</f>
        <v>0</v>
      </c>
      <c r="L36" s="2492"/>
      <c r="M36" s="2485"/>
      <c r="N36" s="2485"/>
      <c r="O36" s="2485"/>
      <c r="P36" s="3347" t="str">
        <f>A36</f>
        <v>比较价值（元/平方米）</v>
      </c>
      <c r="Q36" s="3347"/>
      <c r="R36" s="3348" t="e">
        <f>IF(F1="售价",ROUND(PRODUCT(R35,AA7:AA34),0),ROUND(PRODUCT(R35,AA7:AA34),1))</f>
        <v>#DIV/0!</v>
      </c>
      <c r="S36" s="3348"/>
      <c r="T36" s="3348" t="e">
        <f>IF(F1="售价",ROUND(PRODUCT(T35,AB7:AB34),0),ROUND(PRODUCT(T35,AB7:AB34),1))</f>
        <v>#DIV/0!</v>
      </c>
      <c r="U36" s="3348"/>
      <c r="V36" s="3348" t="e">
        <f>IF(F1="售价",ROUND(PRODUCT(V35,AC7:AC34),0),ROUND(PRODUCT(V35,AC7:AC34),1))</f>
        <v>#DIV/0!</v>
      </c>
      <c r="W36" s="3348"/>
      <c r="X36" s="384"/>
      <c r="Y36" s="384"/>
      <c r="Z36" s="384"/>
      <c r="AA36" s="384"/>
      <c r="AB36" s="384"/>
      <c r="AC36" s="384"/>
    </row>
    <row r="37" spans="1:30" ht="15.75" thickBot="1">
      <c r="A37" s="426" t="s">
        <v>1794</v>
      </c>
      <c r="B37" s="427"/>
      <c r="C37" s="350" t="e">
        <f>R37</f>
        <v>#DIV/0!</v>
      </c>
      <c r="D37" s="350"/>
      <c r="E37" s="350"/>
      <c r="F37" s="350"/>
      <c r="G37" s="350"/>
      <c r="H37" s="350"/>
      <c r="I37" s="350"/>
      <c r="J37" s="350"/>
      <c r="K37" s="674"/>
      <c r="L37" s="2492"/>
      <c r="M37" s="2485"/>
      <c r="N37" s="2485"/>
      <c r="O37" s="2485"/>
      <c r="P37" s="3349" t="str">
        <f>A37</f>
        <v>估价对象XX用房的比较价值（楼面单价，元/平方米）</v>
      </c>
      <c r="Q37" s="3350"/>
      <c r="R37" s="3431" t="e">
        <f>IF(F1="售价",ROUND(IF(D36="简单平均",AVERAGE(R36:W36),R36*F36+T36*H36+V36*J36),0),ROUND(IF(D36="简单平均",AVERAGE(R36:V36),R36*F36+T36*H36+V36*J36),1))</f>
        <v>#DIV/0!</v>
      </c>
      <c r="S37" s="3431"/>
      <c r="T37" s="3431"/>
      <c r="U37" s="3431"/>
      <c r="V37" s="3431"/>
      <c r="W37" s="3431"/>
      <c r="X37" s="384"/>
      <c r="Y37" s="384"/>
      <c r="Z37" s="384"/>
      <c r="AA37" s="384"/>
      <c r="AB37" s="384"/>
      <c r="AC37" s="384"/>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6" customFormat="1" ht="13.5" customHeight="1">
      <c r="A42" s="2495"/>
      <c r="B42" s="2495"/>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6"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7" t="s">
        <v>1798</v>
      </c>
      <c r="B45" s="384"/>
      <c r="C45" s="658"/>
      <c r="D45" s="658"/>
      <c r="E45" s="658"/>
      <c r="F45" s="659"/>
      <c r="G45" s="659"/>
      <c r="H45" s="658"/>
      <c r="I45" s="658"/>
      <c r="J45" s="658"/>
      <c r="K45" s="660"/>
      <c r="L45" s="661"/>
      <c r="M45" s="658"/>
      <c r="N45" s="2535"/>
      <c r="O45" s="2535"/>
      <c r="P45" s="2535"/>
      <c r="Q45" s="2506"/>
      <c r="R45" s="2485"/>
      <c r="S45" s="2485"/>
      <c r="T45" s="2485"/>
      <c r="U45" s="2485"/>
      <c r="V45" s="2485"/>
      <c r="W45" s="2485"/>
      <c r="X45" s="2485"/>
      <c r="Y45" s="2485"/>
      <c r="Z45" s="2485"/>
      <c r="AA45" s="2485"/>
      <c r="AB45" s="2485"/>
      <c r="AC45" s="2485"/>
      <c r="AD45" s="2485"/>
    </row>
    <row r="46" spans="1:30" s="441" customFormat="1" ht="15">
      <c r="A46" s="439" t="s">
        <v>1679</v>
      </c>
      <c r="B46" s="440"/>
      <c r="C46" s="1102" t="str">
        <f>YEAR(C7)&amp;"-"&amp;MONTH(C7)</f>
        <v>2024-10</v>
      </c>
      <c r="D46" s="1103">
        <f>EDATE(C46,-1)</f>
        <v>45536</v>
      </c>
      <c r="E46" s="1103">
        <f t="shared" ref="E46:O46" si="16">EDATE(D46,-1)</f>
        <v>45505</v>
      </c>
      <c r="F46" s="1103">
        <f t="shared" si="16"/>
        <v>45474</v>
      </c>
      <c r="G46" s="1103">
        <f t="shared" si="16"/>
        <v>45444</v>
      </c>
      <c r="H46" s="1103">
        <f t="shared" si="16"/>
        <v>45413</v>
      </c>
      <c r="I46" s="1103">
        <f t="shared" si="16"/>
        <v>45383</v>
      </c>
      <c r="J46" s="1103">
        <f t="shared" si="16"/>
        <v>45352</v>
      </c>
      <c r="K46" s="1103">
        <f t="shared" si="16"/>
        <v>45323</v>
      </c>
      <c r="L46" s="1103">
        <f t="shared" si="16"/>
        <v>45292</v>
      </c>
      <c r="M46" s="1103">
        <f t="shared" si="16"/>
        <v>45261</v>
      </c>
      <c r="N46" s="1103">
        <f t="shared" si="16"/>
        <v>45231</v>
      </c>
      <c r="O46" s="1103">
        <f t="shared" si="16"/>
        <v>45200</v>
      </c>
      <c r="P46" s="2508"/>
      <c r="Q46" s="2508"/>
      <c r="R46" s="2508"/>
      <c r="S46" s="2508"/>
      <c r="T46" s="2508"/>
      <c r="U46" s="2508"/>
      <c r="V46" s="2508"/>
      <c r="W46" s="2508"/>
      <c r="X46" s="2508"/>
      <c r="Y46" s="2508"/>
      <c r="Z46" s="2508"/>
      <c r="AA46" s="2508"/>
      <c r="AB46" s="2508"/>
      <c r="AC46" s="2508"/>
      <c r="AD46" s="2508"/>
    </row>
    <row r="47" spans="1:30" s="101" customFormat="1" ht="15">
      <c r="A47" s="442"/>
      <c r="B47" s="443"/>
      <c r="C47" s="1101">
        <v>100</v>
      </c>
      <c r="D47" s="445"/>
      <c r="E47" s="445"/>
      <c r="F47" s="445"/>
      <c r="G47" s="445"/>
      <c r="H47" s="445"/>
      <c r="I47" s="445"/>
      <c r="J47" s="445"/>
      <c r="K47" s="445"/>
      <c r="L47" s="445"/>
      <c r="M47" s="446"/>
      <c r="N47" s="445"/>
      <c r="O47" s="447"/>
      <c r="P47" s="2506"/>
      <c r="Q47" s="2438"/>
      <c r="R47" s="2438"/>
      <c r="S47" s="2438"/>
      <c r="T47" s="2438"/>
      <c r="U47" s="2438"/>
      <c r="V47" s="2438"/>
      <c r="W47" s="2438"/>
      <c r="X47" s="2438"/>
      <c r="Y47" s="2438"/>
      <c r="Z47" s="2438"/>
      <c r="AA47" s="2438"/>
      <c r="AB47" s="2438"/>
      <c r="AC47" s="2438"/>
      <c r="AD47" s="2438"/>
    </row>
    <row r="48" spans="1:30" s="101" customFormat="1" ht="15.75" thickBot="1">
      <c r="A48" s="448" t="s">
        <v>1716</v>
      </c>
      <c r="B48" s="449"/>
      <c r="C48" s="450"/>
      <c r="D48" s="451"/>
      <c r="E48" s="451"/>
      <c r="F48" s="451"/>
      <c r="G48" s="451"/>
      <c r="H48" s="451"/>
      <c r="I48" s="451"/>
      <c r="J48" s="451"/>
      <c r="K48" s="451"/>
      <c r="L48" s="451"/>
      <c r="M48" s="452"/>
      <c r="N48" s="451"/>
      <c r="O48" s="453"/>
      <c r="P48" s="2506"/>
      <c r="Q48" s="2506"/>
      <c r="R48" s="2438"/>
      <c r="S48" s="2438"/>
      <c r="T48" s="2438"/>
      <c r="U48" s="2438"/>
      <c r="V48" s="2438"/>
      <c r="W48" s="2438"/>
      <c r="X48" s="2438"/>
      <c r="Y48" s="2438"/>
      <c r="Z48" s="2438"/>
      <c r="AA48" s="2438"/>
      <c r="AB48" s="2438"/>
      <c r="AC48" s="2438"/>
      <c r="AD48" s="2438"/>
    </row>
    <row r="49" spans="1:30" s="101" customFormat="1" ht="15">
      <c r="A49" s="454" t="s">
        <v>1681</v>
      </c>
      <c r="B49" s="443"/>
      <c r="C49" s="455" t="s">
        <v>1776</v>
      </c>
      <c r="D49" s="31"/>
      <c r="E49" s="31"/>
      <c r="F49" s="31"/>
      <c r="G49" s="31"/>
      <c r="H49" s="31"/>
      <c r="I49" s="31"/>
      <c r="J49" s="31"/>
      <c r="K49" s="31"/>
      <c r="L49" s="456"/>
      <c r="M49" s="457"/>
      <c r="N49" s="2518"/>
      <c r="O49" s="2518"/>
      <c r="P49" s="2542"/>
      <c r="Q49" s="2506"/>
      <c r="R49" s="2438"/>
      <c r="S49" s="2438"/>
      <c r="T49" s="2438"/>
      <c r="U49" s="2438"/>
      <c r="V49" s="2438"/>
      <c r="W49" s="2438"/>
      <c r="X49" s="2438"/>
      <c r="Y49" s="2438"/>
      <c r="Z49" s="2438"/>
      <c r="AA49" s="2438"/>
      <c r="AB49" s="2438"/>
      <c r="AC49" s="2438"/>
      <c r="AD49" s="2438"/>
    </row>
    <row r="50" spans="1:30" s="101" customFormat="1" ht="15.75" thickBot="1">
      <c r="A50" s="454"/>
      <c r="B50" s="443"/>
      <c r="C50" s="562">
        <v>100</v>
      </c>
      <c r="D50" s="445"/>
      <c r="E50" s="445"/>
      <c r="F50" s="445"/>
      <c r="G50" s="445"/>
      <c r="H50" s="445"/>
      <c r="I50" s="445"/>
      <c r="J50" s="445"/>
      <c r="K50" s="445"/>
      <c r="L50" s="445"/>
      <c r="M50" s="447"/>
      <c r="N50" s="2518"/>
      <c r="O50" s="2518"/>
      <c r="P50" s="2506"/>
      <c r="Q50" s="2506"/>
      <c r="R50" s="2438"/>
      <c r="S50" s="2438"/>
      <c r="T50" s="2438"/>
      <c r="U50" s="2438"/>
      <c r="V50" s="2438"/>
      <c r="W50" s="2438"/>
      <c r="X50" s="2438"/>
      <c r="Y50" s="2438"/>
      <c r="Z50" s="2438"/>
      <c r="AA50" s="2438"/>
      <c r="AB50" s="2438"/>
      <c r="AC50" s="2438"/>
      <c r="AD50" s="2438"/>
    </row>
    <row r="51" spans="1:30">
      <c r="A51" s="378" t="s">
        <v>1719</v>
      </c>
      <c r="B51" s="459" t="s">
        <v>1685</v>
      </c>
      <c r="C51" s="460">
        <f>C9</f>
        <v>0</v>
      </c>
      <c r="D51" s="461"/>
      <c r="E51" s="461"/>
      <c r="F51" s="461"/>
      <c r="G51" s="461"/>
      <c r="H51" s="461"/>
      <c r="I51" s="461"/>
      <c r="J51" s="461"/>
      <c r="K51" s="462"/>
      <c r="L51" s="463"/>
      <c r="M51" s="464"/>
      <c r="N51" s="2519"/>
      <c r="O51" s="2519"/>
      <c r="P51" s="2518"/>
      <c r="Q51" s="2506"/>
      <c r="R51" s="2485"/>
      <c r="S51" s="2485"/>
      <c r="T51" s="2485"/>
      <c r="U51" s="2485"/>
      <c r="V51" s="2485"/>
      <c r="W51" s="2485"/>
      <c r="X51" s="2485"/>
      <c r="Y51" s="2485"/>
      <c r="Z51" s="2485"/>
      <c r="AA51" s="2485"/>
      <c r="AB51" s="2485"/>
      <c r="AC51" s="2485"/>
      <c r="AD51" s="2485"/>
    </row>
    <row r="52" spans="1:30" ht="15.75" thickBot="1">
      <c r="A52" s="366"/>
      <c r="B52" s="465"/>
      <c r="C52" s="466">
        <v>100</v>
      </c>
      <c r="D52" s="466"/>
      <c r="E52" s="466"/>
      <c r="F52" s="466"/>
      <c r="G52" s="466"/>
      <c r="H52" s="466"/>
      <c r="I52" s="466"/>
      <c r="J52" s="466"/>
      <c r="K52" s="466"/>
      <c r="L52" s="466"/>
      <c r="M52" s="467"/>
      <c r="N52" s="2520"/>
      <c r="O52" s="2520"/>
      <c r="P52" s="2518"/>
      <c r="Q52" s="2506"/>
      <c r="R52" s="2485"/>
      <c r="S52" s="2485"/>
      <c r="T52" s="2485"/>
      <c r="U52" s="2485"/>
      <c r="V52" s="2485"/>
      <c r="W52" s="2485"/>
      <c r="X52" s="2485"/>
      <c r="Y52" s="2485"/>
      <c r="Z52" s="2485"/>
      <c r="AA52" s="2485"/>
      <c r="AB52" s="2485"/>
      <c r="AC52" s="2485"/>
      <c r="AD52" s="2485"/>
    </row>
    <row r="53" spans="1:30" ht="27.75" thickTop="1">
      <c r="A53" s="366"/>
      <c r="B53" s="468" t="s">
        <v>1688</v>
      </c>
      <c r="C53" s="512"/>
      <c r="D53" s="512"/>
      <c r="E53" s="512"/>
      <c r="F53" s="512"/>
      <c r="G53" s="512"/>
      <c r="H53" s="512"/>
      <c r="I53" s="512"/>
      <c r="J53" s="512"/>
      <c r="K53" s="513"/>
      <c r="L53" s="514"/>
      <c r="M53" s="515"/>
      <c r="N53" s="2519"/>
      <c r="O53" s="2519"/>
      <c r="P53" s="2518"/>
      <c r="Q53" s="2506"/>
      <c r="R53" s="2485"/>
      <c r="S53" s="2485"/>
      <c r="T53" s="2485"/>
      <c r="U53" s="2485"/>
      <c r="V53" s="2485"/>
      <c r="W53" s="2485"/>
      <c r="X53" s="2485"/>
      <c r="Y53" s="2485"/>
      <c r="Z53" s="2485"/>
      <c r="AA53" s="2485"/>
      <c r="AB53" s="2485"/>
      <c r="AC53" s="2485"/>
      <c r="AD53" s="2485"/>
    </row>
    <row r="54" spans="1:30" ht="15.75" thickBot="1">
      <c r="A54" s="366"/>
      <c r="B54" s="473"/>
      <c r="C54" s="466"/>
      <c r="D54" s="466"/>
      <c r="E54" s="466"/>
      <c r="F54" s="466"/>
      <c r="G54" s="466"/>
      <c r="H54" s="466"/>
      <c r="I54" s="466"/>
      <c r="J54" s="466"/>
      <c r="K54" s="466"/>
      <c r="L54" s="466"/>
      <c r="M54" s="467"/>
      <c r="N54" s="2520"/>
      <c r="O54" s="2520"/>
      <c r="P54" s="2518"/>
      <c r="Q54" s="2506"/>
      <c r="R54" s="2485"/>
      <c r="S54" s="2485"/>
      <c r="T54" s="2485"/>
      <c r="U54" s="2485"/>
      <c r="V54" s="2485"/>
      <c r="W54" s="2485"/>
      <c r="X54" s="2485"/>
      <c r="Y54" s="2485"/>
      <c r="Z54" s="2485"/>
      <c r="AA54" s="2485"/>
      <c r="AB54" s="2485"/>
      <c r="AC54" s="2485"/>
      <c r="AD54" s="2485"/>
    </row>
    <row r="55" spans="1:30" ht="15.75" thickTop="1">
      <c r="A55" s="366"/>
      <c r="B55" s="580">
        <f>B11</f>
        <v>111</v>
      </c>
      <c r="C55" s="479"/>
      <c r="D55" s="479"/>
      <c r="E55" s="479"/>
      <c r="F55" s="479"/>
      <c r="G55" s="479"/>
      <c r="H55" s="479"/>
      <c r="I55" s="479"/>
      <c r="J55" s="479"/>
      <c r="K55" s="480"/>
      <c r="L55" s="481"/>
      <c r="M55" s="482"/>
      <c r="N55" s="2519"/>
      <c r="O55" s="2519"/>
      <c r="P55" s="2518"/>
      <c r="Q55" s="2506"/>
      <c r="R55" s="2485"/>
      <c r="S55" s="2485"/>
      <c r="T55" s="2485"/>
      <c r="U55" s="2485"/>
      <c r="V55" s="2485"/>
      <c r="W55" s="2485"/>
      <c r="X55" s="2485"/>
      <c r="Y55" s="2485"/>
      <c r="Z55" s="2485"/>
      <c r="AA55" s="2485"/>
      <c r="AB55" s="2485"/>
      <c r="AC55" s="2485"/>
      <c r="AD55" s="2485"/>
    </row>
    <row r="56" spans="1:30" ht="15.75" thickBot="1">
      <c r="A56" s="366"/>
      <c r="B56" s="465"/>
      <c r="C56" s="490"/>
      <c r="D56" s="466"/>
      <c r="E56" s="466"/>
      <c r="F56" s="466"/>
      <c r="G56" s="466"/>
      <c r="H56" s="466"/>
      <c r="I56" s="466"/>
      <c r="J56" s="466"/>
      <c r="K56" s="466"/>
      <c r="L56" s="466"/>
      <c r="M56" s="467"/>
      <c r="N56" s="2520"/>
      <c r="O56" s="2520"/>
      <c r="P56" s="2518"/>
      <c r="Q56" s="2506"/>
      <c r="R56" s="2485"/>
      <c r="S56" s="2485"/>
      <c r="T56" s="2485"/>
      <c r="U56" s="2485"/>
      <c r="V56" s="2485"/>
      <c r="W56" s="2485"/>
      <c r="X56" s="2485"/>
      <c r="Y56" s="2485"/>
      <c r="Z56" s="2485"/>
      <c r="AA56" s="2485"/>
      <c r="AB56" s="2485"/>
      <c r="AC56" s="2485"/>
      <c r="AD56" s="2485"/>
    </row>
    <row r="57" spans="1:30" s="407" customFormat="1" ht="15.75" thickTop="1">
      <c r="A57" s="483"/>
      <c r="B57" s="468">
        <f>B12</f>
        <v>111</v>
      </c>
      <c r="C57" s="479"/>
      <c r="D57" s="479"/>
      <c r="E57" s="479"/>
      <c r="F57" s="479"/>
      <c r="G57" s="484"/>
      <c r="H57" s="485"/>
      <c r="I57" s="485"/>
      <c r="J57" s="485"/>
      <c r="K57" s="485"/>
      <c r="L57" s="486"/>
      <c r="M57" s="487"/>
      <c r="N57" s="2521"/>
      <c r="O57" s="2521"/>
      <c r="P57" s="2521"/>
      <c r="Q57" s="2513"/>
      <c r="R57" s="2491"/>
      <c r="S57" s="2491"/>
      <c r="T57" s="2491"/>
      <c r="U57" s="2491"/>
      <c r="V57" s="2491"/>
      <c r="W57" s="2491"/>
      <c r="X57" s="2491"/>
      <c r="Y57" s="2491"/>
      <c r="Z57" s="2491"/>
      <c r="AA57" s="2491"/>
      <c r="AB57" s="2491"/>
      <c r="AC57" s="2491"/>
      <c r="AD57" s="2491"/>
    </row>
    <row r="58" spans="1:30" s="407" customFormat="1" ht="15.75" thickBot="1">
      <c r="A58" s="483"/>
      <c r="B58" s="473"/>
      <c r="C58" s="490"/>
      <c r="D58" s="466"/>
      <c r="E58" s="466"/>
      <c r="F58" s="466"/>
      <c r="G58" s="466"/>
      <c r="H58" s="466"/>
      <c r="I58" s="466"/>
      <c r="J58" s="466"/>
      <c r="K58" s="466"/>
      <c r="L58" s="466"/>
      <c r="M58" s="467"/>
      <c r="N58" s="2520"/>
      <c r="O58" s="2520"/>
      <c r="P58" s="2521"/>
      <c r="Q58" s="2513"/>
      <c r="R58" s="2491"/>
      <c r="S58" s="2491"/>
      <c r="T58" s="2491"/>
      <c r="U58" s="2491"/>
      <c r="V58" s="2491"/>
      <c r="W58" s="2491"/>
      <c r="X58" s="2491"/>
      <c r="Y58" s="2491"/>
      <c r="Z58" s="2491"/>
      <c r="AA58" s="2491"/>
      <c r="AB58" s="2491"/>
      <c r="AC58" s="2491"/>
      <c r="AD58" s="2491"/>
    </row>
    <row r="59" spans="1:30" s="407" customFormat="1" ht="15.75" thickTop="1">
      <c r="A59" s="483"/>
      <c r="B59" s="468">
        <f>B13</f>
        <v>111</v>
      </c>
      <c r="C59" s="479"/>
      <c r="D59" s="479"/>
      <c r="E59" s="479"/>
      <c r="F59" s="479"/>
      <c r="G59" s="484"/>
      <c r="H59" s="485"/>
      <c r="I59" s="485"/>
      <c r="J59" s="485"/>
      <c r="K59" s="485"/>
      <c r="L59" s="486"/>
      <c r="M59" s="487"/>
      <c r="N59" s="2521"/>
      <c r="O59" s="2521"/>
      <c r="P59" s="2491"/>
      <c r="Q59" s="2515"/>
      <c r="R59" s="2491"/>
      <c r="S59" s="2491"/>
      <c r="T59" s="2491"/>
      <c r="U59" s="2491"/>
      <c r="V59" s="2491"/>
      <c r="W59" s="2491"/>
      <c r="X59" s="2491"/>
      <c r="Y59" s="2491"/>
      <c r="Z59" s="2491"/>
      <c r="AA59" s="2491"/>
      <c r="AB59" s="2491"/>
      <c r="AC59" s="2491"/>
      <c r="AD59" s="2491"/>
    </row>
    <row r="60" spans="1:30" s="407" customFormat="1" ht="15.75" thickBot="1">
      <c r="A60" s="483"/>
      <c r="B60" s="473"/>
      <c r="C60" s="490"/>
      <c r="D60" s="490"/>
      <c r="E60" s="490"/>
      <c r="F60" s="490"/>
      <c r="G60" s="490"/>
      <c r="H60" s="492"/>
      <c r="I60" s="492"/>
      <c r="J60" s="492"/>
      <c r="K60" s="492"/>
      <c r="L60" s="492"/>
      <c r="M60" s="493"/>
      <c r="N60" s="2521"/>
      <c r="O60" s="2521"/>
      <c r="P60" s="2521"/>
      <c r="Q60" s="2513"/>
      <c r="R60" s="2491"/>
      <c r="S60" s="2491"/>
      <c r="T60" s="2491"/>
      <c r="U60" s="2491"/>
      <c r="V60" s="2491"/>
      <c r="W60" s="2491"/>
      <c r="X60" s="2491"/>
      <c r="Y60" s="2491"/>
      <c r="Z60" s="2491"/>
      <c r="AA60" s="2491"/>
      <c r="AB60" s="2491"/>
      <c r="AC60" s="2491"/>
      <c r="AD60" s="2491"/>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9"/>
      <c r="O61" s="2519"/>
      <c r="P61" s="2543"/>
      <c r="Q61" s="2506"/>
      <c r="R61" s="2485"/>
      <c r="S61" s="2485"/>
      <c r="T61" s="2485"/>
      <c r="U61" s="2485"/>
      <c r="V61" s="2485"/>
      <c r="W61" s="2485"/>
      <c r="X61" s="2485"/>
      <c r="Y61" s="2485"/>
      <c r="Z61" s="2485"/>
      <c r="AA61" s="2485"/>
      <c r="AB61" s="2485"/>
      <c r="AC61" s="2485"/>
      <c r="AD61" s="2485"/>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20"/>
      <c r="O62" s="2520"/>
      <c r="P62" s="2518"/>
      <c r="Q62" s="2506"/>
      <c r="R62" s="2485"/>
      <c r="S62" s="2485"/>
      <c r="T62" s="2485"/>
      <c r="U62" s="2485"/>
      <c r="V62" s="2485"/>
      <c r="W62" s="2485"/>
      <c r="X62" s="2485"/>
      <c r="Y62" s="2485"/>
      <c r="Z62" s="2485"/>
      <c r="AA62" s="2485"/>
      <c r="AB62" s="2485"/>
      <c r="AC62" s="2485"/>
      <c r="AD62" s="2485"/>
    </row>
    <row r="63" spans="1:30" ht="27.75" thickTop="1">
      <c r="A63" s="366"/>
      <c r="B63" s="468" t="s">
        <v>1863</v>
      </c>
      <c r="C63" s="508" t="s">
        <v>1721</v>
      </c>
      <c r="D63" s="508" t="s">
        <v>1722</v>
      </c>
      <c r="E63" s="508" t="s">
        <v>1723</v>
      </c>
      <c r="F63" s="508" t="s">
        <v>1724</v>
      </c>
      <c r="G63" s="508" t="s">
        <v>1725</v>
      </c>
      <c r="H63" s="469"/>
      <c r="I63" s="469"/>
      <c r="J63" s="469"/>
      <c r="K63" s="470"/>
      <c r="L63" s="471"/>
      <c r="M63" s="472"/>
      <c r="N63" s="2519"/>
      <c r="O63" s="2519"/>
      <c r="P63" s="2518"/>
      <c r="Q63" s="2506"/>
      <c r="R63" s="2485"/>
      <c r="S63" s="2485"/>
      <c r="T63" s="2485"/>
      <c r="U63" s="2485"/>
      <c r="V63" s="2485"/>
      <c r="W63" s="2485"/>
      <c r="X63" s="2485"/>
      <c r="Y63" s="2485"/>
      <c r="Z63" s="2485"/>
      <c r="AA63" s="2485"/>
      <c r="AB63" s="2485"/>
      <c r="AC63" s="2485"/>
      <c r="AD63" s="2485"/>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20"/>
      <c r="O64" s="2520"/>
      <c r="P64" s="2518"/>
      <c r="Q64" s="2506"/>
      <c r="R64" s="2485"/>
      <c r="S64" s="2485"/>
      <c r="T64" s="2485"/>
      <c r="U64" s="2485"/>
      <c r="V64" s="2485"/>
      <c r="W64" s="2485"/>
      <c r="X64" s="2485"/>
      <c r="Y64" s="2485"/>
      <c r="Z64" s="2485"/>
      <c r="AA64" s="2485"/>
      <c r="AB64" s="2485"/>
      <c r="AC64" s="2485"/>
      <c r="AD64" s="2485"/>
    </row>
    <row r="65" spans="1:30" ht="15.75" thickTop="1">
      <c r="A65" s="366"/>
      <c r="B65" s="476" t="s">
        <v>1813</v>
      </c>
      <c r="C65" s="580" t="s">
        <v>1799</v>
      </c>
      <c r="D65" s="580" t="s">
        <v>1800</v>
      </c>
      <c r="E65" s="580" t="s">
        <v>1801</v>
      </c>
      <c r="F65" s="580" t="s">
        <v>1802</v>
      </c>
      <c r="G65" s="580" t="s">
        <v>1803</v>
      </c>
      <c r="H65" s="469"/>
      <c r="I65" s="469"/>
      <c r="J65" s="469"/>
      <c r="K65" s="469"/>
      <c r="L65" s="469"/>
      <c r="M65" s="1062"/>
      <c r="N65" s="2520"/>
      <c r="O65" s="2520"/>
      <c r="P65" s="2518"/>
      <c r="Q65" s="2506"/>
      <c r="R65" s="2485"/>
      <c r="S65" s="2485"/>
      <c r="T65" s="2485"/>
      <c r="U65" s="2485"/>
      <c r="V65" s="2485"/>
      <c r="W65" s="2485"/>
      <c r="X65" s="2485"/>
      <c r="Y65" s="2485"/>
      <c r="Z65" s="2485"/>
      <c r="AA65" s="2485"/>
      <c r="AB65" s="2485"/>
      <c r="AC65" s="2485"/>
      <c r="AD65" s="2485"/>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20"/>
      <c r="O66" s="2520"/>
      <c r="P66" s="2518"/>
      <c r="Q66" s="2506"/>
      <c r="R66" s="2485"/>
      <c r="S66" s="2485"/>
      <c r="T66" s="2485"/>
      <c r="U66" s="2485"/>
      <c r="V66" s="2485"/>
      <c r="W66" s="2485"/>
      <c r="X66" s="2485"/>
      <c r="Y66" s="2485"/>
      <c r="Z66" s="2485"/>
      <c r="AA66" s="2485"/>
      <c r="AB66" s="2485"/>
      <c r="AC66" s="2485"/>
      <c r="AD66" s="2485"/>
    </row>
    <row r="67" spans="1:30" ht="15.75" thickTop="1">
      <c r="A67" s="366"/>
      <c r="B67" s="468" t="s">
        <v>1733</v>
      </c>
      <c r="C67" s="508" t="s">
        <v>1721</v>
      </c>
      <c r="D67" s="508" t="s">
        <v>1722</v>
      </c>
      <c r="E67" s="508" t="s">
        <v>1723</v>
      </c>
      <c r="F67" s="508" t="s">
        <v>1724</v>
      </c>
      <c r="G67" s="508" t="s">
        <v>1725</v>
      </c>
      <c r="H67" s="469"/>
      <c r="I67" s="469"/>
      <c r="J67" s="469"/>
      <c r="K67" s="470"/>
      <c r="L67" s="471"/>
      <c r="M67" s="472"/>
      <c r="N67" s="2519"/>
      <c r="O67" s="2519"/>
      <c r="P67" s="2518"/>
      <c r="Q67" s="2506"/>
      <c r="R67" s="2485"/>
      <c r="S67" s="2485"/>
      <c r="T67" s="2485"/>
      <c r="U67" s="2485"/>
      <c r="V67" s="2485"/>
      <c r="W67" s="2485"/>
      <c r="X67" s="2485"/>
      <c r="Y67" s="2485"/>
      <c r="Z67" s="2485"/>
      <c r="AA67" s="2485"/>
      <c r="AB67" s="2485"/>
      <c r="AC67" s="2485"/>
      <c r="AD67" s="2485"/>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20"/>
      <c r="O68" s="2520"/>
      <c r="P68" s="2518"/>
      <c r="Q68" s="2506"/>
      <c r="R68" s="2485"/>
      <c r="S68" s="2485"/>
      <c r="T68" s="2485"/>
      <c r="U68" s="2485"/>
      <c r="V68" s="2485"/>
      <c r="W68" s="2485"/>
      <c r="X68" s="2485"/>
      <c r="Y68" s="2485"/>
      <c r="Z68" s="2485"/>
      <c r="AA68" s="2485"/>
      <c r="AB68" s="2485"/>
      <c r="AC68" s="2485"/>
      <c r="AD68" s="2485"/>
    </row>
    <row r="69" spans="1:30" ht="15.75" thickTop="1">
      <c r="A69" s="366"/>
      <c r="B69" s="468" t="s">
        <v>1852</v>
      </c>
      <c r="C69" s="484"/>
      <c r="D69" s="484"/>
      <c r="E69" s="484"/>
      <c r="F69" s="484"/>
      <c r="G69" s="484"/>
      <c r="H69" s="512"/>
      <c r="I69" s="512"/>
      <c r="J69" s="512"/>
      <c r="K69" s="513"/>
      <c r="L69" s="514"/>
      <c r="M69" s="515"/>
      <c r="N69" s="2519"/>
      <c r="O69" s="2519"/>
      <c r="P69" s="2518"/>
      <c r="Q69" s="2506"/>
      <c r="R69" s="2485"/>
      <c r="S69" s="2485"/>
      <c r="T69" s="2485"/>
      <c r="U69" s="2485"/>
      <c r="V69" s="2485"/>
      <c r="W69" s="2485"/>
      <c r="X69" s="2485"/>
      <c r="Y69" s="2485"/>
      <c r="Z69" s="2485"/>
      <c r="AA69" s="2485"/>
      <c r="AB69" s="2485"/>
      <c r="AC69" s="2485"/>
      <c r="AD69" s="2485"/>
    </row>
    <row r="70" spans="1:30" ht="15.75" thickBot="1">
      <c r="A70" s="366"/>
      <c r="B70" s="473"/>
      <c r="C70" s="474">
        <v>100</v>
      </c>
      <c r="D70" s="474">
        <f>C70-$K22</f>
        <v>100</v>
      </c>
      <c r="E70" s="474"/>
      <c r="F70" s="474"/>
      <c r="G70" s="474"/>
      <c r="H70" s="474"/>
      <c r="I70" s="474"/>
      <c r="J70" s="474"/>
      <c r="K70" s="474"/>
      <c r="L70" s="474"/>
      <c r="M70" s="475"/>
      <c r="N70" s="2520"/>
      <c r="O70" s="2520"/>
      <c r="P70" s="2518"/>
      <c r="Q70" s="2506"/>
      <c r="R70" s="2485"/>
      <c r="S70" s="2485"/>
      <c r="T70" s="2485"/>
      <c r="U70" s="2485"/>
      <c r="V70" s="2485"/>
      <c r="W70" s="2485"/>
      <c r="X70" s="2485"/>
      <c r="Y70" s="2485"/>
      <c r="Z70" s="2485"/>
      <c r="AA70" s="2485"/>
      <c r="AB70" s="2485"/>
      <c r="AC70" s="2485"/>
      <c r="AD70" s="2485"/>
    </row>
    <row r="71" spans="1:30" s="101" customFormat="1" ht="15.75" thickTop="1">
      <c r="A71" s="369"/>
      <c r="B71" s="468">
        <f>B23</f>
        <v>111</v>
      </c>
      <c r="C71" s="479"/>
      <c r="D71" s="479"/>
      <c r="E71" s="479"/>
      <c r="F71" s="479"/>
      <c r="G71" s="484"/>
      <c r="H71" s="484"/>
      <c r="I71" s="484"/>
      <c r="J71" s="484"/>
      <c r="K71" s="484"/>
      <c r="L71" s="509"/>
      <c r="M71" s="510"/>
      <c r="N71" s="2518"/>
      <c r="O71" s="2518"/>
      <c r="P71" s="2518"/>
      <c r="Q71" s="2506"/>
      <c r="R71" s="2438"/>
      <c r="S71" s="2438"/>
      <c r="T71" s="2438"/>
      <c r="U71" s="2438"/>
      <c r="V71" s="2438"/>
      <c r="W71" s="2438"/>
      <c r="X71" s="2438"/>
      <c r="Y71" s="2438"/>
      <c r="Z71" s="2438"/>
      <c r="AA71" s="2438"/>
      <c r="AB71" s="2438"/>
      <c r="AC71" s="2438"/>
      <c r="AD71" s="2438"/>
    </row>
    <row r="72" spans="1:30" s="101" customFormat="1" ht="15.75" thickBot="1">
      <c r="A72" s="369"/>
      <c r="B72" s="473"/>
      <c r="C72" s="490"/>
      <c r="D72" s="466"/>
      <c r="E72" s="466"/>
      <c r="F72" s="466"/>
      <c r="G72" s="466"/>
      <c r="H72" s="466"/>
      <c r="I72" s="466"/>
      <c r="J72" s="466"/>
      <c r="K72" s="466"/>
      <c r="L72" s="466"/>
      <c r="M72" s="467"/>
      <c r="N72" s="2520"/>
      <c r="O72" s="2520"/>
      <c r="P72" s="2518"/>
      <c r="Q72" s="2506"/>
      <c r="R72" s="2438"/>
      <c r="S72" s="2438"/>
      <c r="T72" s="2438"/>
      <c r="U72" s="2438"/>
      <c r="V72" s="2438"/>
      <c r="W72" s="2438"/>
      <c r="X72" s="2438"/>
      <c r="Y72" s="2438"/>
      <c r="Z72" s="2438"/>
      <c r="AA72" s="2438"/>
      <c r="AB72" s="2438"/>
      <c r="AC72" s="2438"/>
      <c r="AD72" s="2438"/>
    </row>
    <row r="73" spans="1:30" s="101" customFormat="1" ht="15.75" thickTop="1">
      <c r="A73" s="369"/>
      <c r="B73" s="468">
        <f>B24</f>
        <v>111</v>
      </c>
      <c r="C73" s="479"/>
      <c r="D73" s="479"/>
      <c r="E73" s="479"/>
      <c r="F73" s="479"/>
      <c r="G73" s="484"/>
      <c r="H73" s="484"/>
      <c r="I73" s="484"/>
      <c r="J73" s="484"/>
      <c r="K73" s="484"/>
      <c r="L73" s="484"/>
      <c r="M73" s="510"/>
      <c r="N73" s="2518"/>
      <c r="O73" s="2518"/>
      <c r="P73" s="2518"/>
      <c r="Q73" s="2506"/>
      <c r="R73" s="2438"/>
      <c r="S73" s="2438"/>
      <c r="T73" s="2438"/>
      <c r="U73" s="2438"/>
      <c r="V73" s="2438"/>
      <c r="W73" s="2438"/>
      <c r="X73" s="2438"/>
      <c r="Y73" s="2438"/>
      <c r="Z73" s="2438"/>
      <c r="AA73" s="2438"/>
      <c r="AB73" s="2438"/>
      <c r="AC73" s="2438"/>
      <c r="AD73" s="2438"/>
    </row>
    <row r="74" spans="1:30" s="101" customFormat="1" ht="15.75" thickBot="1">
      <c r="A74" s="369"/>
      <c r="B74" s="473"/>
      <c r="C74" s="490"/>
      <c r="D74" s="466"/>
      <c r="E74" s="466"/>
      <c r="F74" s="466"/>
      <c r="G74" s="466"/>
      <c r="H74" s="466"/>
      <c r="I74" s="466"/>
      <c r="J74" s="466"/>
      <c r="K74" s="466"/>
      <c r="L74" s="466"/>
      <c r="M74" s="467"/>
      <c r="N74" s="2520"/>
      <c r="O74" s="2520"/>
      <c r="P74" s="2518"/>
      <c r="Q74" s="2506"/>
      <c r="R74" s="2438"/>
      <c r="S74" s="2438"/>
      <c r="T74" s="2438"/>
      <c r="U74" s="2438"/>
      <c r="V74" s="2438"/>
      <c r="W74" s="2438"/>
      <c r="X74" s="2438"/>
      <c r="Y74" s="2438"/>
      <c r="Z74" s="2438"/>
      <c r="AA74" s="2438"/>
      <c r="AB74" s="2438"/>
      <c r="AC74" s="2438"/>
      <c r="AD74" s="2438"/>
    </row>
    <row r="75" spans="1:30" s="407" customFormat="1" ht="15.75" thickTop="1">
      <c r="A75" s="483"/>
      <c r="B75" s="468">
        <f>B25</f>
        <v>111</v>
      </c>
      <c r="C75" s="479"/>
      <c r="D75" s="479"/>
      <c r="E75" s="479"/>
      <c r="F75" s="479"/>
      <c r="G75" s="484"/>
      <c r="H75" s="485"/>
      <c r="I75" s="485"/>
      <c r="J75" s="485"/>
      <c r="K75" s="485"/>
      <c r="L75" s="486"/>
      <c r="M75" s="487"/>
      <c r="N75" s="2521"/>
      <c r="O75" s="2521"/>
      <c r="P75" s="2521"/>
      <c r="Q75" s="2513"/>
      <c r="R75" s="2491"/>
      <c r="S75" s="2491"/>
      <c r="T75" s="2491"/>
      <c r="U75" s="2491"/>
      <c r="V75" s="2491"/>
      <c r="W75" s="2491"/>
      <c r="X75" s="2491"/>
      <c r="Y75" s="2491"/>
      <c r="Z75" s="2491"/>
      <c r="AA75" s="2491"/>
      <c r="AB75" s="2491"/>
      <c r="AC75" s="2491"/>
      <c r="AD75" s="2491"/>
    </row>
    <row r="76" spans="1:30" s="407" customFormat="1" ht="15.75" thickBot="1">
      <c r="A76" s="483"/>
      <c r="B76" s="473"/>
      <c r="C76" s="490"/>
      <c r="D76" s="490"/>
      <c r="E76" s="490"/>
      <c r="F76" s="490"/>
      <c r="G76" s="466"/>
      <c r="H76" s="466"/>
      <c r="I76" s="466"/>
      <c r="J76" s="466"/>
      <c r="K76" s="466"/>
      <c r="L76" s="466"/>
      <c r="M76" s="467"/>
      <c r="N76" s="2521"/>
      <c r="O76" s="2521"/>
      <c r="P76" s="2521"/>
      <c r="Q76" s="2513"/>
      <c r="R76" s="2491"/>
      <c r="S76" s="2491"/>
      <c r="T76" s="2491"/>
      <c r="U76" s="2491"/>
      <c r="V76" s="2491"/>
      <c r="W76" s="2491"/>
      <c r="X76" s="2491"/>
      <c r="Y76" s="2491"/>
      <c r="Z76" s="2491"/>
      <c r="AA76" s="2491"/>
      <c r="AB76" s="2491"/>
      <c r="AC76" s="2491"/>
      <c r="AD76" s="2491"/>
    </row>
    <row r="77" spans="1:30" ht="15" thickTop="1">
      <c r="A77" s="378" t="s">
        <v>1694</v>
      </c>
      <c r="B77" s="459" t="s">
        <v>1740</v>
      </c>
      <c r="C77" s="484"/>
      <c r="D77" s="484"/>
      <c r="E77" s="461"/>
      <c r="F77" s="461"/>
      <c r="G77" s="461"/>
      <c r="H77" s="461"/>
      <c r="I77" s="461"/>
      <c r="J77" s="461"/>
      <c r="K77" s="462"/>
      <c r="L77" s="463"/>
      <c r="M77" s="464"/>
      <c r="N77" s="2519"/>
      <c r="O77" s="2519"/>
      <c r="P77" s="2518"/>
      <c r="Q77" s="2506"/>
      <c r="R77" s="2485"/>
      <c r="S77" s="2485"/>
      <c r="T77" s="2485"/>
      <c r="U77" s="2485"/>
      <c r="V77" s="2485"/>
      <c r="W77" s="2485"/>
      <c r="X77" s="2485"/>
      <c r="Y77" s="2485"/>
      <c r="Z77" s="2485"/>
      <c r="AA77" s="2485"/>
      <c r="AB77" s="2485"/>
      <c r="AC77" s="2485"/>
      <c r="AD77" s="2485"/>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8"/>
      <c r="O79" s="2518"/>
      <c r="P79" s="2518"/>
      <c r="Q79" s="2506"/>
      <c r="R79" s="2485"/>
      <c r="S79" s="2485"/>
      <c r="T79" s="2485"/>
      <c r="U79" s="2485"/>
      <c r="V79" s="2485"/>
      <c r="W79" s="2485"/>
      <c r="X79" s="2485"/>
      <c r="Y79" s="2485"/>
      <c r="Z79" s="2485"/>
      <c r="AA79" s="2485"/>
      <c r="AB79" s="2485"/>
      <c r="AC79" s="2485"/>
      <c r="AD79" s="2485"/>
    </row>
    <row r="80" spans="1:30" ht="15">
      <c r="A80" s="366"/>
      <c r="B80" s="476"/>
      <c r="C80" s="529">
        <v>0.5</v>
      </c>
      <c r="D80" s="529">
        <v>0.6</v>
      </c>
      <c r="E80" s="529">
        <v>0.7</v>
      </c>
      <c r="F80" s="529">
        <v>0.8</v>
      </c>
      <c r="G80" s="529">
        <v>0.9</v>
      </c>
      <c r="H80" s="529">
        <v>1.0001</v>
      </c>
      <c r="I80" s="580"/>
      <c r="J80" s="580"/>
      <c r="K80" s="587"/>
      <c r="L80" s="588"/>
      <c r="M80" s="589"/>
      <c r="N80" s="2518"/>
      <c r="O80" s="2518"/>
      <c r="P80" s="2518"/>
      <c r="Q80" s="2506"/>
      <c r="R80" s="2485"/>
      <c r="S80" s="2485"/>
      <c r="T80" s="2485"/>
      <c r="U80" s="2485"/>
      <c r="V80" s="2485"/>
      <c r="W80" s="2485"/>
      <c r="X80" s="2485"/>
      <c r="Y80" s="2485"/>
      <c r="Z80" s="2485"/>
      <c r="AA80" s="2485"/>
      <c r="AB80" s="2485"/>
      <c r="AC80" s="2485"/>
      <c r="AD80" s="2485"/>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8"/>
      <c r="B82" s="476" t="s">
        <v>1856</v>
      </c>
      <c r="C82" s="484"/>
      <c r="D82" s="484"/>
      <c r="E82" s="512"/>
      <c r="F82" s="512"/>
      <c r="G82" s="512"/>
      <c r="H82" s="512"/>
      <c r="I82" s="512"/>
      <c r="J82" s="512"/>
      <c r="K82" s="513"/>
      <c r="L82" s="514"/>
      <c r="M82" s="515"/>
      <c r="N82" s="2519"/>
      <c r="O82" s="2519"/>
      <c r="P82" s="2518"/>
      <c r="Q82" s="2506"/>
      <c r="R82" s="2485"/>
      <c r="S82" s="2485"/>
      <c r="T82" s="2485"/>
      <c r="U82" s="2485"/>
      <c r="V82" s="2485"/>
      <c r="W82" s="2485"/>
      <c r="X82" s="2485"/>
      <c r="Y82" s="2485"/>
      <c r="Z82" s="2485"/>
      <c r="AA82" s="2485"/>
      <c r="AB82" s="2485"/>
      <c r="AC82" s="2485"/>
      <c r="AD82" s="2485"/>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8"/>
      <c r="B84" s="468" t="s">
        <v>1864</v>
      </c>
      <c r="C84" s="484"/>
      <c r="D84" s="484"/>
      <c r="E84" s="484"/>
      <c r="F84" s="484"/>
      <c r="G84" s="484"/>
      <c r="H84" s="484"/>
      <c r="I84" s="512"/>
      <c r="J84" s="512"/>
      <c r="K84" s="513"/>
      <c r="L84" s="514"/>
      <c r="M84" s="515"/>
      <c r="N84" s="2519"/>
      <c r="O84" s="2519"/>
      <c r="P84" s="2518"/>
      <c r="Q84" s="2506"/>
      <c r="R84" s="2485"/>
      <c r="S84" s="2485"/>
      <c r="T84" s="2485"/>
      <c r="U84" s="2485"/>
      <c r="V84" s="2485"/>
      <c r="W84" s="2485"/>
      <c r="X84" s="2485"/>
      <c r="Y84" s="2485"/>
      <c r="Z84" s="2485"/>
      <c r="AA84" s="2485"/>
      <c r="AB84" s="2485"/>
      <c r="AC84" s="2485"/>
      <c r="AD84" s="2485"/>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8"/>
      <c r="B87" s="476"/>
      <c r="C87" s="6"/>
      <c r="D87" s="6"/>
      <c r="E87" s="6"/>
      <c r="F87" s="6"/>
      <c r="G87" s="6"/>
      <c r="H87" s="6"/>
      <c r="I87" s="6"/>
      <c r="J87" s="523"/>
      <c r="K87" s="523"/>
      <c r="L87" s="524"/>
      <c r="M87" s="525"/>
      <c r="N87" s="2519"/>
      <c r="O87" s="2519"/>
      <c r="P87" s="2518"/>
      <c r="Q87" s="2506"/>
      <c r="R87" s="2485"/>
      <c r="S87" s="2485"/>
      <c r="T87" s="2485"/>
      <c r="U87" s="2485"/>
      <c r="V87" s="2485"/>
      <c r="W87" s="2485"/>
      <c r="X87" s="2485"/>
      <c r="Y87" s="2485"/>
      <c r="Z87" s="2485"/>
      <c r="AA87" s="2485"/>
      <c r="AB87" s="2485"/>
      <c r="AC87" s="2485"/>
      <c r="AD87" s="2485"/>
    </row>
    <row r="88" spans="1:30" ht="15.75" thickBot="1">
      <c r="A88" s="366"/>
      <c r="B88" s="473"/>
      <c r="C88" s="490"/>
      <c r="D88" s="466"/>
      <c r="E88" s="466"/>
      <c r="F88" s="466"/>
      <c r="G88" s="466"/>
      <c r="H88" s="466"/>
      <c r="I88" s="466"/>
      <c r="J88" s="466"/>
      <c r="K88" s="466"/>
      <c r="L88" s="466"/>
      <c r="M88" s="466"/>
      <c r="N88" s="2520"/>
      <c r="O88" s="2520"/>
      <c r="P88" s="2518"/>
      <c r="Q88" s="2506"/>
      <c r="R88" s="2485"/>
      <c r="S88" s="2485"/>
      <c r="T88" s="2485"/>
      <c r="U88" s="2485"/>
      <c r="V88" s="2485"/>
      <c r="W88" s="2485"/>
      <c r="X88" s="2485"/>
      <c r="Y88" s="2485"/>
      <c r="Z88" s="2485"/>
      <c r="AA88" s="2485"/>
      <c r="AB88" s="2485"/>
      <c r="AC88" s="2485"/>
      <c r="AD88" s="2485"/>
    </row>
    <row r="89" spans="1:30" s="407" customFormat="1" ht="15" thickTop="1">
      <c r="A89" s="405"/>
      <c r="B89" s="468" t="s">
        <v>1866</v>
      </c>
      <c r="C89" s="484"/>
      <c r="D89" s="484"/>
      <c r="E89" s="484"/>
      <c r="F89" s="484"/>
      <c r="G89" s="484"/>
      <c r="H89" s="484"/>
      <c r="I89" s="484"/>
      <c r="J89" s="484"/>
      <c r="K89" s="484"/>
      <c r="L89" s="484"/>
      <c r="M89" s="510"/>
      <c r="N89" s="2521"/>
      <c r="O89" s="2521"/>
      <c r="P89" s="2521"/>
      <c r="Q89" s="2513"/>
      <c r="R89" s="2491"/>
      <c r="S89" s="2491"/>
      <c r="T89" s="2491"/>
      <c r="U89" s="2491"/>
      <c r="V89" s="2491"/>
      <c r="W89" s="2491"/>
      <c r="X89" s="2491"/>
      <c r="Y89" s="2491"/>
      <c r="Z89" s="2491"/>
      <c r="AA89" s="2491"/>
      <c r="AB89" s="2491"/>
      <c r="AC89" s="2491"/>
      <c r="AD89" s="2491"/>
    </row>
    <row r="90" spans="1:30" s="407" customFormat="1" ht="15.75" thickBot="1">
      <c r="A90" s="483"/>
      <c r="B90" s="473"/>
      <c r="C90" s="490"/>
      <c r="D90" s="466"/>
      <c r="E90" s="466"/>
      <c r="F90" s="466"/>
      <c r="G90" s="466"/>
      <c r="H90" s="466"/>
      <c r="I90" s="466"/>
      <c r="J90" s="466"/>
      <c r="K90" s="466"/>
      <c r="L90" s="466"/>
      <c r="M90" s="467"/>
      <c r="N90" s="2521"/>
      <c r="O90" s="2521"/>
      <c r="P90" s="2521"/>
      <c r="Q90" s="2513"/>
      <c r="R90" s="2491"/>
      <c r="S90" s="2491"/>
      <c r="T90" s="2491"/>
      <c r="U90" s="2491"/>
      <c r="V90" s="2491"/>
      <c r="W90" s="2491"/>
      <c r="X90" s="2491"/>
      <c r="Y90" s="2491"/>
      <c r="Z90" s="2491"/>
      <c r="AA90" s="2491"/>
      <c r="AB90" s="2491"/>
      <c r="AC90" s="2491"/>
      <c r="AD90" s="2491"/>
    </row>
    <row r="91" spans="1:30" ht="15" thickTop="1">
      <c r="A91" s="408"/>
      <c r="B91" s="468">
        <f>B32</f>
        <v>111</v>
      </c>
      <c r="C91" s="479"/>
      <c r="D91" s="479"/>
      <c r="E91" s="479"/>
      <c r="F91" s="479"/>
      <c r="G91" s="484"/>
      <c r="H91" s="485"/>
      <c r="I91" s="485"/>
      <c r="J91" s="485"/>
      <c r="K91" s="485"/>
      <c r="L91" s="486"/>
      <c r="M91" s="487"/>
      <c r="N91" s="2519"/>
      <c r="O91" s="2519"/>
      <c r="P91" s="2518"/>
      <c r="Q91" s="2506"/>
      <c r="R91" s="2485"/>
      <c r="S91" s="2485"/>
      <c r="T91" s="2485"/>
      <c r="U91" s="2485"/>
      <c r="V91" s="2485"/>
      <c r="W91" s="2485"/>
      <c r="X91" s="2485"/>
      <c r="Y91" s="2485"/>
      <c r="Z91" s="2485"/>
      <c r="AA91" s="2485"/>
      <c r="AB91" s="2485"/>
      <c r="AC91" s="2485"/>
      <c r="AD91" s="2485"/>
    </row>
    <row r="92" spans="1:30" ht="15.75" thickBot="1">
      <c r="A92" s="366"/>
      <c r="B92" s="473"/>
      <c r="C92" s="490"/>
      <c r="D92" s="466"/>
      <c r="E92" s="466"/>
      <c r="F92" s="466"/>
      <c r="G92" s="490"/>
      <c r="H92" s="492"/>
      <c r="I92" s="492"/>
      <c r="J92" s="492"/>
      <c r="K92" s="492"/>
      <c r="L92" s="492"/>
      <c r="M92" s="493"/>
      <c r="N92" s="2520"/>
      <c r="O92" s="2520"/>
      <c r="P92" s="2518"/>
      <c r="Q92" s="2506"/>
      <c r="R92" s="2485"/>
      <c r="S92" s="2485"/>
      <c r="T92" s="2485"/>
      <c r="U92" s="2485"/>
      <c r="V92" s="2485"/>
      <c r="W92" s="2485"/>
      <c r="X92" s="2485"/>
      <c r="Y92" s="2485"/>
      <c r="Z92" s="2485"/>
      <c r="AA92" s="2485"/>
      <c r="AB92" s="2485"/>
      <c r="AC92" s="2485"/>
      <c r="AD92" s="2485"/>
    </row>
    <row r="93" spans="1:30" ht="15" thickTop="1">
      <c r="A93" s="408"/>
      <c r="B93" s="468">
        <f>B33</f>
        <v>111</v>
      </c>
      <c r="C93" s="479"/>
      <c r="D93" s="479"/>
      <c r="E93" s="479"/>
      <c r="F93" s="479"/>
      <c r="G93" s="484"/>
      <c r="H93" s="485"/>
      <c r="I93" s="485"/>
      <c r="J93" s="485"/>
      <c r="K93" s="485"/>
      <c r="L93" s="486"/>
      <c r="M93" s="487"/>
      <c r="N93" s="2519"/>
      <c r="O93" s="2519"/>
      <c r="P93" s="2518"/>
      <c r="Q93" s="2506"/>
      <c r="R93" s="2485"/>
      <c r="S93" s="2485"/>
      <c r="T93" s="2485"/>
      <c r="U93" s="2485"/>
      <c r="V93" s="2485"/>
      <c r="W93" s="2485"/>
      <c r="X93" s="2485"/>
      <c r="Y93" s="2485"/>
      <c r="Z93" s="2485"/>
      <c r="AA93" s="2485"/>
      <c r="AB93" s="2485"/>
      <c r="AC93" s="2485"/>
      <c r="AD93" s="2485"/>
    </row>
    <row r="94" spans="1:30" ht="15.75" thickBot="1">
      <c r="A94" s="366"/>
      <c r="B94" s="473"/>
      <c r="C94" s="490"/>
      <c r="D94" s="466"/>
      <c r="E94" s="466"/>
      <c r="F94" s="466"/>
      <c r="G94" s="490"/>
      <c r="H94" s="492"/>
      <c r="I94" s="492"/>
      <c r="J94" s="492"/>
      <c r="K94" s="492"/>
      <c r="L94" s="492"/>
      <c r="M94" s="493"/>
      <c r="N94" s="2520"/>
      <c r="O94" s="2520"/>
      <c r="P94" s="2518"/>
      <c r="Q94" s="2506"/>
      <c r="R94" s="2485"/>
      <c r="S94" s="2485"/>
      <c r="T94" s="2485"/>
      <c r="U94" s="2485"/>
      <c r="V94" s="2485"/>
      <c r="W94" s="2485"/>
      <c r="X94" s="2485"/>
      <c r="Y94" s="2485"/>
      <c r="Z94" s="2485"/>
      <c r="AA94" s="2485"/>
      <c r="AB94" s="2485"/>
      <c r="AC94" s="2485"/>
      <c r="AD94" s="2485"/>
    </row>
    <row r="95" spans="1:30" ht="15" thickTop="1">
      <c r="A95" s="408"/>
      <c r="B95" s="559">
        <f>B34</f>
        <v>111</v>
      </c>
      <c r="C95" s="479"/>
      <c r="D95" s="479"/>
      <c r="E95" s="479"/>
      <c r="F95" s="479"/>
      <c r="G95" s="484"/>
      <c r="H95" s="485"/>
      <c r="I95" s="485"/>
      <c r="J95" s="485"/>
      <c r="K95" s="485"/>
      <c r="L95" s="486"/>
      <c r="M95" s="487"/>
      <c r="N95" s="2520"/>
      <c r="O95" s="2520"/>
      <c r="P95" s="2520"/>
      <c r="Q95" s="2534"/>
      <c r="R95" s="2485"/>
      <c r="S95" s="2485"/>
      <c r="T95" s="2485"/>
      <c r="U95" s="2485"/>
      <c r="V95" s="2485"/>
      <c r="W95" s="2485"/>
      <c r="X95" s="2485"/>
      <c r="Y95" s="2485"/>
      <c r="Z95" s="2485"/>
      <c r="AA95" s="2485"/>
      <c r="AB95" s="2485"/>
      <c r="AC95" s="2485"/>
      <c r="AD95" s="2485"/>
    </row>
    <row r="96" spans="1:30" ht="15.75" thickBot="1">
      <c r="A96" s="366"/>
      <c r="B96" s="473"/>
      <c r="C96" s="490"/>
      <c r="D96" s="490"/>
      <c r="E96" s="490"/>
      <c r="F96" s="490"/>
      <c r="G96" s="490"/>
      <c r="H96" s="492"/>
      <c r="I96" s="492"/>
      <c r="J96" s="492"/>
      <c r="K96" s="492"/>
      <c r="L96" s="492"/>
      <c r="M96" s="493"/>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1"/>
      <c r="B98" s="881"/>
      <c r="C98" s="881"/>
      <c r="D98" s="881"/>
      <c r="E98" s="881"/>
      <c r="F98" s="881"/>
      <c r="G98" s="881"/>
      <c r="H98" s="881"/>
      <c r="I98" s="881"/>
      <c r="J98" s="881"/>
      <c r="K98" s="882"/>
      <c r="L98" s="883"/>
      <c r="M98" s="881"/>
      <c r="N98" s="2485"/>
      <c r="O98" s="2485"/>
      <c r="P98" s="2485"/>
      <c r="Q98" s="2485"/>
      <c r="R98" s="2485"/>
      <c r="S98" s="2485"/>
      <c r="T98" s="2485"/>
      <c r="U98" s="2485"/>
      <c r="V98" s="2485"/>
      <c r="W98" s="2485"/>
      <c r="X98" s="2485"/>
      <c r="Y98" s="2485"/>
      <c r="Z98" s="2485"/>
      <c r="AA98" s="2485"/>
      <c r="AB98" s="2485"/>
      <c r="AC98" s="2485"/>
      <c r="AD98" s="2485"/>
    </row>
    <row r="99" spans="1:30">
      <c r="A99" s="881"/>
      <c r="B99" s="881"/>
      <c r="C99" s="881"/>
      <c r="D99" s="881"/>
      <c r="E99" s="881"/>
      <c r="F99" s="881"/>
      <c r="G99" s="881"/>
      <c r="H99" s="881"/>
      <c r="I99" s="881"/>
      <c r="J99" s="881"/>
      <c r="K99" s="882"/>
      <c r="L99" s="883"/>
      <c r="M99" s="881"/>
      <c r="N99" s="2485"/>
      <c r="O99" s="2485"/>
      <c r="P99" s="2485"/>
      <c r="Q99" s="2485"/>
      <c r="R99" s="2485"/>
      <c r="S99" s="2485"/>
      <c r="T99" s="2485"/>
      <c r="U99" s="2485"/>
      <c r="V99" s="2485"/>
      <c r="W99" s="2485"/>
      <c r="X99" s="2485"/>
      <c r="Y99" s="2485"/>
      <c r="Z99" s="2485"/>
      <c r="AA99" s="2485"/>
      <c r="AB99" s="2485"/>
      <c r="AC99" s="2485"/>
      <c r="AD99" s="2485"/>
    </row>
    <row r="100" spans="1:30">
      <c r="A100" s="881"/>
      <c r="B100" s="881"/>
      <c r="C100" s="881"/>
      <c r="D100" s="881"/>
      <c r="E100" s="881"/>
      <c r="F100" s="881"/>
      <c r="G100" s="881"/>
      <c r="H100" s="881"/>
      <c r="I100" s="881"/>
      <c r="J100" s="881"/>
      <c r="K100" s="882"/>
      <c r="L100" s="883"/>
      <c r="M100" s="881"/>
      <c r="N100" s="2485"/>
      <c r="O100" s="2485"/>
      <c r="P100" s="2485"/>
      <c r="Q100" s="2485"/>
      <c r="R100" s="2485"/>
      <c r="S100" s="2485"/>
      <c r="T100" s="2485"/>
      <c r="U100" s="2485"/>
      <c r="V100" s="2485"/>
      <c r="W100" s="2485"/>
      <c r="X100" s="2485"/>
      <c r="Y100" s="2485"/>
      <c r="Z100" s="2485"/>
      <c r="AA100" s="2485"/>
      <c r="AB100" s="2485"/>
      <c r="AC100" s="2485"/>
      <c r="AD100" s="2485"/>
    </row>
    <row r="101" spans="1:30">
      <c r="A101" s="881"/>
      <c r="B101" s="881"/>
      <c r="C101" s="881"/>
      <c r="D101" s="881"/>
      <c r="E101" s="881"/>
      <c r="F101" s="881"/>
      <c r="G101" s="881"/>
      <c r="H101" s="881"/>
      <c r="I101" s="881"/>
      <c r="J101" s="881"/>
      <c r="K101" s="882"/>
      <c r="L101" s="883"/>
      <c r="M101" s="881"/>
      <c r="N101" s="2485"/>
      <c r="O101" s="2485"/>
      <c r="P101" s="2485"/>
      <c r="Q101" s="2485"/>
      <c r="R101" s="2485"/>
      <c r="S101" s="2485"/>
      <c r="T101" s="2485"/>
      <c r="U101" s="2485"/>
      <c r="V101" s="2485"/>
      <c r="W101" s="2485"/>
      <c r="X101" s="2485"/>
      <c r="Y101" s="2485"/>
      <c r="Z101" s="2485"/>
      <c r="AA101" s="2485"/>
      <c r="AB101" s="2485"/>
      <c r="AC101" s="2485"/>
      <c r="AD101" s="2485"/>
    </row>
    <row r="102" spans="1:30">
      <c r="A102" s="881"/>
      <c r="B102" s="881"/>
      <c r="C102" s="881"/>
      <c r="D102" s="881"/>
      <c r="E102" s="881"/>
      <c r="F102" s="881"/>
      <c r="G102" s="881"/>
      <c r="H102" s="881"/>
      <c r="I102" s="881"/>
      <c r="J102" s="881"/>
      <c r="K102" s="882"/>
      <c r="L102" s="883"/>
      <c r="M102" s="881"/>
      <c r="N102" s="2485"/>
      <c r="O102" s="2485"/>
      <c r="P102" s="2485"/>
      <c r="Q102" s="2485"/>
      <c r="R102" s="2485"/>
      <c r="S102" s="2485"/>
      <c r="T102" s="2485"/>
      <c r="U102" s="2485"/>
      <c r="V102" s="2485"/>
      <c r="W102" s="2485"/>
      <c r="X102" s="2485"/>
      <c r="Y102" s="2485"/>
      <c r="Z102" s="2485"/>
      <c r="AA102" s="2485"/>
      <c r="AB102" s="2485"/>
      <c r="AC102" s="2485"/>
      <c r="AD102" s="2485"/>
    </row>
    <row r="103" spans="1:30">
      <c r="A103" s="881"/>
      <c r="B103" s="881"/>
      <c r="C103" s="881"/>
      <c r="D103" s="881"/>
      <c r="E103" s="881"/>
      <c r="F103" s="881"/>
      <c r="G103" s="881"/>
      <c r="H103" s="881"/>
      <c r="I103" s="881"/>
      <c r="J103" s="881"/>
      <c r="K103" s="882"/>
      <c r="L103" s="883"/>
      <c r="M103" s="881"/>
      <c r="N103" s="881"/>
      <c r="O103" s="881"/>
      <c r="P103" s="2485"/>
      <c r="Q103" s="2485"/>
      <c r="R103" s="2485"/>
      <c r="S103" s="2485"/>
      <c r="T103" s="2485"/>
      <c r="U103" s="2485"/>
      <c r="V103" s="2485"/>
      <c r="W103" s="2485"/>
      <c r="X103" s="2485"/>
      <c r="Y103" s="2485"/>
      <c r="Z103" s="2485"/>
      <c r="AA103" s="2485"/>
      <c r="AB103" s="2485"/>
      <c r="AC103" s="2485"/>
      <c r="AD103" s="2485"/>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1"/>
      <c r="M3" s="2502"/>
      <c r="N3" s="2502"/>
      <c r="O3" s="2502"/>
      <c r="P3" s="340"/>
      <c r="Q3" s="340"/>
      <c r="R3" s="340"/>
      <c r="S3" s="340"/>
      <c r="T3" s="340"/>
      <c r="U3" s="340"/>
      <c r="V3" s="340"/>
      <c r="W3" s="340"/>
      <c r="X3" s="340"/>
      <c r="Y3" s="340"/>
      <c r="Z3" s="340"/>
      <c r="AA3" s="340"/>
      <c r="AB3" s="675"/>
      <c r="AC3" s="662"/>
    </row>
    <row r="4" spans="1:29" ht="15">
      <c r="A4" s="344" t="s">
        <v>1769</v>
      </c>
      <c r="B4" s="345"/>
      <c r="C4" s="3365" t="s">
        <v>1770</v>
      </c>
      <c r="D4" s="3366"/>
      <c r="E4" s="3367" t="s">
        <v>1771</v>
      </c>
      <c r="F4" s="3368"/>
      <c r="G4" s="3365" t="s">
        <v>1772</v>
      </c>
      <c r="H4" s="3366"/>
      <c r="I4" s="3365" t="s">
        <v>1773</v>
      </c>
      <c r="J4" s="3366"/>
      <c r="K4" s="536" t="s">
        <v>1774</v>
      </c>
      <c r="L4" s="2484"/>
      <c r="M4" s="2485"/>
      <c r="N4" s="2485"/>
      <c r="O4" s="2485"/>
      <c r="P4" s="3369" t="s">
        <v>1775</v>
      </c>
      <c r="Q4" s="3370"/>
      <c r="R4" s="3375" t="s">
        <v>1771</v>
      </c>
      <c r="S4" s="3376"/>
      <c r="T4" s="3375" t="s">
        <v>1772</v>
      </c>
      <c r="U4" s="3376"/>
      <c r="V4" s="3348" t="s">
        <v>1773</v>
      </c>
      <c r="W4" s="3348"/>
      <c r="X4" s="1264"/>
      <c r="Y4" s="3375" t="s">
        <v>1775</v>
      </c>
      <c r="Z4" s="3376"/>
      <c r="AA4" s="3362" t="s">
        <v>1771</v>
      </c>
      <c r="AB4" s="3363" t="s">
        <v>1772</v>
      </c>
      <c r="AC4" s="3362" t="s">
        <v>1773</v>
      </c>
    </row>
    <row r="5" spans="1:29" ht="15">
      <c r="A5" s="347"/>
      <c r="B5" s="348"/>
      <c r="C5" s="3383" t="s">
        <v>1673</v>
      </c>
      <c r="D5" s="3384"/>
      <c r="E5" s="3390" t="s">
        <v>1674</v>
      </c>
      <c r="F5" s="3391"/>
      <c r="G5" s="3383" t="s">
        <v>1675</v>
      </c>
      <c r="H5" s="3384"/>
      <c r="I5" s="3383" t="s">
        <v>1676</v>
      </c>
      <c r="J5" s="3384"/>
      <c r="K5" s="536"/>
      <c r="L5" s="2484"/>
      <c r="M5" s="2485"/>
      <c r="N5" s="2485"/>
      <c r="O5" s="2485"/>
      <c r="P5" s="3371"/>
      <c r="Q5" s="3372"/>
      <c r="R5" s="3377"/>
      <c r="S5" s="3378"/>
      <c r="T5" s="3377"/>
      <c r="U5" s="3378"/>
      <c r="V5" s="3348"/>
      <c r="W5" s="3348"/>
      <c r="X5" s="1264"/>
      <c r="Y5" s="3377"/>
      <c r="Z5" s="3378"/>
      <c r="AA5" s="3363"/>
      <c r="AB5" s="3363"/>
      <c r="AC5" s="3363"/>
    </row>
    <row r="6" spans="1:29" ht="15.75" thickBot="1">
      <c r="A6" s="349"/>
      <c r="B6" s="350"/>
      <c r="C6" s="3381" t="s">
        <v>1677</v>
      </c>
      <c r="D6" s="3382"/>
      <c r="E6" s="3388" t="s">
        <v>1677</v>
      </c>
      <c r="F6" s="3389"/>
      <c r="G6" s="3381" t="s">
        <v>1677</v>
      </c>
      <c r="H6" s="3382"/>
      <c r="I6" s="3381" t="s">
        <v>1677</v>
      </c>
      <c r="J6" s="3382"/>
      <c r="K6" s="536" t="s">
        <v>1678</v>
      </c>
      <c r="L6" s="2484"/>
      <c r="M6" s="2485"/>
      <c r="N6" s="2485"/>
      <c r="O6" s="2485"/>
      <c r="P6" s="3373"/>
      <c r="Q6" s="3374"/>
      <c r="R6" s="3377"/>
      <c r="S6" s="3378"/>
      <c r="T6" s="3379"/>
      <c r="U6" s="3380"/>
      <c r="V6" s="3348"/>
      <c r="W6" s="3348"/>
      <c r="X6" s="1264"/>
      <c r="Y6" s="3379"/>
      <c r="Z6" s="3380"/>
      <c r="AA6" s="3364"/>
      <c r="AB6" s="3364"/>
      <c r="AC6" s="3364"/>
    </row>
    <row r="7" spans="1:29" s="101" customFormat="1" ht="15.75" thickBot="1">
      <c r="A7" s="351" t="s">
        <v>1679</v>
      </c>
      <c r="B7" s="352"/>
      <c r="C7" s="353">
        <f>'数据-取费表'!B2</f>
        <v>45580</v>
      </c>
      <c r="D7" s="354">
        <v>100</v>
      </c>
      <c r="E7" s="355"/>
      <c r="F7" s="356">
        <f>SUMIF(69:69,YEAR(E7)&amp;"-"&amp;INT((MONTH(E7)+2)/3),70:70)</f>
        <v>0</v>
      </c>
      <c r="G7" s="1821"/>
      <c r="H7" s="354">
        <f>SUMIF(69:69,YEAR(G7)&amp;"-"&amp;INT((MONTH(G7)+2)/3),70:70)</f>
        <v>0</v>
      </c>
      <c r="I7" s="1821"/>
      <c r="J7" s="354">
        <f>SUMIF(69:69,YEAR(I7)&amp;"-"&amp;INT((MONTH(I7)+2)/3),70:70)</f>
        <v>0</v>
      </c>
      <c r="K7" s="38"/>
      <c r="L7" s="2486"/>
      <c r="M7" s="2438"/>
      <c r="N7" s="2438"/>
      <c r="O7" s="2438"/>
      <c r="P7" s="3385" t="s">
        <v>1680</v>
      </c>
      <c r="Q7" s="3387"/>
      <c r="R7" s="663" t="s">
        <v>14</v>
      </c>
      <c r="S7" s="664">
        <f t="shared" ref="S7:S15" si="0">F7</f>
        <v>0</v>
      </c>
      <c r="T7" s="663" t="s">
        <v>14</v>
      </c>
      <c r="U7" s="664">
        <f t="shared" ref="U7:U15" si="1">H7</f>
        <v>0</v>
      </c>
      <c r="V7" s="663" t="s">
        <v>14</v>
      </c>
      <c r="W7" s="664">
        <f t="shared" ref="W7:W15" si="2">J7</f>
        <v>0</v>
      </c>
      <c r="X7" s="665"/>
      <c r="Y7" s="3385" t="s">
        <v>1680</v>
      </c>
      <c r="Z7" s="3386"/>
      <c r="AA7" s="50" t="e">
        <f>D7/F7</f>
        <v>#DIV/0!</v>
      </c>
      <c r="AB7" s="50" t="e">
        <f>D7/H7</f>
        <v>#DIV/0!</v>
      </c>
      <c r="AC7" s="50" t="e">
        <f>D7/J7</f>
        <v>#DIV/0!</v>
      </c>
    </row>
    <row r="8" spans="1:29" s="101"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6"/>
      <c r="M8" s="2438"/>
      <c r="N8" s="2438"/>
      <c r="O8" s="2438"/>
      <c r="P8" s="3385" t="s">
        <v>1683</v>
      </c>
      <c r="Q8" s="3386"/>
      <c r="R8" s="663" t="s">
        <v>14</v>
      </c>
      <c r="S8" s="664">
        <f t="shared" si="0"/>
        <v>0</v>
      </c>
      <c r="T8" s="663" t="s">
        <v>14</v>
      </c>
      <c r="U8" s="664">
        <f t="shared" si="1"/>
        <v>0</v>
      </c>
      <c r="V8" s="663" t="s">
        <v>14</v>
      </c>
      <c r="W8" s="664">
        <f t="shared" si="2"/>
        <v>0</v>
      </c>
      <c r="X8" s="665"/>
      <c r="Y8" s="3385" t="s">
        <v>1683</v>
      </c>
      <c r="Z8" s="3386"/>
      <c r="AA8" s="50" t="e">
        <f t="shared" ref="AA8:AA45" si="3">D8/F8</f>
        <v>#DIV/0!</v>
      </c>
      <c r="AB8" s="50" t="e">
        <f t="shared" ref="AB8:AB45" si="4">D8/H8</f>
        <v>#DIV/0!</v>
      </c>
      <c r="AC8" s="50" t="e">
        <f t="shared" ref="AC8:AC45" si="5">D8/J8</f>
        <v>#DIV/0!</v>
      </c>
    </row>
    <row r="9" spans="1:29" s="101" customFormat="1">
      <c r="A9" s="358"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6"/>
      <c r="M9" s="2438"/>
      <c r="N9" s="2438"/>
      <c r="O9" s="2538"/>
      <c r="P9" s="3347" t="s">
        <v>1686</v>
      </c>
      <c r="Q9" s="529" t="str">
        <f t="shared" ref="Q9:Q15" si="6">B9</f>
        <v>用途</v>
      </c>
      <c r="R9" s="663" t="s">
        <v>14</v>
      </c>
      <c r="S9" s="664">
        <f t="shared" si="0"/>
        <v>100</v>
      </c>
      <c r="T9" s="663" t="s">
        <v>14</v>
      </c>
      <c r="U9" s="664">
        <f t="shared" si="1"/>
        <v>100</v>
      </c>
      <c r="V9" s="663" t="s">
        <v>14</v>
      </c>
      <c r="W9" s="664">
        <f t="shared" si="2"/>
        <v>100</v>
      </c>
      <c r="X9" s="665"/>
      <c r="Y9" s="3246"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152</v>
      </c>
      <c r="G10" s="401"/>
      <c r="H10" s="118">
        <f>ROUND(100/'数据-取费表'!G16,0)</f>
        <v>152</v>
      </c>
      <c r="I10" s="401"/>
      <c r="J10" s="118">
        <f>ROUND(100/'数据-取费表'!G16,0)</f>
        <v>152</v>
      </c>
      <c r="K10" s="591"/>
      <c r="L10" s="2487"/>
      <c r="M10" s="2488"/>
      <c r="N10" s="2488"/>
      <c r="O10" s="2539"/>
      <c r="P10" s="3347"/>
      <c r="Q10" s="529" t="str">
        <f t="shared" si="6"/>
        <v>土地使用年限（年）</v>
      </c>
      <c r="R10" s="663" t="s">
        <v>14</v>
      </c>
      <c r="S10" s="664">
        <f t="shared" si="0"/>
        <v>152</v>
      </c>
      <c r="T10" s="663" t="s">
        <v>14</v>
      </c>
      <c r="U10" s="664">
        <f t="shared" si="1"/>
        <v>152</v>
      </c>
      <c r="V10" s="663" t="s">
        <v>14</v>
      </c>
      <c r="W10" s="664">
        <f t="shared" si="2"/>
        <v>152</v>
      </c>
      <c r="X10" s="665"/>
      <c r="Y10" s="3246"/>
      <c r="Z10" s="50" t="str">
        <f t="shared" si="7"/>
        <v>土地使用年限（年）</v>
      </c>
      <c r="AA10" s="50">
        <f t="shared" si="3"/>
        <v>0.65789473684210531</v>
      </c>
      <c r="AB10" s="50">
        <f t="shared" si="4"/>
        <v>0.65789473684210531</v>
      </c>
      <c r="AC10" s="50">
        <f t="shared" si="5"/>
        <v>0.65789473684210531</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9"/>
      <c r="M11" s="2485"/>
      <c r="N11" s="2485"/>
      <c r="O11" s="2540"/>
      <c r="P11" s="3347"/>
      <c r="Q11" s="529" t="str">
        <f t="shared" si="6"/>
        <v>容积率</v>
      </c>
      <c r="R11" s="663" t="s">
        <v>14</v>
      </c>
      <c r="S11" s="664" t="e">
        <f t="shared" si="0"/>
        <v>#N/A</v>
      </c>
      <c r="T11" s="663" t="s">
        <v>14</v>
      </c>
      <c r="U11" s="664" t="e">
        <f t="shared" si="1"/>
        <v>#N/A</v>
      </c>
      <c r="V11" s="663" t="s">
        <v>14</v>
      </c>
      <c r="W11" s="664" t="e">
        <f t="shared" si="2"/>
        <v>#N/A</v>
      </c>
      <c r="X11" s="665"/>
      <c r="Y11" s="3246"/>
      <c r="Z11" s="50" t="str">
        <f t="shared" si="7"/>
        <v>容积率</v>
      </c>
      <c r="AA11" s="50" t="e">
        <f t="shared" si="3"/>
        <v>#N/A</v>
      </c>
      <c r="AB11" s="50" t="e">
        <f t="shared" si="4"/>
        <v>#N/A</v>
      </c>
      <c r="AC11" s="50" t="e">
        <f t="shared" si="5"/>
        <v>#N/A</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6"/>
      <c r="M12" s="2438"/>
      <c r="N12" s="2438"/>
      <c r="O12" s="2538"/>
      <c r="P12" s="3347"/>
      <c r="Q12" s="529" t="str">
        <f t="shared" si="6"/>
        <v>配建</v>
      </c>
      <c r="R12" s="663" t="s">
        <v>14</v>
      </c>
      <c r="S12" s="664">
        <f t="shared" si="0"/>
        <v>100</v>
      </c>
      <c r="T12" s="663" t="s">
        <v>14</v>
      </c>
      <c r="U12" s="664">
        <f t="shared" si="1"/>
        <v>100</v>
      </c>
      <c r="V12" s="663" t="s">
        <v>14</v>
      </c>
      <c r="W12" s="664">
        <f t="shared" si="2"/>
        <v>100</v>
      </c>
      <c r="X12" s="665"/>
      <c r="Y12" s="3246"/>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90"/>
      <c r="M13" s="2485"/>
      <c r="N13" s="2485"/>
      <c r="O13" s="2540"/>
      <c r="P13" s="3347"/>
      <c r="Q13" s="529">
        <f t="shared" si="6"/>
        <v>111</v>
      </c>
      <c r="R13" s="663" t="s">
        <v>14</v>
      </c>
      <c r="S13" s="664">
        <f t="shared" si="0"/>
        <v>100</v>
      </c>
      <c r="T13" s="663" t="s">
        <v>14</v>
      </c>
      <c r="U13" s="664">
        <f t="shared" si="1"/>
        <v>100</v>
      </c>
      <c r="V13" s="663" t="s">
        <v>14</v>
      </c>
      <c r="W13" s="664">
        <f t="shared" si="2"/>
        <v>100</v>
      </c>
      <c r="X13" s="665"/>
      <c r="Y13" s="3246"/>
      <c r="Z13" s="50">
        <f t="shared" si="7"/>
        <v>111</v>
      </c>
      <c r="AA13" s="50">
        <f>D13/F13</f>
        <v>1</v>
      </c>
      <c r="AB13" s="50">
        <f>D13/H13</f>
        <v>1</v>
      </c>
      <c r="AC13" s="50">
        <f>D13/J13</f>
        <v>1</v>
      </c>
    </row>
    <row r="14" spans="1:29" ht="15.75"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90"/>
      <c r="M14" s="2485"/>
      <c r="N14" s="2485"/>
      <c r="O14" s="2540"/>
      <c r="P14" s="3347"/>
      <c r="Q14" s="529">
        <f t="shared" si="6"/>
        <v>111</v>
      </c>
      <c r="R14" s="663" t="s">
        <v>14</v>
      </c>
      <c r="S14" s="664">
        <f t="shared" si="0"/>
        <v>100</v>
      </c>
      <c r="T14" s="663" t="s">
        <v>14</v>
      </c>
      <c r="U14" s="664">
        <f t="shared" si="1"/>
        <v>100</v>
      </c>
      <c r="V14" s="663" t="s">
        <v>14</v>
      </c>
      <c r="W14" s="664">
        <f t="shared" si="2"/>
        <v>100</v>
      </c>
      <c r="X14" s="665"/>
      <c r="Y14" s="3246"/>
      <c r="Z14" s="50">
        <f t="shared" si="7"/>
        <v>111</v>
      </c>
      <c r="AA14" s="50">
        <f>D14/F14</f>
        <v>1</v>
      </c>
      <c r="AB14" s="50">
        <f>D14/H14</f>
        <v>1</v>
      </c>
      <c r="AC14" s="50">
        <f>D14/J14</f>
        <v>1</v>
      </c>
    </row>
    <row r="15" spans="1:29" ht="99.75">
      <c r="A15" s="378" t="s">
        <v>1690</v>
      </c>
      <c r="B15" s="58" t="s">
        <v>1257</v>
      </c>
      <c r="C15" s="1749"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2"/>
      <c r="L15" s="2490"/>
      <c r="M15" s="2485"/>
      <c r="N15" s="2485"/>
      <c r="O15" s="2540"/>
      <c r="P15" s="3354" t="s">
        <v>1691</v>
      </c>
      <c r="Q15" s="1262" t="str">
        <f t="shared" si="6"/>
        <v>居住社区成熟度</v>
      </c>
      <c r="R15" s="666" t="s">
        <v>14</v>
      </c>
      <c r="S15" s="667">
        <f t="shared" si="0"/>
        <v>100</v>
      </c>
      <c r="T15" s="666" t="s">
        <v>14</v>
      </c>
      <c r="U15" s="667">
        <f t="shared" si="1"/>
        <v>100</v>
      </c>
      <c r="V15" s="666" t="s">
        <v>14</v>
      </c>
      <c r="W15" s="667">
        <f t="shared" si="2"/>
        <v>100</v>
      </c>
      <c r="X15" s="1264"/>
      <c r="Y15" s="3354" t="s">
        <v>1691</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90"/>
      <c r="M16" s="2485"/>
      <c r="N16" s="2485"/>
      <c r="O16" s="2540"/>
      <c r="P16" s="3355"/>
      <c r="Q16" s="1262"/>
      <c r="R16" s="666"/>
      <c r="S16" s="667"/>
      <c r="T16" s="666"/>
      <c r="U16" s="667"/>
      <c r="V16" s="666"/>
      <c r="W16" s="667"/>
      <c r="X16" s="1264"/>
      <c r="Y16" s="3355"/>
      <c r="Z16" s="1263"/>
      <c r="AA16" s="1263">
        <v>1</v>
      </c>
      <c r="AB16" s="1263">
        <v>1</v>
      </c>
      <c r="AC16" s="1263">
        <v>1</v>
      </c>
    </row>
    <row r="17" spans="1:29" ht="71.25">
      <c r="A17" s="366"/>
      <c r="B17" s="389" t="s">
        <v>1777</v>
      </c>
      <c r="C17" s="1805"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90"/>
      <c r="M17" s="2485"/>
      <c r="N17" s="2485"/>
      <c r="O17" s="2540"/>
      <c r="P17" s="3355"/>
      <c r="Q17" s="1262" t="str">
        <f>B17</f>
        <v>商业繁华度</v>
      </c>
      <c r="R17" s="666" t="s">
        <v>14</v>
      </c>
      <c r="S17" s="667">
        <f>F17</f>
        <v>100</v>
      </c>
      <c r="T17" s="666" t="s">
        <v>14</v>
      </c>
      <c r="U17" s="667">
        <f>H17</f>
        <v>100</v>
      </c>
      <c r="V17" s="666" t="s">
        <v>14</v>
      </c>
      <c r="W17" s="667">
        <f>J17</f>
        <v>100</v>
      </c>
      <c r="X17" s="1264"/>
      <c r="Y17" s="3355"/>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90"/>
      <c r="M18" s="2485"/>
      <c r="N18" s="2485"/>
      <c r="O18" s="2540"/>
      <c r="P18" s="3355"/>
      <c r="Q18" s="1262"/>
      <c r="R18" s="666"/>
      <c r="S18" s="667"/>
      <c r="T18" s="666"/>
      <c r="U18" s="667"/>
      <c r="V18" s="666"/>
      <c r="W18" s="667"/>
      <c r="X18" s="1264"/>
      <c r="Y18" s="3355"/>
      <c r="Z18" s="1263"/>
      <c r="AA18" s="1263">
        <v>1</v>
      </c>
      <c r="AB18" s="1263">
        <v>1</v>
      </c>
      <c r="AC18" s="1263">
        <v>1</v>
      </c>
    </row>
    <row r="19" spans="1:29" ht="71.25">
      <c r="A19" s="366"/>
      <c r="B19" s="389" t="s">
        <v>1811</v>
      </c>
      <c r="C19" s="1805"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90"/>
      <c r="M19" s="2485"/>
      <c r="N19" s="2485"/>
      <c r="O19" s="2540"/>
      <c r="P19" s="3355"/>
      <c r="Q19" s="1262" t="str">
        <f>B19</f>
        <v>办公集聚程度</v>
      </c>
      <c r="R19" s="666" t="s">
        <v>14</v>
      </c>
      <c r="S19" s="667">
        <f>F19</f>
        <v>100</v>
      </c>
      <c r="T19" s="666" t="s">
        <v>14</v>
      </c>
      <c r="U19" s="667">
        <f>H19</f>
        <v>100</v>
      </c>
      <c r="V19" s="666" t="s">
        <v>14</v>
      </c>
      <c r="W19" s="667">
        <f>J19</f>
        <v>100</v>
      </c>
      <c r="X19" s="1264"/>
      <c r="Y19" s="3355"/>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90"/>
      <c r="M20" s="2485"/>
      <c r="N20" s="2485"/>
      <c r="O20" s="2540"/>
      <c r="P20" s="3355"/>
      <c r="Q20" s="1262"/>
      <c r="R20" s="666"/>
      <c r="S20" s="667"/>
      <c r="T20" s="666"/>
      <c r="U20" s="667"/>
      <c r="V20" s="666"/>
      <c r="W20" s="667"/>
      <c r="X20" s="1264"/>
      <c r="Y20" s="3355"/>
      <c r="Z20" s="1263"/>
      <c r="AA20" s="1263">
        <v>1</v>
      </c>
      <c r="AB20" s="1263">
        <v>1</v>
      </c>
      <c r="AC20" s="1263">
        <v>1</v>
      </c>
    </row>
    <row r="21" spans="1:29" ht="85.5">
      <c r="A21" s="366"/>
      <c r="B21" s="389" t="s">
        <v>1833</v>
      </c>
      <c r="C21" s="1753" t="str">
        <f>估价对象房地状况!C18</f>
        <v>估价对象周边道路状况、公共交通通达情况、停车便捷程度，综合评价交通便捷度较好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90"/>
      <c r="M21" s="2485"/>
      <c r="N21" s="2485"/>
      <c r="O21" s="2540"/>
      <c r="P21" s="3355"/>
      <c r="Q21" s="1262" t="str">
        <f>B21</f>
        <v>交通便捷度</v>
      </c>
      <c r="R21" s="666" t="s">
        <v>14</v>
      </c>
      <c r="S21" s="667">
        <f>F21</f>
        <v>100</v>
      </c>
      <c r="T21" s="666" t="s">
        <v>14</v>
      </c>
      <c r="U21" s="667">
        <f>H21</f>
        <v>100</v>
      </c>
      <c r="V21" s="666" t="s">
        <v>14</v>
      </c>
      <c r="W21" s="667">
        <f>J21</f>
        <v>100</v>
      </c>
      <c r="X21" s="1264"/>
      <c r="Y21" s="3355"/>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90"/>
      <c r="M22" s="2485"/>
      <c r="N22" s="2485"/>
      <c r="O22" s="2540"/>
      <c r="P22" s="3355"/>
      <c r="Q22" s="1262"/>
      <c r="R22" s="666"/>
      <c r="S22" s="667"/>
      <c r="T22" s="666"/>
      <c r="U22" s="667"/>
      <c r="V22" s="666"/>
      <c r="W22" s="667"/>
      <c r="X22" s="1264"/>
      <c r="Y22" s="3355"/>
      <c r="Z22" s="1263"/>
      <c r="AA22" s="1263">
        <v>1</v>
      </c>
      <c r="AB22" s="1263">
        <v>1</v>
      </c>
      <c r="AC22" s="1263">
        <v>1</v>
      </c>
    </row>
    <row r="23" spans="1:29" ht="15">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90"/>
      <c r="M23" s="2485"/>
      <c r="N23" s="2485"/>
      <c r="O23" s="2540"/>
      <c r="P23" s="3355"/>
      <c r="Q23" s="1262" t="str">
        <f t="shared" ref="Q23:Q37" si="8">B23</f>
        <v>区域土地利用方向</v>
      </c>
      <c r="R23" s="666" t="s">
        <v>14</v>
      </c>
      <c r="S23" s="667">
        <f>F23</f>
        <v>100</v>
      </c>
      <c r="T23" s="666" t="s">
        <v>14</v>
      </c>
      <c r="U23" s="667">
        <f>H23</f>
        <v>100</v>
      </c>
      <c r="V23" s="666" t="s">
        <v>14</v>
      </c>
      <c r="W23" s="667">
        <f>J23</f>
        <v>100</v>
      </c>
      <c r="X23" s="1264"/>
      <c r="Y23" s="3355"/>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90"/>
      <c r="M24" s="2485"/>
      <c r="N24" s="2485"/>
      <c r="O24" s="2540"/>
      <c r="P24" s="3355"/>
      <c r="Q24" s="1262"/>
      <c r="R24" s="666"/>
      <c r="S24" s="667"/>
      <c r="T24" s="666"/>
      <c r="U24" s="667"/>
      <c r="V24" s="666"/>
      <c r="W24" s="667"/>
      <c r="X24" s="1264"/>
      <c r="Y24" s="3355"/>
      <c r="Z24" s="1263"/>
      <c r="AA24" s="1263"/>
      <c r="AB24" s="1263"/>
      <c r="AC24" s="1263"/>
    </row>
    <row r="25" spans="1:29" ht="57">
      <c r="A25" s="347"/>
      <c r="B25" s="585" t="s">
        <v>1872</v>
      </c>
      <c r="C25" s="1805" t="str">
        <f>估价对象房地状况!C20</f>
        <v>区域自然环境：；人文环境；综合评价环境状况一般</v>
      </c>
      <c r="D25" s="388">
        <v>100</v>
      </c>
      <c r="E25" s="390"/>
      <c r="F25" s="388">
        <f>SUMIF(97:97,E26,98:98)-SUMIF(97:97,C26,98:98)+100</f>
        <v>100</v>
      </c>
      <c r="G25" s="390"/>
      <c r="H25" s="388">
        <f>SUMIF(97:97,G26,98:98)-SUMIF(97:97,C26,98:98)+100</f>
        <v>100</v>
      </c>
      <c r="I25" s="392"/>
      <c r="J25" s="388">
        <f>SUMIF(97:97,I26,98:98)-SUMIF(97:97,C26,98:98)+100</f>
        <v>100</v>
      </c>
      <c r="K25" s="592"/>
      <c r="L25" s="2490"/>
      <c r="M25" s="2485"/>
      <c r="N25" s="2485"/>
      <c r="O25" s="2540"/>
      <c r="P25" s="3355"/>
      <c r="Q25" s="1262" t="str">
        <f t="shared" si="8"/>
        <v>自然及人文环境状况</v>
      </c>
      <c r="R25" s="666" t="s">
        <v>14</v>
      </c>
      <c r="S25" s="667">
        <f>F25</f>
        <v>100</v>
      </c>
      <c r="T25" s="666" t="s">
        <v>14</v>
      </c>
      <c r="U25" s="667">
        <f>H25</f>
        <v>100</v>
      </c>
      <c r="V25" s="666" t="s">
        <v>14</v>
      </c>
      <c r="W25" s="667">
        <f>J25</f>
        <v>100</v>
      </c>
      <c r="X25" s="1264"/>
      <c r="Y25" s="3355"/>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90"/>
      <c r="M26" s="2485"/>
      <c r="N26" s="2485"/>
      <c r="O26" s="2540"/>
      <c r="P26" s="3355"/>
      <c r="Q26" s="1262"/>
      <c r="R26" s="666"/>
      <c r="S26" s="667"/>
      <c r="T26" s="666"/>
      <c r="U26" s="667"/>
      <c r="V26" s="666"/>
      <c r="W26" s="667"/>
      <c r="X26" s="1264"/>
      <c r="Y26" s="3355"/>
      <c r="Z26" s="1263"/>
      <c r="AA26" s="1263">
        <v>1</v>
      </c>
      <c r="AB26" s="1263">
        <v>1</v>
      </c>
      <c r="AC26" s="1263">
        <v>1</v>
      </c>
    </row>
    <row r="27" spans="1:29" s="101" customFormat="1" ht="42.75">
      <c r="A27" s="442"/>
      <c r="B27" s="585" t="s">
        <v>1778</v>
      </c>
      <c r="C27" s="1753" t="str">
        <f>估价对象房地状况!C21</f>
        <v>估价对象所在区域公共配套设施齐备情况</v>
      </c>
      <c r="D27" s="388">
        <v>100</v>
      </c>
      <c r="E27" s="390"/>
      <c r="F27" s="388">
        <f>SUMIF(99:99,E28,100:100)-SUMIF(99:99,C28,100:100)+100</f>
        <v>100</v>
      </c>
      <c r="G27" s="390"/>
      <c r="H27" s="388">
        <f>SUMIF(99:99,G28,100:100)-SUMIF(99:99,C28,100:100)+100</f>
        <v>100</v>
      </c>
      <c r="I27" s="392"/>
      <c r="J27" s="388">
        <f>SUMIF(99:99,I28,100:100)-SUMIF(99:99,C28,100:100)+100</f>
        <v>100</v>
      </c>
      <c r="K27" s="592"/>
      <c r="L27" s="2486"/>
      <c r="M27" s="2438"/>
      <c r="N27" s="2438"/>
      <c r="O27" s="2538"/>
      <c r="P27" s="3355"/>
      <c r="Q27" s="529" t="str">
        <f t="shared" si="8"/>
        <v>公共配套设施</v>
      </c>
      <c r="R27" s="663" t="s">
        <v>14</v>
      </c>
      <c r="S27" s="664">
        <f>F27</f>
        <v>100</v>
      </c>
      <c r="T27" s="663" t="s">
        <v>14</v>
      </c>
      <c r="U27" s="664">
        <f>H27</f>
        <v>100</v>
      </c>
      <c r="V27" s="663" t="s">
        <v>14</v>
      </c>
      <c r="W27" s="664">
        <f>J27</f>
        <v>100</v>
      </c>
      <c r="X27" s="665"/>
      <c r="Y27" s="3355"/>
      <c r="Z27" s="50" t="str">
        <f>Q27</f>
        <v>公共配套设施</v>
      </c>
      <c r="AA27" s="1263">
        <f>D27/F27</f>
        <v>1</v>
      </c>
      <c r="AB27" s="1263">
        <f>D27/H27</f>
        <v>1</v>
      </c>
      <c r="AC27" s="1263">
        <f>D27/J27</f>
        <v>1</v>
      </c>
    </row>
    <row r="28" spans="1:29" s="101" customFormat="1" ht="15">
      <c r="A28" s="442"/>
      <c r="B28" s="394"/>
      <c r="C28" s="1825"/>
      <c r="D28" s="386"/>
      <c r="E28" s="1757"/>
      <c r="F28" s="386"/>
      <c r="G28" s="1757"/>
      <c r="H28" s="386"/>
      <c r="I28" s="385"/>
      <c r="J28" s="386"/>
      <c r="K28" s="591"/>
      <c r="L28" s="2486"/>
      <c r="M28" s="2438"/>
      <c r="N28" s="2438"/>
      <c r="O28" s="2538"/>
      <c r="P28" s="3355"/>
      <c r="Q28" s="529"/>
      <c r="R28" s="663"/>
      <c r="S28" s="664"/>
      <c r="T28" s="663"/>
      <c r="U28" s="664"/>
      <c r="V28" s="663"/>
      <c r="W28" s="664"/>
      <c r="X28" s="665"/>
      <c r="Y28" s="3355"/>
      <c r="Z28" s="50"/>
      <c r="AA28" s="1263">
        <v>1</v>
      </c>
      <c r="AB28" s="1263">
        <v>1</v>
      </c>
      <c r="AC28" s="1263">
        <v>1</v>
      </c>
    </row>
    <row r="29" spans="1:29" s="101" customFormat="1" ht="28.5">
      <c r="A29" s="442"/>
      <c r="B29" s="585" t="s">
        <v>1779</v>
      </c>
      <c r="C29" s="1753"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6"/>
      <c r="M29" s="2438"/>
      <c r="N29" s="2438"/>
      <c r="O29" s="2538"/>
      <c r="P29" s="3355"/>
      <c r="Q29" s="529" t="str">
        <f t="shared" ref="Q29" si="9">B29</f>
        <v>基础设施水平</v>
      </c>
      <c r="R29" s="663" t="s">
        <v>14</v>
      </c>
      <c r="S29" s="664">
        <f>F29</f>
        <v>100</v>
      </c>
      <c r="T29" s="663" t="s">
        <v>14</v>
      </c>
      <c r="U29" s="664">
        <f>H29</f>
        <v>100</v>
      </c>
      <c r="V29" s="663" t="s">
        <v>14</v>
      </c>
      <c r="W29" s="664">
        <f>J29</f>
        <v>100</v>
      </c>
      <c r="X29" s="665"/>
      <c r="Y29" s="3355"/>
      <c r="Z29" s="50" t="str">
        <f>Q29</f>
        <v>基础设施水平</v>
      </c>
      <c r="AA29" s="1263">
        <f>D29/F29</f>
        <v>1</v>
      </c>
      <c r="AB29" s="1263">
        <f>D29/H29</f>
        <v>1</v>
      </c>
      <c r="AC29" s="1263">
        <f>D29/J29</f>
        <v>1</v>
      </c>
    </row>
    <row r="30" spans="1:29" s="101" customFormat="1" ht="15">
      <c r="A30" s="442"/>
      <c r="B30" s="394"/>
      <c r="C30" s="1825"/>
      <c r="D30" s="386"/>
      <c r="E30" s="1826"/>
      <c r="F30" s="386"/>
      <c r="G30" s="1826"/>
      <c r="H30" s="386"/>
      <c r="I30" s="1826"/>
      <c r="J30" s="386"/>
      <c r="K30" s="591"/>
      <c r="L30" s="2486"/>
      <c r="M30" s="2438"/>
      <c r="N30" s="2438"/>
      <c r="O30" s="2538"/>
      <c r="P30" s="3355"/>
      <c r="Q30" s="529"/>
      <c r="R30" s="663"/>
      <c r="S30" s="664"/>
      <c r="T30" s="663"/>
      <c r="U30" s="664"/>
      <c r="V30" s="663"/>
      <c r="W30" s="664"/>
      <c r="X30" s="665"/>
      <c r="Y30" s="3355"/>
      <c r="Z30" s="50"/>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0"/>
      <c r="M31" s="2485"/>
      <c r="N31" s="2485"/>
      <c r="O31" s="2540"/>
      <c r="P31" s="3355"/>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55"/>
      <c r="Z31" s="1263" t="str">
        <f t="shared" ref="Z31:Z45" si="13">Q31</f>
        <v>临街状况</v>
      </c>
      <c r="AA31" s="1263">
        <f t="shared" si="3"/>
        <v>1</v>
      </c>
      <c r="AB31" s="1263">
        <f t="shared" si="4"/>
        <v>1</v>
      </c>
      <c r="AC31" s="1263">
        <f t="shared" si="5"/>
        <v>1</v>
      </c>
    </row>
    <row r="32" spans="1:29" ht="27">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0"/>
      <c r="M32" s="2485"/>
      <c r="N32" s="2485"/>
      <c r="O32" s="2540"/>
      <c r="P32" s="3355"/>
      <c r="Q32" s="1262" t="str">
        <f t="shared" si="8"/>
        <v>毗邻道路的类型与等级</v>
      </c>
      <c r="R32" s="666" t="s">
        <v>14</v>
      </c>
      <c r="S32" s="667">
        <f t="shared" si="10"/>
        <v>100</v>
      </c>
      <c r="T32" s="666" t="s">
        <v>14</v>
      </c>
      <c r="U32" s="667">
        <f t="shared" si="11"/>
        <v>100</v>
      </c>
      <c r="V32" s="666" t="s">
        <v>14</v>
      </c>
      <c r="W32" s="667">
        <f t="shared" si="12"/>
        <v>100</v>
      </c>
      <c r="X32" s="1264"/>
      <c r="Y32" s="3355"/>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90"/>
      <c r="M33" s="2485"/>
      <c r="N33" s="2485"/>
      <c r="O33" s="2540"/>
      <c r="P33" s="3355"/>
      <c r="Q33" s="1262"/>
      <c r="R33" s="666"/>
      <c r="S33" s="667"/>
      <c r="T33" s="666"/>
      <c r="U33" s="667"/>
      <c r="V33" s="666"/>
      <c r="W33" s="667"/>
      <c r="X33" s="1264"/>
      <c r="Y33" s="3355"/>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0"/>
      <c r="M34" s="2485"/>
      <c r="N34" s="2485"/>
      <c r="O34" s="2540"/>
      <c r="P34" s="3355"/>
      <c r="Q34" s="1262" t="str">
        <f t="shared" si="8"/>
        <v>土地级别</v>
      </c>
      <c r="R34" s="666" t="s">
        <v>14</v>
      </c>
      <c r="S34" s="667">
        <f t="shared" si="10"/>
        <v>100</v>
      </c>
      <c r="T34" s="666" t="s">
        <v>14</v>
      </c>
      <c r="U34" s="667">
        <f t="shared" si="11"/>
        <v>100</v>
      </c>
      <c r="V34" s="666" t="s">
        <v>14</v>
      </c>
      <c r="W34" s="667">
        <f t="shared" si="12"/>
        <v>100</v>
      </c>
      <c r="X34" s="1264"/>
      <c r="Y34" s="3355"/>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0"/>
      <c r="M35" s="2485"/>
      <c r="N35" s="2485"/>
      <c r="O35" s="2540"/>
      <c r="P35" s="3355"/>
      <c r="Q35" s="1262">
        <f t="shared" si="8"/>
        <v>111</v>
      </c>
      <c r="R35" s="666" t="s">
        <v>14</v>
      </c>
      <c r="S35" s="667">
        <f t="shared" si="10"/>
        <v>100</v>
      </c>
      <c r="T35" s="666" t="s">
        <v>14</v>
      </c>
      <c r="U35" s="667">
        <f t="shared" si="11"/>
        <v>100</v>
      </c>
      <c r="V35" s="666" t="s">
        <v>14</v>
      </c>
      <c r="W35" s="667">
        <f t="shared" si="12"/>
        <v>100</v>
      </c>
      <c r="X35" s="1264"/>
      <c r="Y35" s="3355"/>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0"/>
      <c r="M36" s="2485"/>
      <c r="N36" s="2485"/>
      <c r="O36" s="2540"/>
      <c r="P36" s="3430" t="s">
        <v>1696</v>
      </c>
      <c r="Q36" s="1262">
        <f t="shared" si="8"/>
        <v>111</v>
      </c>
      <c r="R36" s="666" t="s">
        <v>14</v>
      </c>
      <c r="S36" s="667">
        <f t="shared" si="10"/>
        <v>100</v>
      </c>
      <c r="T36" s="666" t="s">
        <v>14</v>
      </c>
      <c r="U36" s="667">
        <f t="shared" si="11"/>
        <v>100</v>
      </c>
      <c r="V36" s="666" t="s">
        <v>14</v>
      </c>
      <c r="W36" s="667">
        <f t="shared" si="12"/>
        <v>100</v>
      </c>
      <c r="X36" s="1264"/>
      <c r="Y36" s="3359" t="s">
        <v>1696</v>
      </c>
      <c r="Z36" s="1263">
        <f t="shared" si="13"/>
        <v>111</v>
      </c>
      <c r="AA36" s="1263">
        <f t="shared" si="3"/>
        <v>1</v>
      </c>
      <c r="AB36" s="1263">
        <f t="shared" si="4"/>
        <v>1</v>
      </c>
      <c r="AC36" s="1263">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9"/>
      <c r="M37" s="2491"/>
      <c r="N37" s="2491"/>
      <c r="O37" s="2541"/>
      <c r="P37" s="3359"/>
      <c r="Q37" s="1262">
        <f t="shared" si="8"/>
        <v>111</v>
      </c>
      <c r="R37" s="668" t="s">
        <v>14</v>
      </c>
      <c r="S37" s="669">
        <f t="shared" si="10"/>
        <v>100</v>
      </c>
      <c r="T37" s="668" t="s">
        <v>14</v>
      </c>
      <c r="U37" s="669">
        <f t="shared" si="11"/>
        <v>100</v>
      </c>
      <c r="V37" s="668" t="s">
        <v>14</v>
      </c>
      <c r="W37" s="669">
        <f t="shared" si="12"/>
        <v>100</v>
      </c>
      <c r="X37" s="670"/>
      <c r="Y37" s="3359"/>
      <c r="Z37" s="671">
        <f t="shared" si="13"/>
        <v>111</v>
      </c>
      <c r="AA37" s="1263">
        <f t="shared" si="3"/>
        <v>1</v>
      </c>
      <c r="AB37" s="1263">
        <f t="shared" si="4"/>
        <v>1</v>
      </c>
      <c r="AC37" s="1263">
        <f t="shared" si="5"/>
        <v>1</v>
      </c>
    </row>
    <row r="38" spans="1:29" ht="15">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90"/>
      <c r="M38" s="2485"/>
      <c r="N38" s="2485"/>
      <c r="O38" s="2540"/>
      <c r="P38" s="3359"/>
      <c r="Q38" s="1262" t="str">
        <f>B38</f>
        <v>宗地面积</v>
      </c>
      <c r="R38" s="666" t="s">
        <v>14</v>
      </c>
      <c r="S38" s="667" t="e">
        <f t="shared" si="10"/>
        <v>#N/A</v>
      </c>
      <c r="T38" s="666" t="s">
        <v>14</v>
      </c>
      <c r="U38" s="667" t="e">
        <f t="shared" si="11"/>
        <v>#N/A</v>
      </c>
      <c r="V38" s="666" t="s">
        <v>14</v>
      </c>
      <c r="W38" s="667" t="e">
        <f t="shared" si="12"/>
        <v>#N/A</v>
      </c>
      <c r="X38" s="1264"/>
      <c r="Y38" s="3359"/>
      <c r="Z38" s="1263" t="str">
        <f t="shared" si="13"/>
        <v>宗地面积</v>
      </c>
      <c r="AA38" s="1263" t="e">
        <f t="shared" si="3"/>
        <v>#N/A</v>
      </c>
      <c r="AB38" s="1263" t="e">
        <f t="shared" si="4"/>
        <v>#N/A</v>
      </c>
      <c r="AC38" s="1263" t="e">
        <f t="shared" si="5"/>
        <v>#N/A</v>
      </c>
    </row>
    <row r="39" spans="1:29" ht="15">
      <c r="A39" s="408"/>
      <c r="B39" s="363" t="s">
        <v>1875</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90"/>
      <c r="M39" s="2485"/>
      <c r="N39" s="2485"/>
      <c r="O39" s="2540"/>
      <c r="P39" s="3359"/>
      <c r="Q39" s="1262" t="str">
        <f t="shared" ref="Q39:Q45" si="14">B39</f>
        <v>宗地形状</v>
      </c>
      <c r="R39" s="666" t="s">
        <v>14</v>
      </c>
      <c r="S39" s="667">
        <f t="shared" si="10"/>
        <v>100</v>
      </c>
      <c r="T39" s="666" t="s">
        <v>14</v>
      </c>
      <c r="U39" s="667">
        <f t="shared" si="11"/>
        <v>100</v>
      </c>
      <c r="V39" s="666" t="s">
        <v>14</v>
      </c>
      <c r="W39" s="667">
        <f t="shared" si="12"/>
        <v>100</v>
      </c>
      <c r="X39" s="1264"/>
      <c r="Y39" s="3359"/>
      <c r="Z39" s="1263" t="str">
        <f t="shared" si="13"/>
        <v>宗地形状</v>
      </c>
      <c r="AA39" s="1263">
        <f t="shared" si="3"/>
        <v>1</v>
      </c>
      <c r="AB39" s="1263">
        <f t="shared" si="4"/>
        <v>1</v>
      </c>
      <c r="AC39" s="1263">
        <f t="shared" si="5"/>
        <v>1</v>
      </c>
    </row>
    <row r="40" spans="1:29" ht="15">
      <c r="A40" s="408"/>
      <c r="B40" s="363" t="s">
        <v>1876</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90"/>
      <c r="M40" s="2485"/>
      <c r="N40" s="2485"/>
      <c r="O40" s="2540"/>
      <c r="P40" s="3359"/>
      <c r="Q40" s="1262" t="str">
        <f t="shared" si="14"/>
        <v>临街宽度及深度</v>
      </c>
      <c r="R40" s="666" t="s">
        <v>14</v>
      </c>
      <c r="S40" s="667">
        <f t="shared" si="10"/>
        <v>100</v>
      </c>
      <c r="T40" s="666" t="s">
        <v>14</v>
      </c>
      <c r="U40" s="667">
        <f t="shared" si="11"/>
        <v>100</v>
      </c>
      <c r="V40" s="666" t="s">
        <v>14</v>
      </c>
      <c r="W40" s="667">
        <f t="shared" si="12"/>
        <v>100</v>
      </c>
      <c r="X40" s="1264"/>
      <c r="Y40" s="3359"/>
      <c r="Z40" s="1263" t="str">
        <f t="shared" si="13"/>
        <v>临街宽度及深度</v>
      </c>
      <c r="AA40" s="1263">
        <f t="shared" si="3"/>
        <v>1</v>
      </c>
      <c r="AB40" s="1263">
        <f t="shared" si="4"/>
        <v>1</v>
      </c>
      <c r="AC40" s="1263">
        <f t="shared" si="5"/>
        <v>1</v>
      </c>
    </row>
    <row r="41" spans="1:29" s="101" customFormat="1" ht="15">
      <c r="A41" s="409"/>
      <c r="B41" s="363" t="s">
        <v>1877</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6"/>
      <c r="M41" s="2438"/>
      <c r="N41" s="2438"/>
      <c r="O41" s="2538"/>
      <c r="P41" s="3359"/>
      <c r="Q41" s="1262" t="str">
        <f t="shared" si="14"/>
        <v>宗地开发程度</v>
      </c>
      <c r="R41" s="663" t="s">
        <v>14</v>
      </c>
      <c r="S41" s="664">
        <f t="shared" si="10"/>
        <v>100</v>
      </c>
      <c r="T41" s="663" t="s">
        <v>14</v>
      </c>
      <c r="U41" s="664">
        <f t="shared" si="11"/>
        <v>100</v>
      </c>
      <c r="V41" s="663" t="s">
        <v>14</v>
      </c>
      <c r="W41" s="664">
        <f t="shared" si="12"/>
        <v>100</v>
      </c>
      <c r="X41" s="665"/>
      <c r="Y41" s="3359"/>
      <c r="Z41" s="50" t="str">
        <f t="shared" si="13"/>
        <v>宗地开发程度</v>
      </c>
      <c r="AA41" s="50">
        <f t="shared" si="3"/>
        <v>1</v>
      </c>
      <c r="AB41" s="50">
        <f t="shared" si="4"/>
        <v>1</v>
      </c>
      <c r="AC41" s="50">
        <f t="shared" si="5"/>
        <v>1</v>
      </c>
    </row>
    <row r="42" spans="1:29" ht="15">
      <c r="A42" s="408"/>
      <c r="B42" s="363" t="s">
        <v>1878</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90"/>
      <c r="M42" s="2485"/>
      <c r="N42" s="2485"/>
      <c r="O42" s="2540"/>
      <c r="P42" s="3359" t="s">
        <v>1696</v>
      </c>
      <c r="Q42" s="1262" t="str">
        <f t="shared" si="14"/>
        <v>工程地质条件</v>
      </c>
      <c r="R42" s="666" t="s">
        <v>14</v>
      </c>
      <c r="S42" s="667">
        <f t="shared" si="10"/>
        <v>100</v>
      </c>
      <c r="T42" s="666" t="s">
        <v>14</v>
      </c>
      <c r="U42" s="667">
        <f t="shared" si="11"/>
        <v>100</v>
      </c>
      <c r="V42" s="666" t="s">
        <v>14</v>
      </c>
      <c r="W42" s="667">
        <f t="shared" si="12"/>
        <v>100</v>
      </c>
      <c r="X42" s="1264"/>
      <c r="Y42" s="3359"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0"/>
      <c r="M43" s="2485"/>
      <c r="N43" s="2485"/>
      <c r="O43" s="2540"/>
      <c r="P43" s="3359"/>
      <c r="Q43" s="1262">
        <f t="shared" si="14"/>
        <v>111</v>
      </c>
      <c r="R43" s="666" t="s">
        <v>14</v>
      </c>
      <c r="S43" s="667">
        <f t="shared" si="10"/>
        <v>100</v>
      </c>
      <c r="T43" s="666" t="s">
        <v>14</v>
      </c>
      <c r="U43" s="667">
        <f t="shared" si="11"/>
        <v>100</v>
      </c>
      <c r="V43" s="666" t="s">
        <v>14</v>
      </c>
      <c r="W43" s="667">
        <f t="shared" si="12"/>
        <v>100</v>
      </c>
      <c r="X43" s="1264"/>
      <c r="Y43" s="3359"/>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0"/>
      <c r="M44" s="2485"/>
      <c r="N44" s="2485"/>
      <c r="O44" s="2540"/>
      <c r="P44" s="3359"/>
      <c r="Q44" s="1262">
        <f t="shared" si="14"/>
        <v>111</v>
      </c>
      <c r="R44" s="666" t="s">
        <v>14</v>
      </c>
      <c r="S44" s="667">
        <f t="shared" si="10"/>
        <v>100</v>
      </c>
      <c r="T44" s="666" t="s">
        <v>14</v>
      </c>
      <c r="U44" s="667">
        <f t="shared" si="11"/>
        <v>100</v>
      </c>
      <c r="V44" s="666" t="s">
        <v>14</v>
      </c>
      <c r="W44" s="667">
        <f t="shared" si="12"/>
        <v>100</v>
      </c>
      <c r="X44" s="1264"/>
      <c r="Y44" s="3359"/>
      <c r="Z44" s="1263">
        <f t="shared" si="13"/>
        <v>111</v>
      </c>
      <c r="AA44" s="1263">
        <f t="shared" si="3"/>
        <v>1</v>
      </c>
      <c r="AB44" s="1263">
        <f t="shared" si="4"/>
        <v>1</v>
      </c>
      <c r="AC44" s="1263">
        <f t="shared" si="5"/>
        <v>1</v>
      </c>
    </row>
    <row r="45" spans="1:29" s="407" customFormat="1" ht="15.75"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89"/>
      <c r="M45" s="2491"/>
      <c r="N45" s="2491"/>
      <c r="O45" s="2541"/>
      <c r="P45" s="3359"/>
      <c r="Q45" s="1262">
        <f t="shared" si="14"/>
        <v>111</v>
      </c>
      <c r="R45" s="668" t="s">
        <v>14</v>
      </c>
      <c r="S45" s="669">
        <f t="shared" si="10"/>
        <v>100</v>
      </c>
      <c r="T45" s="668" t="s">
        <v>14</v>
      </c>
      <c r="U45" s="669">
        <f t="shared" si="11"/>
        <v>100</v>
      </c>
      <c r="V45" s="668" t="s">
        <v>14</v>
      </c>
      <c r="W45" s="669">
        <f t="shared" si="12"/>
        <v>100</v>
      </c>
      <c r="X45" s="670"/>
      <c r="Y45" s="3359"/>
      <c r="Z45" s="671">
        <f t="shared" si="13"/>
        <v>111</v>
      </c>
      <c r="AA45" s="1263">
        <f t="shared" si="3"/>
        <v>1</v>
      </c>
      <c r="AB45" s="1263">
        <f t="shared" si="4"/>
        <v>1</v>
      </c>
      <c r="AC45" s="1263">
        <f t="shared" si="5"/>
        <v>1</v>
      </c>
    </row>
    <row r="46" spans="1:29" ht="15">
      <c r="A46" s="415" t="s">
        <v>1844</v>
      </c>
      <c r="B46" s="1829" t="s">
        <v>1879</v>
      </c>
      <c r="C46" s="601" t="s">
        <v>0</v>
      </c>
      <c r="D46" s="417"/>
      <c r="E46" s="418"/>
      <c r="F46" s="419"/>
      <c r="G46" s="420"/>
      <c r="H46" s="421"/>
      <c r="I46" s="418"/>
      <c r="J46" s="421"/>
      <c r="K46" s="673"/>
      <c r="L46" s="2492"/>
      <c r="M46" s="2485"/>
      <c r="N46" s="2485"/>
      <c r="O46" s="2485"/>
      <c r="P46" s="3347" t="str">
        <f>A46</f>
        <v>成交单价</v>
      </c>
      <c r="Q46" s="3347"/>
      <c r="R46" s="3348">
        <f>E46</f>
        <v>0</v>
      </c>
      <c r="S46" s="3348"/>
      <c r="T46" s="3348">
        <f>G46</f>
        <v>0</v>
      </c>
      <c r="U46" s="3348"/>
      <c r="V46" s="3348">
        <f>I46</f>
        <v>0</v>
      </c>
      <c r="W46" s="3348"/>
      <c r="X46" s="384"/>
      <c r="Y46" s="672"/>
      <c r="Z46" s="384"/>
      <c r="AA46" s="384"/>
      <c r="AB46" s="384"/>
      <c r="AC46" s="384"/>
    </row>
    <row r="47" spans="1:29" ht="15.75" thickBot="1">
      <c r="A47" s="422" t="s">
        <v>1793</v>
      </c>
      <c r="B47" s="602"/>
      <c r="C47" s="425" t="e">
        <f>R48</f>
        <v>#DIV/0!</v>
      </c>
      <c r="D47" s="2140" t="s">
        <v>2138</v>
      </c>
      <c r="E47" s="425" t="e">
        <f>R47</f>
        <v>#DIV/0!</v>
      </c>
      <c r="F47" s="2141"/>
      <c r="G47" s="424" t="e">
        <f>T47</f>
        <v>#DIV/0!</v>
      </c>
      <c r="H47" s="2141"/>
      <c r="I47" s="425" t="e">
        <f>V47</f>
        <v>#DIV/0!</v>
      </c>
      <c r="J47" s="2141"/>
      <c r="K47" s="2143">
        <f>F47+H47+J47</f>
        <v>0</v>
      </c>
      <c r="L47" s="2492"/>
      <c r="M47" s="2485"/>
      <c r="N47" s="2485"/>
      <c r="O47" s="2485"/>
      <c r="P47" s="3347" t="str">
        <f>A47</f>
        <v>比较价值（元/平方米）</v>
      </c>
      <c r="Q47" s="3347"/>
      <c r="R47" s="3432" t="e">
        <f>ROUND(PRODUCT(R46,AA7:AA45),0)</f>
        <v>#DIV/0!</v>
      </c>
      <c r="S47" s="3432"/>
      <c r="T47" s="3432" t="e">
        <f>ROUND(PRODUCT(T46,AB7:AB45),0)</f>
        <v>#DIV/0!</v>
      </c>
      <c r="U47" s="3432"/>
      <c r="V47" s="3432" t="e">
        <f>ROUND(PRODUCT(V46,AC7:AC45),0)</f>
        <v>#DIV/0!</v>
      </c>
      <c r="W47" s="3432"/>
      <c r="X47" s="384"/>
      <c r="Y47" s="384"/>
      <c r="Z47" s="384"/>
      <c r="AA47" s="384"/>
      <c r="AB47" s="384"/>
      <c r="AC47" s="384"/>
    </row>
    <row r="48" spans="1:29" ht="15.75" thickBot="1">
      <c r="A48" s="426" t="s">
        <v>1880</v>
      </c>
      <c r="B48" s="427"/>
      <c r="C48" s="428" t="e">
        <f>R48</f>
        <v>#DIV/0!</v>
      </c>
      <c r="D48" s="428"/>
      <c r="E48" s="428"/>
      <c r="F48" s="428"/>
      <c r="G48" s="428"/>
      <c r="H48" s="428"/>
      <c r="I48" s="428"/>
      <c r="J48" s="428"/>
      <c r="K48" s="674"/>
      <c r="L48" s="2492"/>
      <c r="M48" s="2485"/>
      <c r="N48" s="2485"/>
      <c r="O48" s="2485"/>
      <c r="P48" s="3349" t="str">
        <f>A48</f>
        <v>估价对象XX用房的比较价值（楼面单价，元/平方米）</v>
      </c>
      <c r="Q48" s="3350"/>
      <c r="R48" s="3433" t="e">
        <f>ROUND(IF(D47="简单平均",AVERAGE(R47:W47),R47*F47+T47*H47+V47*J47),0)</f>
        <v>#DIV/0!</v>
      </c>
      <c r="S48" s="3433"/>
      <c r="T48" s="3433"/>
      <c r="U48" s="3433"/>
      <c r="V48" s="3433"/>
      <c r="W48" s="3433"/>
      <c r="X48" s="384"/>
      <c r="Y48" s="384"/>
      <c r="Z48" s="384"/>
      <c r="AA48" s="384"/>
      <c r="AB48" s="384"/>
      <c r="AC48" s="384"/>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6" customFormat="1" ht="13.5" customHeight="1">
      <c r="A53" s="2495"/>
      <c r="B53" s="2495"/>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6" customFormat="1" ht="15" thickBot="1">
      <c r="A54" s="2495"/>
      <c r="B54" s="2498"/>
      <c r="C54" s="656"/>
      <c r="D54" s="654"/>
      <c r="E54" s="654"/>
      <c r="F54" s="654"/>
      <c r="G54" s="654"/>
      <c r="H54" s="654"/>
      <c r="I54" s="654"/>
      <c r="J54" s="654"/>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3" t="s">
        <v>1881</v>
      </c>
      <c r="B55" s="604" t="s">
        <v>1882</v>
      </c>
      <c r="C55" s="1830" t="s">
        <v>1883</v>
      </c>
      <c r="D55" s="1831" t="s">
        <v>1884</v>
      </c>
      <c r="E55" s="605" t="s">
        <v>1885</v>
      </c>
      <c r="F55" s="836" t="s">
        <v>1886</v>
      </c>
      <c r="G55" s="3365" t="s">
        <v>1887</v>
      </c>
      <c r="H55" s="3434"/>
      <c r="I55" s="126" t="s">
        <v>1888</v>
      </c>
      <c r="J55" s="1832">
        <f>项目基本情况!F35</f>
        <v>0</v>
      </c>
      <c r="K55" s="1833" t="s">
        <v>1889</v>
      </c>
      <c r="L55" s="2493"/>
      <c r="M55" s="2485"/>
      <c r="N55" s="2485"/>
      <c r="O55" s="2485"/>
      <c r="P55" s="2485"/>
      <c r="Q55" s="2485"/>
      <c r="R55" s="2485"/>
      <c r="S55" s="2485"/>
      <c r="T55" s="2485"/>
      <c r="U55" s="2485"/>
      <c r="V55" s="2485"/>
      <c r="W55" s="2485"/>
      <c r="X55" s="2485"/>
      <c r="Y55" s="2485"/>
      <c r="Z55" s="2485"/>
      <c r="AA55" s="2485"/>
      <c r="AB55" s="2485"/>
      <c r="AC55" s="2485"/>
    </row>
    <row r="56" spans="1:29" s="611" customFormat="1">
      <c r="A56" s="607" t="s">
        <v>1890</v>
      </c>
      <c r="B56" s="608" t="e">
        <f>C48</f>
        <v>#DIV/0!</v>
      </c>
      <c r="C56" s="609">
        <v>1</v>
      </c>
      <c r="D56" s="889">
        <v>1</v>
      </c>
      <c r="E56" s="609">
        <f>'数据-汇总表'!E8+'数据-汇总表'!E9</f>
        <v>227.25</v>
      </c>
      <c r="F56" s="832" t="e">
        <f t="shared" ref="F56:F64" si="15">ROUND(B56*E56/10000,0)</f>
        <v>#DIV/0!</v>
      </c>
      <c r="G56" s="3361"/>
      <c r="H56" s="3347"/>
      <c r="I56" s="837">
        <v>1</v>
      </c>
      <c r="J56" s="840">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1" customFormat="1">
      <c r="A57" s="612" t="s">
        <v>1891</v>
      </c>
      <c r="B57" s="209" t="e">
        <f>ROUND($C$48*C57*D57,0)</f>
        <v>#DIV/0!</v>
      </c>
      <c r="C57" s="162">
        <f t="shared" ref="C57:C64" si="16">IF($C$55="北京市系数",I57,J57)</f>
        <v>0</v>
      </c>
      <c r="D57" s="890">
        <v>0.25</v>
      </c>
      <c r="E57" s="613"/>
      <c r="F57" s="832" t="e">
        <f t="shared" si="15"/>
        <v>#DIV/0!</v>
      </c>
      <c r="G57" s="2748" t="s">
        <v>1892</v>
      </c>
      <c r="H57" s="833">
        <f>项目基本情况!B37</f>
        <v>0</v>
      </c>
      <c r="I57" s="837">
        <f>SUMIF(修正!A57:A68,H57,修正!B57:B68)</f>
        <v>0</v>
      </c>
      <c r="J57" s="841"/>
      <c r="K57" s="2485"/>
      <c r="L57" s="2544"/>
      <c r="M57" s="2544"/>
      <c r="N57" s="2544"/>
      <c r="O57" s="2544"/>
      <c r="P57" s="2544"/>
      <c r="Q57" s="2544"/>
      <c r="R57" s="2544"/>
      <c r="S57" s="2544"/>
      <c r="T57" s="2544"/>
      <c r="U57" s="2544"/>
      <c r="V57" s="2544"/>
      <c r="W57" s="2544"/>
      <c r="X57" s="2544"/>
      <c r="Y57" s="2544"/>
      <c r="Z57" s="2544"/>
      <c r="AA57" s="2544"/>
      <c r="AB57" s="2544"/>
      <c r="AC57" s="2544"/>
    </row>
    <row r="58" spans="1:29" s="611" customFormat="1">
      <c r="A58" s="612" t="s">
        <v>1893</v>
      </c>
      <c r="B58" s="209" t="e">
        <f t="shared" ref="B58:B64" si="17">ROUND($C$48*C58*D58,0)</f>
        <v>#DIV/0!</v>
      </c>
      <c r="C58" s="162">
        <f t="shared" si="16"/>
        <v>0</v>
      </c>
      <c r="D58" s="890">
        <v>0.25</v>
      </c>
      <c r="E58" s="613"/>
      <c r="F58" s="832" t="e">
        <f t="shared" si="15"/>
        <v>#DIV/0!</v>
      </c>
      <c r="G58" s="2749"/>
      <c r="H58" s="833">
        <f>项目基本情况!B37</f>
        <v>0</v>
      </c>
      <c r="I58" s="837">
        <f>SUMIF(修正!A57:A68,H58,修正!C57:C68)</f>
        <v>0</v>
      </c>
      <c r="J58" s="841"/>
      <c r="K58" s="2495"/>
      <c r="L58" s="2544"/>
      <c r="M58" s="2544"/>
      <c r="N58" s="2544"/>
      <c r="O58" s="2544"/>
      <c r="P58" s="2544"/>
      <c r="Q58" s="2544"/>
      <c r="R58" s="2544"/>
      <c r="S58" s="2544"/>
      <c r="T58" s="2544"/>
      <c r="U58" s="2544"/>
      <c r="V58" s="2544"/>
      <c r="W58" s="2544"/>
      <c r="X58" s="2544"/>
      <c r="Y58" s="2544"/>
      <c r="Z58" s="2544"/>
      <c r="AA58" s="2544"/>
      <c r="AB58" s="2544"/>
      <c r="AC58" s="2544"/>
    </row>
    <row r="59" spans="1:29" s="611" customFormat="1">
      <c r="A59" s="612" t="s">
        <v>1894</v>
      </c>
      <c r="B59" s="209" t="e">
        <f t="shared" si="17"/>
        <v>#DIV/0!</v>
      </c>
      <c r="C59" s="162">
        <f t="shared" si="16"/>
        <v>0</v>
      </c>
      <c r="D59" s="890">
        <v>0.25</v>
      </c>
      <c r="E59" s="613"/>
      <c r="F59" s="832" t="e">
        <f t="shared" si="15"/>
        <v>#DIV/0!</v>
      </c>
      <c r="G59" s="2749"/>
      <c r="H59" s="833">
        <f>项目基本情况!B37</f>
        <v>0</v>
      </c>
      <c r="I59" s="837">
        <f>SUMIF(修正!A57:A68,H59,修正!D57:D68)</f>
        <v>0</v>
      </c>
      <c r="J59" s="841"/>
      <c r="K59" s="2485"/>
      <c r="L59" s="2544"/>
      <c r="M59" s="2544"/>
      <c r="N59" s="2544"/>
      <c r="O59" s="2544"/>
      <c r="P59" s="2544"/>
      <c r="Q59" s="2544"/>
      <c r="R59" s="2544"/>
      <c r="S59" s="2544"/>
      <c r="T59" s="2544"/>
      <c r="U59" s="2544"/>
      <c r="V59" s="2544"/>
      <c r="W59" s="2544"/>
      <c r="X59" s="2544"/>
      <c r="Y59" s="2544"/>
      <c r="Z59" s="2544"/>
      <c r="AA59" s="2544"/>
      <c r="AB59" s="2544"/>
      <c r="AC59" s="2544"/>
    </row>
    <row r="60" spans="1:29" s="611" customFormat="1">
      <c r="A60" s="612" t="s">
        <v>1895</v>
      </c>
      <c r="B60" s="209" t="e">
        <f t="shared" si="17"/>
        <v>#DIV/0!</v>
      </c>
      <c r="C60" s="162">
        <f t="shared" si="16"/>
        <v>0</v>
      </c>
      <c r="D60" s="890">
        <v>0.25</v>
      </c>
      <c r="E60" s="208">
        <f>'数据-汇总表'!E11</f>
        <v>0</v>
      </c>
      <c r="F60" s="832" t="e">
        <f t="shared" si="15"/>
        <v>#DIV/0!</v>
      </c>
      <c r="G60" s="1834" t="s">
        <v>1896</v>
      </c>
      <c r="H60" s="833">
        <f>项目基本情况!C37</f>
        <v>0</v>
      </c>
      <c r="I60" s="837">
        <f>SUMIF(修正!A57:A68,H60,修正!E57:E68)</f>
        <v>0</v>
      </c>
      <c r="J60" s="841"/>
      <c r="K60" s="2485"/>
      <c r="L60" s="2544"/>
      <c r="M60" s="2544"/>
      <c r="N60" s="2544"/>
      <c r="O60" s="2544"/>
      <c r="P60" s="2544"/>
      <c r="Q60" s="2544"/>
      <c r="R60" s="2544"/>
      <c r="S60" s="2544"/>
      <c r="T60" s="2544"/>
      <c r="U60" s="2544"/>
      <c r="V60" s="2544"/>
      <c r="W60" s="2544"/>
      <c r="X60" s="2544"/>
      <c r="Y60" s="2544"/>
      <c r="Z60" s="2544"/>
      <c r="AA60" s="2544"/>
      <c r="AB60" s="2544"/>
      <c r="AC60" s="2544"/>
    </row>
    <row r="61" spans="1:29" s="611" customFormat="1">
      <c r="A61" s="612" t="s">
        <v>1897</v>
      </c>
      <c r="B61" s="209" t="e">
        <f t="shared" si="17"/>
        <v>#DIV/0!</v>
      </c>
      <c r="C61" s="162">
        <f t="shared" si="16"/>
        <v>0</v>
      </c>
      <c r="D61" s="890">
        <v>0.25</v>
      </c>
      <c r="E61" s="208">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5"/>
      <c r="L61" s="2544"/>
      <c r="M61" s="2544"/>
      <c r="N61" s="2544"/>
      <c r="O61" s="2544"/>
      <c r="P61" s="2544"/>
      <c r="Q61" s="2544"/>
      <c r="R61" s="2544"/>
      <c r="S61" s="2544"/>
      <c r="T61" s="2544"/>
      <c r="U61" s="2544"/>
      <c r="V61" s="2544"/>
      <c r="W61" s="2544"/>
      <c r="X61" s="2544"/>
      <c r="Y61" s="2544"/>
      <c r="Z61" s="2544"/>
      <c r="AA61" s="2544"/>
      <c r="AB61" s="2544"/>
      <c r="AC61" s="2544"/>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5"/>
      <c r="L62" s="2544"/>
      <c r="M62" s="2544"/>
      <c r="N62" s="2544"/>
      <c r="O62" s="2544"/>
      <c r="P62" s="2544"/>
      <c r="Q62" s="2544"/>
      <c r="R62" s="2544"/>
      <c r="S62" s="2544"/>
      <c r="T62" s="2544"/>
      <c r="U62" s="2544"/>
      <c r="V62" s="2544"/>
      <c r="W62" s="2544"/>
      <c r="X62" s="2544"/>
      <c r="Y62" s="2544"/>
      <c r="Z62" s="2544"/>
      <c r="AA62" s="2544"/>
      <c r="AB62" s="2544"/>
      <c r="AC62" s="2544"/>
    </row>
    <row r="63" spans="1:29" s="611" customFormat="1">
      <c r="A63" s="612" t="s">
        <v>1901</v>
      </c>
      <c r="B63" s="209" t="e">
        <f t="shared" si="17"/>
        <v>#DIV/0!</v>
      </c>
      <c r="C63" s="162">
        <f t="shared" si="16"/>
        <v>0</v>
      </c>
      <c r="D63" s="890">
        <v>0.25</v>
      </c>
      <c r="E63" s="208">
        <f>'数据-汇总表'!E14</f>
        <v>0</v>
      </c>
      <c r="F63" s="832" t="e">
        <f t="shared" si="15"/>
        <v>#DIV/0!</v>
      </c>
      <c r="G63" s="1834" t="s">
        <v>1892</v>
      </c>
      <c r="H63" s="833">
        <f>项目基本情况!B37</f>
        <v>0</v>
      </c>
      <c r="I63" s="837">
        <f>SUMIF(修正!A57:A68,H63,修正!G57:G68)</f>
        <v>0</v>
      </c>
      <c r="J63" s="841"/>
      <c r="K63" s="2495"/>
      <c r="L63" s="2544"/>
      <c r="M63" s="2544"/>
      <c r="N63" s="2544"/>
      <c r="O63" s="2544"/>
      <c r="P63" s="2544"/>
      <c r="Q63" s="2544"/>
      <c r="R63" s="2544"/>
      <c r="S63" s="2544"/>
      <c r="T63" s="2544"/>
      <c r="U63" s="2544"/>
      <c r="V63" s="2544"/>
      <c r="W63" s="2544"/>
      <c r="X63" s="2544"/>
      <c r="Y63" s="2544"/>
      <c r="Z63" s="2544"/>
      <c r="AA63" s="2544"/>
      <c r="AB63" s="2544"/>
      <c r="AC63" s="2544"/>
    </row>
    <row r="64" spans="1:29" s="611" customFormat="1" ht="15" thickBot="1">
      <c r="A64" s="612" t="s">
        <v>1902</v>
      </c>
      <c r="B64" s="209" t="e">
        <f t="shared" si="17"/>
        <v>#DIV/0!</v>
      </c>
      <c r="C64" s="162">
        <f t="shared" si="16"/>
        <v>0</v>
      </c>
      <c r="D64" s="890">
        <v>0.25</v>
      </c>
      <c r="E64" s="208">
        <f>'数据-汇总表'!E15</f>
        <v>0</v>
      </c>
      <c r="F64" s="832" t="e">
        <f t="shared" si="15"/>
        <v>#DIV/0!</v>
      </c>
      <c r="G64" s="1835" t="s">
        <v>1896</v>
      </c>
      <c r="H64" s="843">
        <f>项目基本情况!C37</f>
        <v>0</v>
      </c>
      <c r="I64" s="839">
        <f>SUMIF(修正!A57:A68,H64,修正!G57:G68)</f>
        <v>0</v>
      </c>
      <c r="J64" s="842"/>
      <c r="K64" s="2485"/>
      <c r="L64" s="2544"/>
      <c r="M64" s="2544"/>
      <c r="N64" s="2544"/>
      <c r="O64" s="2544"/>
      <c r="P64" s="2544"/>
      <c r="Q64" s="2544"/>
      <c r="R64" s="2544"/>
      <c r="S64" s="2544"/>
      <c r="T64" s="2544"/>
      <c r="U64" s="2544"/>
      <c r="V64" s="2544"/>
      <c r="W64" s="2544"/>
      <c r="X64" s="2544"/>
      <c r="Y64" s="2544"/>
      <c r="Z64" s="2544"/>
      <c r="AA64" s="2544"/>
      <c r="AB64" s="2544"/>
      <c r="AC64" s="2544"/>
    </row>
    <row r="65" spans="1:29" s="611" customFormat="1" ht="13.5" thickBot="1">
      <c r="A65" s="614" t="s">
        <v>1903</v>
      </c>
      <c r="B65" s="615" t="s">
        <v>22</v>
      </c>
      <c r="C65" s="615" t="s">
        <v>23</v>
      </c>
      <c r="D65" s="615" t="s">
        <v>392</v>
      </c>
      <c r="E65" s="615">
        <f>IF(B46="楼面地价",SUM(E56:E64),'数据-汇总表'!D3)</f>
        <v>227.25</v>
      </c>
      <c r="F65" s="616" t="e">
        <f>IF(B46="楼面地价",SUM(F56:F64),ROUND(C48*E65/10000,0))</f>
        <v>#DIV/0!</v>
      </c>
      <c r="G65" s="676"/>
      <c r="H65" s="676"/>
      <c r="I65" s="676"/>
      <c r="J65" s="676"/>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4"/>
      <c r="B66" s="655"/>
      <c r="C66" s="656"/>
      <c r="D66" s="384"/>
      <c r="E66" s="384"/>
      <c r="F66" s="384"/>
      <c r="G66" s="384"/>
      <c r="H66" s="384"/>
      <c r="I66" s="384"/>
      <c r="J66" s="860"/>
      <c r="K66" s="834"/>
      <c r="L66" s="835"/>
      <c r="M66" s="860"/>
      <c r="N66" s="860"/>
      <c r="O66" s="860"/>
      <c r="P66" s="2485"/>
      <c r="Q66" s="2485"/>
      <c r="R66" s="2485"/>
      <c r="S66" s="2485"/>
      <c r="T66" s="2485"/>
      <c r="U66" s="2485"/>
      <c r="V66" s="2485"/>
      <c r="W66" s="2485"/>
      <c r="X66" s="2485"/>
      <c r="Y66" s="2485"/>
      <c r="Z66" s="2485"/>
      <c r="AA66" s="2485"/>
      <c r="AB66" s="2485"/>
      <c r="AC66" s="2485"/>
    </row>
    <row r="67" spans="1:29">
      <c r="A67" s="384"/>
      <c r="B67" s="655"/>
      <c r="C67" s="655" t="str">
        <f>YEAR(C7)&amp;"-"&amp;MONTH(C7)&amp;"-1"</f>
        <v>2024-10-1</v>
      </c>
      <c r="D67" s="655">
        <f>EDATE(C67,-3)</f>
        <v>45474</v>
      </c>
      <c r="E67" s="655">
        <f>EDATE(D67,-3)</f>
        <v>45383</v>
      </c>
      <c r="F67" s="655">
        <f t="shared" ref="F67:O67" si="18">EDATE(E67,-3)</f>
        <v>45292</v>
      </c>
      <c r="G67" s="655">
        <f t="shared" si="18"/>
        <v>45200</v>
      </c>
      <c r="H67" s="655">
        <f t="shared" si="18"/>
        <v>45108</v>
      </c>
      <c r="I67" s="655">
        <f t="shared" si="18"/>
        <v>45017</v>
      </c>
      <c r="J67" s="655">
        <f t="shared" si="18"/>
        <v>44927</v>
      </c>
      <c r="K67" s="655">
        <f t="shared" si="18"/>
        <v>44835</v>
      </c>
      <c r="L67" s="655">
        <f t="shared" si="18"/>
        <v>44743</v>
      </c>
      <c r="M67" s="655">
        <f t="shared" si="18"/>
        <v>44652</v>
      </c>
      <c r="N67" s="655">
        <f t="shared" si="18"/>
        <v>44562</v>
      </c>
      <c r="O67" s="655">
        <f t="shared" si="18"/>
        <v>44470</v>
      </c>
      <c r="P67" s="2485"/>
      <c r="Q67" s="2485"/>
      <c r="R67" s="2485"/>
      <c r="S67" s="2485"/>
      <c r="T67" s="2485"/>
      <c r="U67" s="2485"/>
      <c r="V67" s="2485"/>
      <c r="W67" s="2485"/>
      <c r="X67" s="2485"/>
      <c r="Y67" s="2485"/>
      <c r="Z67" s="2485"/>
      <c r="AA67" s="2485"/>
      <c r="AB67" s="2485"/>
      <c r="AC67" s="2485"/>
    </row>
    <row r="68" spans="1:29" ht="21.75" thickBot="1">
      <c r="A68" s="657" t="s">
        <v>1798</v>
      </c>
      <c r="B68" s="384"/>
      <c r="C68" s="658"/>
      <c r="D68" s="658"/>
      <c r="E68" s="658"/>
      <c r="F68" s="659"/>
      <c r="G68" s="659"/>
      <c r="H68" s="658"/>
      <c r="I68" s="658"/>
      <c r="J68" s="885"/>
      <c r="K68" s="886"/>
      <c r="L68" s="887"/>
      <c r="M68" s="885"/>
      <c r="N68" s="2535"/>
      <c r="O68" s="2535"/>
      <c r="P68" s="2535"/>
      <c r="Q68" s="2506"/>
      <c r="R68" s="2485"/>
      <c r="S68" s="2485"/>
      <c r="T68" s="2485"/>
      <c r="U68" s="2485"/>
      <c r="V68" s="2485"/>
      <c r="W68" s="2485"/>
      <c r="X68" s="2485"/>
      <c r="Y68" s="2485"/>
      <c r="Z68" s="2485"/>
      <c r="AA68" s="2485"/>
      <c r="AB68" s="2485"/>
      <c r="AC68" s="2485"/>
    </row>
    <row r="69" spans="1:29" s="441" customFormat="1" ht="15">
      <c r="A69" s="1629" t="s">
        <v>1904</v>
      </c>
      <c r="B69" s="1045"/>
      <c r="C69" s="1100" t="str">
        <f>YEAR(C67)&amp;"-"&amp;ROUNDUP(MONTH(C67)/3,0)</f>
        <v>2024-4</v>
      </c>
      <c r="D69" s="1100" t="str">
        <f>YEAR(D67)&amp;"-"&amp;ROUNDUP(MONTH(D67)/3,0)</f>
        <v>2024-3</v>
      </c>
      <c r="E69" s="1100" t="str">
        <f t="shared" ref="E69:O69" si="19">YEAR(E67)&amp;"-"&amp;ROUNDUP(MONTH(E67)/3,0)</f>
        <v>2024-2</v>
      </c>
      <c r="F69" s="1100" t="str">
        <f t="shared" si="19"/>
        <v>2024-1</v>
      </c>
      <c r="G69" s="1100" t="str">
        <f t="shared" si="19"/>
        <v>2023-4</v>
      </c>
      <c r="H69" s="1100" t="str">
        <f t="shared" si="19"/>
        <v>2023-3</v>
      </c>
      <c r="I69" s="1100" t="str">
        <f t="shared" si="19"/>
        <v>2023-2</v>
      </c>
      <c r="J69" s="1100" t="str">
        <f t="shared" si="19"/>
        <v>2023-1</v>
      </c>
      <c r="K69" s="1100" t="str">
        <f t="shared" si="19"/>
        <v>2022-4</v>
      </c>
      <c r="L69" s="1100" t="str">
        <f t="shared" si="19"/>
        <v>2022-3</v>
      </c>
      <c r="M69" s="1100" t="str">
        <f t="shared" si="19"/>
        <v>2022-2</v>
      </c>
      <c r="N69" s="1100" t="str">
        <f t="shared" si="19"/>
        <v>2022-1</v>
      </c>
      <c r="O69" s="1100" t="str">
        <f t="shared" si="19"/>
        <v>2021-4</v>
      </c>
      <c r="P69" s="2508"/>
      <c r="Q69" s="2508"/>
      <c r="R69" s="2508"/>
      <c r="S69" s="2508"/>
      <c r="T69" s="2508"/>
      <c r="U69" s="2508"/>
      <c r="V69" s="2508"/>
      <c r="W69" s="2508"/>
      <c r="X69" s="2508"/>
      <c r="Y69" s="2508"/>
      <c r="Z69" s="2508"/>
      <c r="AA69" s="2508"/>
      <c r="AB69" s="2508"/>
      <c r="AC69" s="2508"/>
    </row>
    <row r="70" spans="1:29" s="101" customFormat="1" ht="30" customHeight="1">
      <c r="A70" s="1836"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6"/>
      <c r="Q70" s="2438"/>
      <c r="R70" s="2438"/>
      <c r="S70" s="2438"/>
      <c r="T70" s="2438"/>
      <c r="U70" s="2438"/>
      <c r="V70" s="2438"/>
      <c r="W70" s="2438"/>
      <c r="X70" s="2438"/>
      <c r="Y70" s="2438"/>
      <c r="Z70" s="2438"/>
      <c r="AA70" s="2438"/>
      <c r="AB70" s="2438"/>
      <c r="AC70" s="2438"/>
    </row>
    <row r="71" spans="1:29" s="101" customFormat="1" ht="15.75" thickBot="1">
      <c r="A71" s="448" t="s">
        <v>1716</v>
      </c>
      <c r="B71" s="449"/>
      <c r="C71" s="450"/>
      <c r="D71" s="451"/>
      <c r="E71" s="451"/>
      <c r="F71" s="451"/>
      <c r="G71" s="451"/>
      <c r="H71" s="451"/>
      <c r="I71" s="451"/>
      <c r="J71" s="451"/>
      <c r="K71" s="451"/>
      <c r="L71" s="451"/>
      <c r="M71" s="452"/>
      <c r="N71" s="451"/>
      <c r="O71" s="888"/>
      <c r="P71" s="2506"/>
      <c r="Q71" s="2506"/>
      <c r="R71" s="2438"/>
      <c r="S71" s="2438"/>
      <c r="T71" s="2438"/>
      <c r="U71" s="2438"/>
      <c r="V71" s="2438"/>
      <c r="W71" s="2438"/>
      <c r="X71" s="2438"/>
      <c r="Y71" s="2438"/>
      <c r="Z71" s="2438"/>
      <c r="AA71" s="2438"/>
      <c r="AB71" s="2438"/>
      <c r="AC71" s="2438"/>
    </row>
    <row r="72" spans="1:29" s="101" customFormat="1" ht="15">
      <c r="A72" s="454" t="s">
        <v>1681</v>
      </c>
      <c r="B72" s="443"/>
      <c r="C72" s="455" t="s">
        <v>1776</v>
      </c>
      <c r="D72" s="31"/>
      <c r="E72" s="31"/>
      <c r="F72" s="31"/>
      <c r="G72" s="31"/>
      <c r="H72" s="31"/>
      <c r="I72" s="31"/>
      <c r="J72" s="31"/>
      <c r="K72" s="31"/>
      <c r="L72" s="456"/>
      <c r="M72" s="457"/>
      <c r="N72" s="2518"/>
      <c r="O72" s="2518"/>
      <c r="P72" s="2542"/>
      <c r="Q72" s="2506"/>
      <c r="R72" s="2438"/>
      <c r="S72" s="2438"/>
      <c r="T72" s="2438"/>
      <c r="U72" s="2438"/>
      <c r="V72" s="2438"/>
      <c r="W72" s="2438"/>
      <c r="X72" s="2438"/>
      <c r="Y72" s="2438"/>
      <c r="Z72" s="2438"/>
      <c r="AA72" s="2438"/>
      <c r="AB72" s="2438"/>
      <c r="AC72" s="2438"/>
    </row>
    <row r="73" spans="1:29" s="101" customFormat="1" ht="15.75" thickBot="1">
      <c r="A73" s="454"/>
      <c r="B73" s="443"/>
      <c r="C73" s="562">
        <v>100</v>
      </c>
      <c r="D73" s="445"/>
      <c r="E73" s="445"/>
      <c r="F73" s="445"/>
      <c r="G73" s="445"/>
      <c r="H73" s="445"/>
      <c r="I73" s="445"/>
      <c r="J73" s="445"/>
      <c r="K73" s="445"/>
      <c r="L73" s="445"/>
      <c r="M73" s="447"/>
      <c r="N73" s="2518"/>
      <c r="O73" s="2518"/>
      <c r="P73" s="2506"/>
      <c r="Q73" s="2506"/>
      <c r="R73" s="2438"/>
      <c r="S73" s="2438"/>
      <c r="T73" s="2438"/>
      <c r="U73" s="2438"/>
      <c r="V73" s="2438"/>
      <c r="W73" s="2438"/>
      <c r="X73" s="2438"/>
      <c r="Y73" s="2438"/>
      <c r="Z73" s="2438"/>
      <c r="AA73" s="2438"/>
      <c r="AB73" s="2438"/>
      <c r="AC73" s="2438"/>
    </row>
    <row r="74" spans="1:29">
      <c r="A74" s="378" t="s">
        <v>1719</v>
      </c>
      <c r="B74" s="459" t="s">
        <v>1685</v>
      </c>
      <c r="C74" s="461"/>
      <c r="D74" s="461"/>
      <c r="E74" s="461"/>
      <c r="F74" s="461"/>
      <c r="G74" s="461"/>
      <c r="H74" s="461"/>
      <c r="I74" s="461"/>
      <c r="J74" s="461"/>
      <c r="K74" s="462"/>
      <c r="L74" s="463"/>
      <c r="M74" s="464"/>
      <c r="N74" s="2519"/>
      <c r="O74" s="2519"/>
      <c r="P74" s="2518"/>
      <c r="Q74" s="2506"/>
      <c r="R74" s="2485"/>
      <c r="S74" s="2485"/>
      <c r="T74" s="2485"/>
      <c r="U74" s="2485"/>
      <c r="V74" s="2485"/>
      <c r="W74" s="2485"/>
      <c r="X74" s="2485"/>
      <c r="Y74" s="2485"/>
      <c r="Z74" s="2485"/>
      <c r="AA74" s="2485"/>
      <c r="AB74" s="2485"/>
      <c r="AC74" s="2485"/>
    </row>
    <row r="75" spans="1:29" ht="15.75" thickBot="1">
      <c r="A75" s="366"/>
      <c r="B75" s="465"/>
      <c r="C75" s="466"/>
      <c r="D75" s="466"/>
      <c r="E75" s="466"/>
      <c r="F75" s="466"/>
      <c r="G75" s="466"/>
      <c r="H75" s="466"/>
      <c r="I75" s="466"/>
      <c r="J75" s="466"/>
      <c r="K75" s="466"/>
      <c r="L75" s="466"/>
      <c r="M75" s="467"/>
      <c r="N75" s="2520"/>
      <c r="O75" s="2520"/>
      <c r="P75" s="2518"/>
      <c r="Q75" s="2506"/>
      <c r="R75" s="2485"/>
      <c r="S75" s="2485"/>
      <c r="T75" s="2485"/>
      <c r="U75" s="2485"/>
      <c r="V75" s="2485"/>
      <c r="W75" s="2485"/>
      <c r="X75" s="2485"/>
      <c r="Y75" s="2485"/>
      <c r="Z75" s="2485"/>
      <c r="AA75" s="2485"/>
      <c r="AB75" s="2485"/>
      <c r="AC75" s="2485"/>
    </row>
    <row r="76" spans="1:29" ht="27.75" thickTop="1">
      <c r="A76" s="366"/>
      <c r="B76" s="468" t="s">
        <v>1688</v>
      </c>
      <c r="C76" s="469"/>
      <c r="D76" s="469"/>
      <c r="E76" s="469"/>
      <c r="F76" s="469"/>
      <c r="G76" s="469"/>
      <c r="H76" s="469"/>
      <c r="I76" s="469"/>
      <c r="J76" s="469"/>
      <c r="K76" s="470"/>
      <c r="L76" s="471"/>
      <c r="M76" s="472"/>
      <c r="N76" s="2519"/>
      <c r="O76" s="2519"/>
      <c r="P76" s="2518"/>
      <c r="Q76" s="2506"/>
      <c r="R76" s="2485"/>
      <c r="S76" s="2485"/>
      <c r="T76" s="2485"/>
      <c r="U76" s="2485"/>
      <c r="V76" s="2485"/>
      <c r="W76" s="2485"/>
      <c r="X76" s="2485"/>
      <c r="Y76" s="2485"/>
      <c r="Z76" s="2485"/>
      <c r="AA76" s="2485"/>
      <c r="AB76" s="2485"/>
      <c r="AC76" s="2485"/>
    </row>
    <row r="77" spans="1:29" ht="15.75" thickBot="1">
      <c r="A77" s="366"/>
      <c r="B77" s="473"/>
      <c r="C77" s="474"/>
      <c r="D77" s="474"/>
      <c r="E77" s="474"/>
      <c r="F77" s="474"/>
      <c r="G77" s="474"/>
      <c r="H77" s="474"/>
      <c r="I77" s="474"/>
      <c r="J77" s="474"/>
      <c r="K77" s="474"/>
      <c r="L77" s="474"/>
      <c r="M77" s="475"/>
      <c r="N77" s="2520"/>
      <c r="O77" s="2520"/>
      <c r="P77" s="2518"/>
      <c r="Q77" s="2506"/>
      <c r="R77" s="2485"/>
      <c r="S77" s="2485"/>
      <c r="T77" s="2485"/>
      <c r="U77" s="2485"/>
      <c r="V77" s="2485"/>
      <c r="W77" s="2485"/>
      <c r="X77" s="2485"/>
      <c r="Y77" s="2485"/>
      <c r="Z77" s="2485"/>
      <c r="AA77" s="2485"/>
      <c r="AB77" s="2485"/>
      <c r="AC77" s="2485"/>
    </row>
    <row r="78" spans="1:29" ht="15.7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6"/>
      <c r="B79" s="478"/>
      <c r="C79" s="479"/>
      <c r="D79" s="479"/>
      <c r="E79" s="479"/>
      <c r="F79" s="479"/>
      <c r="G79" s="479"/>
      <c r="H79" s="479"/>
      <c r="I79" s="479"/>
      <c r="J79" s="479"/>
      <c r="K79" s="480"/>
      <c r="L79" s="481"/>
      <c r="M79" s="482"/>
      <c r="N79" s="2519"/>
      <c r="O79" s="2519"/>
      <c r="P79" s="2518"/>
      <c r="Q79" s="2506"/>
      <c r="R79" s="2485"/>
      <c r="S79" s="2485"/>
      <c r="T79" s="2485"/>
      <c r="U79" s="2485"/>
      <c r="V79" s="2485"/>
      <c r="W79" s="2485"/>
      <c r="X79" s="2485"/>
      <c r="Y79" s="2485"/>
      <c r="Z79" s="2485"/>
      <c r="AA79" s="2485"/>
      <c r="AB79" s="2485"/>
      <c r="AC79" s="2485"/>
    </row>
    <row r="80" spans="1:29" ht="15.7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20"/>
      <c r="O80" s="2520"/>
      <c r="P80" s="2518"/>
      <c r="Q80" s="2506"/>
      <c r="R80" s="2485"/>
      <c r="S80" s="2485"/>
      <c r="T80" s="2485"/>
      <c r="U80" s="2485"/>
      <c r="V80" s="2485"/>
      <c r="W80" s="2485"/>
      <c r="X80" s="2485"/>
      <c r="Y80" s="2485"/>
      <c r="Z80" s="2485"/>
      <c r="AA80" s="2485"/>
      <c r="AB80" s="2485"/>
      <c r="AC80" s="2485"/>
    </row>
    <row r="81" spans="1:29" s="407" customFormat="1" ht="15.75" thickTop="1">
      <c r="A81" s="483"/>
      <c r="B81" s="468" t="str">
        <f>B12</f>
        <v>配建</v>
      </c>
      <c r="C81" s="484"/>
      <c r="D81" s="484"/>
      <c r="E81" s="484"/>
      <c r="F81" s="484"/>
      <c r="G81" s="484"/>
      <c r="H81" s="485"/>
      <c r="I81" s="485"/>
      <c r="J81" s="485"/>
      <c r="K81" s="485"/>
      <c r="L81" s="486"/>
      <c r="M81" s="487"/>
      <c r="N81" s="2521"/>
      <c r="O81" s="2521"/>
      <c r="P81" s="2521"/>
      <c r="Q81" s="2513"/>
      <c r="R81" s="2491"/>
      <c r="S81" s="2491"/>
      <c r="T81" s="2491"/>
      <c r="U81" s="2491"/>
      <c r="V81" s="2491"/>
      <c r="W81" s="2491"/>
      <c r="X81" s="2491"/>
      <c r="Y81" s="2491"/>
      <c r="Z81" s="2491"/>
      <c r="AA81" s="2491"/>
      <c r="AB81" s="2491"/>
      <c r="AC81" s="2491"/>
    </row>
    <row r="82" spans="1:29" s="407" customFormat="1" ht="15.75" thickBot="1">
      <c r="A82" s="483"/>
      <c r="B82" s="473"/>
      <c r="C82" s="490"/>
      <c r="D82" s="466"/>
      <c r="E82" s="466"/>
      <c r="F82" s="466"/>
      <c r="G82" s="466"/>
      <c r="H82" s="466"/>
      <c r="I82" s="466"/>
      <c r="J82" s="466"/>
      <c r="K82" s="466"/>
      <c r="L82" s="466"/>
      <c r="M82" s="467"/>
      <c r="N82" s="2520"/>
      <c r="O82" s="2520"/>
      <c r="P82" s="2521"/>
      <c r="Q82" s="2513"/>
      <c r="R82" s="2491"/>
      <c r="S82" s="2491"/>
      <c r="T82" s="2491"/>
      <c r="U82" s="2491"/>
      <c r="V82" s="2491"/>
      <c r="W82" s="2491"/>
      <c r="X82" s="2491"/>
      <c r="Y82" s="2491"/>
      <c r="Z82" s="2491"/>
      <c r="AA82" s="2491"/>
      <c r="AB82" s="2491"/>
      <c r="AC82" s="2491"/>
    </row>
    <row r="83" spans="1:29" s="407" customFormat="1" ht="15.75" thickTop="1">
      <c r="A83" s="483"/>
      <c r="B83" s="468">
        <f>B13</f>
        <v>111</v>
      </c>
      <c r="C83" s="484"/>
      <c r="D83" s="484"/>
      <c r="E83" s="484"/>
      <c r="F83" s="484"/>
      <c r="G83" s="484"/>
      <c r="H83" s="485"/>
      <c r="I83" s="485"/>
      <c r="J83" s="485"/>
      <c r="K83" s="485"/>
      <c r="L83" s="486"/>
      <c r="M83" s="487"/>
      <c r="N83" s="2521"/>
      <c r="O83" s="2521"/>
      <c r="P83" s="2491"/>
      <c r="Q83" s="2515"/>
      <c r="R83" s="2491"/>
      <c r="S83" s="2491"/>
      <c r="T83" s="2491"/>
      <c r="U83" s="2491"/>
      <c r="V83" s="2491"/>
      <c r="W83" s="2491"/>
      <c r="X83" s="2491"/>
      <c r="Y83" s="2491"/>
      <c r="Z83" s="2491"/>
      <c r="AA83" s="2491"/>
      <c r="AB83" s="2491"/>
      <c r="AC83" s="2491"/>
    </row>
    <row r="84" spans="1:29" s="407" customFormat="1" ht="15.75" thickBot="1">
      <c r="A84" s="483"/>
      <c r="B84" s="473"/>
      <c r="C84" s="490"/>
      <c r="D84" s="490"/>
      <c r="E84" s="490"/>
      <c r="F84" s="490"/>
      <c r="G84" s="490"/>
      <c r="H84" s="492"/>
      <c r="I84" s="492"/>
      <c r="J84" s="492"/>
      <c r="K84" s="492"/>
      <c r="L84" s="492"/>
      <c r="M84" s="493"/>
      <c r="N84" s="2521"/>
      <c r="O84" s="2521"/>
      <c r="P84" s="2521"/>
      <c r="Q84" s="2513"/>
      <c r="R84" s="2491"/>
      <c r="S84" s="2491"/>
      <c r="T84" s="2491"/>
      <c r="U84" s="2491"/>
      <c r="V84" s="2491"/>
      <c r="W84" s="2491"/>
      <c r="X84" s="2491"/>
      <c r="Y84" s="2491"/>
      <c r="Z84" s="2491"/>
      <c r="AA84" s="2491"/>
      <c r="AB84" s="2491"/>
      <c r="AC84" s="2491"/>
    </row>
    <row r="85" spans="1:29" s="407" customFormat="1" ht="15.75" thickTop="1">
      <c r="A85" s="483"/>
      <c r="B85" s="476">
        <f>B14</f>
        <v>111</v>
      </c>
      <c r="C85" s="31"/>
      <c r="D85" s="31"/>
      <c r="E85" s="31"/>
      <c r="F85" s="31"/>
      <c r="G85" s="31"/>
      <c r="H85" s="494"/>
      <c r="I85" s="494"/>
      <c r="J85" s="494"/>
      <c r="K85" s="494"/>
      <c r="L85" s="495"/>
      <c r="M85" s="496"/>
      <c r="N85" s="2521"/>
      <c r="O85" s="2521"/>
      <c r="P85" s="2546"/>
      <c r="Q85" s="2513"/>
      <c r="R85" s="2491"/>
      <c r="S85" s="2491"/>
      <c r="T85" s="2491"/>
      <c r="U85" s="2491"/>
      <c r="V85" s="2491"/>
      <c r="W85" s="2491"/>
      <c r="X85" s="2491"/>
      <c r="Y85" s="2491"/>
      <c r="Z85" s="2491"/>
      <c r="AA85" s="2491"/>
      <c r="AB85" s="2491"/>
      <c r="AC85" s="2491"/>
    </row>
    <row r="86" spans="1:29" s="407" customFormat="1" ht="15.75" thickBot="1">
      <c r="A86" s="498"/>
      <c r="B86" s="499"/>
      <c r="C86" s="500"/>
      <c r="D86" s="500"/>
      <c r="E86" s="500"/>
      <c r="F86" s="500"/>
      <c r="G86" s="500"/>
      <c r="H86" s="501"/>
      <c r="I86" s="501"/>
      <c r="J86" s="501"/>
      <c r="K86" s="501"/>
      <c r="L86" s="501"/>
      <c r="M86" s="502"/>
      <c r="N86" s="2521"/>
      <c r="O86" s="2521"/>
      <c r="P86" s="2521"/>
      <c r="Q86" s="2513"/>
      <c r="R86" s="2491"/>
      <c r="S86" s="2491"/>
      <c r="T86" s="2491"/>
      <c r="U86" s="2491"/>
      <c r="V86" s="2491"/>
      <c r="W86" s="2491"/>
      <c r="X86" s="2491"/>
      <c r="Y86" s="2491"/>
      <c r="Z86" s="2491"/>
      <c r="AA86" s="2491"/>
      <c r="AB86" s="2491"/>
      <c r="AC86" s="2491"/>
    </row>
    <row r="87" spans="1:29">
      <c r="A87" s="378" t="s">
        <v>1690</v>
      </c>
      <c r="B87" s="459" t="s">
        <v>1720</v>
      </c>
      <c r="C87" s="503" t="s">
        <v>1721</v>
      </c>
      <c r="D87" s="503" t="s">
        <v>1722</v>
      </c>
      <c r="E87" s="503" t="s">
        <v>1723</v>
      </c>
      <c r="F87" s="503" t="s">
        <v>1724</v>
      </c>
      <c r="G87" s="503" t="s">
        <v>1725</v>
      </c>
      <c r="H87" s="460"/>
      <c r="I87" s="460"/>
      <c r="J87" s="460"/>
      <c r="K87" s="504"/>
      <c r="L87" s="505"/>
      <c r="M87" s="506"/>
      <c r="N87" s="2519"/>
      <c r="O87" s="2519"/>
      <c r="P87" s="2543"/>
      <c r="Q87" s="2506"/>
      <c r="R87" s="2485"/>
      <c r="S87" s="2485"/>
      <c r="T87" s="2485"/>
      <c r="U87" s="2485"/>
      <c r="V87" s="2485"/>
      <c r="W87" s="2485"/>
      <c r="X87" s="2485"/>
      <c r="Y87" s="2485"/>
      <c r="Z87" s="2485"/>
      <c r="AA87" s="2485"/>
      <c r="AB87" s="2485"/>
      <c r="AC87" s="2485"/>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20"/>
      <c r="O88" s="2520"/>
      <c r="P88" s="2518"/>
      <c r="Q88" s="2506"/>
      <c r="R88" s="2485"/>
      <c r="S88" s="2485"/>
      <c r="T88" s="2485"/>
      <c r="U88" s="2485"/>
      <c r="V88" s="2485"/>
      <c r="W88" s="2485"/>
      <c r="X88" s="2485"/>
      <c r="Y88" s="2485"/>
      <c r="Z88" s="2485"/>
      <c r="AA88" s="2485"/>
      <c r="AB88" s="2485"/>
      <c r="AC88" s="2485"/>
    </row>
    <row r="89" spans="1:29" ht="15.75" thickTop="1">
      <c r="A89" s="366"/>
      <c r="B89" s="468" t="s">
        <v>1906</v>
      </c>
      <c r="C89" s="508" t="s">
        <v>1721</v>
      </c>
      <c r="D89" s="508" t="s">
        <v>1722</v>
      </c>
      <c r="E89" s="508" t="s">
        <v>1723</v>
      </c>
      <c r="F89" s="508" t="s">
        <v>1724</v>
      </c>
      <c r="G89" s="508" t="s">
        <v>1725</v>
      </c>
      <c r="H89" s="469"/>
      <c r="I89" s="469"/>
      <c r="J89" s="469"/>
      <c r="K89" s="470"/>
      <c r="L89" s="471"/>
      <c r="M89" s="472"/>
      <c r="N89" s="2519"/>
      <c r="O89" s="2519"/>
      <c r="P89" s="2518"/>
      <c r="Q89" s="2506"/>
      <c r="R89" s="2485"/>
      <c r="S89" s="2485"/>
      <c r="T89" s="2485"/>
      <c r="U89" s="2485"/>
      <c r="V89" s="2485"/>
      <c r="W89" s="2485"/>
      <c r="X89" s="2485"/>
      <c r="Y89" s="2485"/>
      <c r="Z89" s="2485"/>
      <c r="AA89" s="2485"/>
      <c r="AB89" s="2485"/>
      <c r="AC89" s="2485"/>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20"/>
      <c r="O90" s="2520"/>
      <c r="P90" s="2518"/>
      <c r="Q90" s="2506"/>
      <c r="R90" s="2485"/>
      <c r="S90" s="2485"/>
      <c r="T90" s="2485"/>
      <c r="U90" s="2485"/>
      <c r="V90" s="2485"/>
      <c r="W90" s="2485"/>
      <c r="X90" s="2485"/>
      <c r="Y90" s="2485"/>
      <c r="Z90" s="2485"/>
      <c r="AA90" s="2485"/>
      <c r="AB90" s="2485"/>
      <c r="AC90" s="2485"/>
    </row>
    <row r="91" spans="1:29" ht="15.75" thickTop="1">
      <c r="A91" s="366"/>
      <c r="B91" s="468" t="s">
        <v>1821</v>
      </c>
      <c r="C91" s="508" t="s">
        <v>1721</v>
      </c>
      <c r="D91" s="508" t="s">
        <v>1722</v>
      </c>
      <c r="E91" s="508" t="s">
        <v>1723</v>
      </c>
      <c r="F91" s="508" t="s">
        <v>1724</v>
      </c>
      <c r="G91" s="508" t="s">
        <v>1725</v>
      </c>
      <c r="H91" s="469"/>
      <c r="I91" s="469"/>
      <c r="J91" s="469"/>
      <c r="K91" s="470"/>
      <c r="L91" s="471"/>
      <c r="M91" s="472"/>
      <c r="N91" s="2519"/>
      <c r="O91" s="2519"/>
      <c r="P91" s="2518"/>
      <c r="Q91" s="2506"/>
      <c r="R91" s="2485"/>
      <c r="S91" s="2485"/>
      <c r="T91" s="2485"/>
      <c r="U91" s="2485"/>
      <c r="V91" s="2485"/>
      <c r="W91" s="2485"/>
      <c r="X91" s="2485"/>
      <c r="Y91" s="2485"/>
      <c r="Z91" s="2485"/>
      <c r="AA91" s="2485"/>
      <c r="AB91" s="2485"/>
      <c r="AC91" s="2485"/>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20"/>
      <c r="O92" s="2520"/>
      <c r="P92" s="2518"/>
      <c r="Q92" s="2506"/>
      <c r="R92" s="2485"/>
      <c r="S92" s="2485"/>
      <c r="T92" s="2485"/>
      <c r="U92" s="2485"/>
      <c r="V92" s="2485"/>
      <c r="W92" s="2485"/>
      <c r="X92" s="2485"/>
      <c r="Y92" s="2485"/>
      <c r="Z92" s="2485"/>
      <c r="AA92" s="2485"/>
      <c r="AB92" s="2485"/>
      <c r="AC92" s="2485"/>
    </row>
    <row r="93" spans="1:29" ht="15.75" thickTop="1">
      <c r="A93" s="366"/>
      <c r="B93" s="468" t="s">
        <v>1726</v>
      </c>
      <c r="C93" s="508" t="s">
        <v>1721</v>
      </c>
      <c r="D93" s="508" t="s">
        <v>1722</v>
      </c>
      <c r="E93" s="508" t="s">
        <v>1723</v>
      </c>
      <c r="F93" s="508" t="s">
        <v>1724</v>
      </c>
      <c r="G93" s="508" t="s">
        <v>1725</v>
      </c>
      <c r="H93" s="469"/>
      <c r="I93" s="469"/>
      <c r="J93" s="469"/>
      <c r="K93" s="470"/>
      <c r="L93" s="471"/>
      <c r="M93" s="472"/>
      <c r="N93" s="2519"/>
      <c r="O93" s="2519"/>
      <c r="P93" s="2518"/>
      <c r="Q93" s="2506"/>
      <c r="R93" s="2485"/>
      <c r="S93" s="2485"/>
      <c r="T93" s="2485"/>
      <c r="U93" s="2485"/>
      <c r="V93" s="2485"/>
      <c r="W93" s="2485"/>
      <c r="X93" s="2485"/>
      <c r="Y93" s="2485"/>
      <c r="Z93" s="2485"/>
      <c r="AA93" s="2485"/>
      <c r="AB93" s="2485"/>
      <c r="AC93" s="2485"/>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20"/>
      <c r="O94" s="2520"/>
      <c r="P94" s="2518"/>
      <c r="Q94" s="2506"/>
      <c r="R94" s="2485"/>
      <c r="S94" s="2485"/>
      <c r="T94" s="2485"/>
      <c r="U94" s="2485"/>
      <c r="V94" s="2485"/>
      <c r="W94" s="2485"/>
      <c r="X94" s="2485"/>
      <c r="Y94" s="2485"/>
      <c r="Z94" s="2485"/>
      <c r="AA94" s="2485"/>
      <c r="AB94" s="2485"/>
      <c r="AC94" s="2485"/>
    </row>
    <row r="95" spans="1:29" s="101" customFormat="1" ht="15.75" thickTop="1">
      <c r="A95" s="369"/>
      <c r="B95" s="468" t="s">
        <v>1907</v>
      </c>
      <c r="C95" s="508" t="s">
        <v>1721</v>
      </c>
      <c r="D95" s="508" t="s">
        <v>1722</v>
      </c>
      <c r="E95" s="508" t="s">
        <v>1723</v>
      </c>
      <c r="F95" s="508" t="s">
        <v>1724</v>
      </c>
      <c r="G95" s="508" t="s">
        <v>1725</v>
      </c>
      <c r="H95" s="508"/>
      <c r="I95" s="508"/>
      <c r="J95" s="508"/>
      <c r="K95" s="508"/>
      <c r="L95" s="617"/>
      <c r="M95" s="546"/>
      <c r="N95" s="2518"/>
      <c r="O95" s="2518"/>
      <c r="P95" s="2518"/>
      <c r="Q95" s="2506"/>
      <c r="R95" s="2438"/>
      <c r="S95" s="2438"/>
      <c r="T95" s="2438"/>
      <c r="U95" s="2438"/>
      <c r="V95" s="2438"/>
      <c r="W95" s="2438"/>
      <c r="X95" s="2438"/>
      <c r="Y95" s="2438"/>
      <c r="Z95" s="2438"/>
      <c r="AA95" s="2438"/>
      <c r="AB95" s="2438"/>
      <c r="AC95" s="2438"/>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20"/>
      <c r="O96" s="2520"/>
      <c r="P96" s="2518"/>
      <c r="Q96" s="2506"/>
      <c r="R96" s="2438"/>
      <c r="S96" s="2438"/>
      <c r="T96" s="2438"/>
      <c r="U96" s="2438"/>
      <c r="V96" s="2438"/>
      <c r="W96" s="2438"/>
      <c r="X96" s="2438"/>
      <c r="Y96" s="2438"/>
      <c r="Z96" s="2438"/>
      <c r="AA96" s="2438"/>
      <c r="AB96" s="2438"/>
      <c r="AC96" s="2438"/>
    </row>
    <row r="97" spans="1:29" s="101" customFormat="1" ht="27.75" thickTop="1">
      <c r="A97" s="369"/>
      <c r="B97" s="468" t="s">
        <v>1908</v>
      </c>
      <c r="C97" s="503" t="s">
        <v>1721</v>
      </c>
      <c r="D97" s="503" t="s">
        <v>1722</v>
      </c>
      <c r="E97" s="503" t="s">
        <v>1723</v>
      </c>
      <c r="F97" s="503" t="s">
        <v>1724</v>
      </c>
      <c r="G97" s="503" t="s">
        <v>1725</v>
      </c>
      <c r="H97" s="508"/>
      <c r="I97" s="508"/>
      <c r="J97" s="508"/>
      <c r="K97" s="508"/>
      <c r="L97" s="508"/>
      <c r="M97" s="546"/>
      <c r="N97" s="2518"/>
      <c r="O97" s="2518"/>
      <c r="P97" s="2518"/>
      <c r="Q97" s="2506"/>
      <c r="R97" s="2438"/>
      <c r="S97" s="2438"/>
      <c r="T97" s="2438"/>
      <c r="U97" s="2438"/>
      <c r="V97" s="2438"/>
      <c r="W97" s="2438"/>
      <c r="X97" s="2438"/>
      <c r="Y97" s="2438"/>
      <c r="Z97" s="2438"/>
      <c r="AA97" s="2438"/>
      <c r="AB97" s="2438"/>
      <c r="AC97" s="2438"/>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20"/>
      <c r="O98" s="2520"/>
      <c r="P98" s="2518"/>
      <c r="Q98" s="2506"/>
      <c r="R98" s="2438"/>
      <c r="S98" s="2438"/>
      <c r="T98" s="2438"/>
      <c r="U98" s="2438"/>
      <c r="V98" s="2438"/>
      <c r="W98" s="2438"/>
      <c r="X98" s="2438"/>
      <c r="Y98" s="2438"/>
      <c r="Z98" s="2438"/>
      <c r="AA98" s="2438"/>
      <c r="AB98" s="2438"/>
      <c r="AC98" s="2438"/>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21"/>
      <c r="O99" s="2521"/>
      <c r="P99" s="2521"/>
      <c r="Q99" s="2513"/>
      <c r="R99" s="2491"/>
      <c r="S99" s="2491"/>
      <c r="T99" s="2491"/>
      <c r="U99" s="2491"/>
      <c r="V99" s="2491"/>
      <c r="W99" s="2491"/>
      <c r="X99" s="2491"/>
      <c r="Y99" s="2491"/>
      <c r="Z99" s="2491"/>
      <c r="AA99" s="2491"/>
      <c r="AB99" s="2491"/>
      <c r="AC99" s="2491"/>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21"/>
      <c r="O100" s="2521"/>
      <c r="P100" s="2521"/>
      <c r="Q100" s="2513"/>
      <c r="R100" s="2491"/>
      <c r="S100" s="2491"/>
      <c r="T100" s="2491"/>
      <c r="U100" s="2491"/>
      <c r="V100" s="2491"/>
      <c r="W100" s="2491"/>
      <c r="X100" s="2491"/>
      <c r="Y100" s="2491"/>
      <c r="Z100" s="2491"/>
      <c r="AA100" s="2491"/>
      <c r="AB100" s="2491"/>
      <c r="AC100" s="2491"/>
    </row>
    <row r="101" spans="1:29" s="407" customFormat="1" ht="15.75" thickTop="1">
      <c r="A101" s="483"/>
      <c r="B101" s="476" t="s">
        <v>1779</v>
      </c>
      <c r="C101" s="580" t="s">
        <v>1799</v>
      </c>
      <c r="D101" s="580" t="s">
        <v>1800</v>
      </c>
      <c r="E101" s="580" t="s">
        <v>1801</v>
      </c>
      <c r="F101" s="580" t="s">
        <v>1802</v>
      </c>
      <c r="G101" s="580" t="s">
        <v>1803</v>
      </c>
      <c r="H101" s="526"/>
      <c r="I101" s="526"/>
      <c r="J101" s="526"/>
      <c r="K101" s="526"/>
      <c r="L101" s="526"/>
      <c r="M101" s="1064"/>
      <c r="N101" s="2521"/>
      <c r="O101" s="2521"/>
      <c r="P101" s="2521"/>
      <c r="Q101" s="2513"/>
      <c r="R101" s="2491"/>
      <c r="S101" s="2491"/>
      <c r="T101" s="2491"/>
      <c r="U101" s="2491"/>
      <c r="V101" s="2491"/>
      <c r="W101" s="2491"/>
      <c r="X101" s="2491"/>
      <c r="Y101" s="2491"/>
      <c r="Z101" s="2491"/>
      <c r="AA101" s="2491"/>
      <c r="AB101" s="2491"/>
      <c r="AC101" s="2491"/>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21"/>
      <c r="O102" s="2521"/>
      <c r="P102" s="2521"/>
      <c r="Q102" s="2513"/>
      <c r="R102" s="2491"/>
      <c r="S102" s="2491"/>
      <c r="T102" s="2491"/>
      <c r="U102" s="2491"/>
      <c r="V102" s="2491"/>
      <c r="W102" s="2491"/>
      <c r="X102" s="2491"/>
      <c r="Y102" s="2491"/>
      <c r="Z102" s="2491"/>
      <c r="AA102" s="2491"/>
      <c r="AB102" s="2491"/>
      <c r="AC102" s="2491"/>
    </row>
    <row r="103" spans="1:29" ht="15.75" thickTop="1">
      <c r="A103" s="366"/>
      <c r="B103" s="468" t="str">
        <f>B31</f>
        <v>临街状况</v>
      </c>
      <c r="C103" s="469" t="s">
        <v>1909</v>
      </c>
      <c r="D103" s="469" t="s">
        <v>1910</v>
      </c>
      <c r="E103" s="469" t="s">
        <v>1911</v>
      </c>
      <c r="F103" s="469" t="s">
        <v>1912</v>
      </c>
      <c r="G103" s="469"/>
      <c r="H103" s="469"/>
      <c r="I103" s="469"/>
      <c r="J103" s="469"/>
      <c r="K103" s="470"/>
      <c r="L103" s="471"/>
      <c r="M103" s="472"/>
      <c r="N103" s="2519"/>
      <c r="O103" s="2519"/>
      <c r="P103" s="2518"/>
      <c r="Q103" s="2506"/>
      <c r="R103" s="2485"/>
      <c r="S103" s="2485"/>
      <c r="T103" s="2485"/>
      <c r="U103" s="2485"/>
      <c r="V103" s="2485"/>
      <c r="W103" s="2485"/>
      <c r="X103" s="2485"/>
      <c r="Y103" s="2485"/>
      <c r="Z103" s="2485"/>
      <c r="AA103" s="2485"/>
      <c r="AB103" s="2485"/>
      <c r="AC103" s="2485"/>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6"/>
      <c r="B105" s="468" t="s">
        <v>1815</v>
      </c>
      <c r="C105" s="484"/>
      <c r="D105" s="484"/>
      <c r="E105" s="484"/>
      <c r="F105" s="484"/>
      <c r="G105" s="484"/>
      <c r="H105" s="512"/>
      <c r="I105" s="512"/>
      <c r="J105" s="512"/>
      <c r="K105" s="513"/>
      <c r="L105" s="514"/>
      <c r="M105" s="515"/>
      <c r="N105" s="2519"/>
      <c r="O105" s="2519"/>
      <c r="P105" s="2518"/>
      <c r="Q105" s="2506"/>
      <c r="R105" s="2485"/>
      <c r="S105" s="2485"/>
      <c r="T105" s="2485"/>
      <c r="U105" s="2485"/>
      <c r="V105" s="2485"/>
      <c r="W105" s="2485"/>
      <c r="X105" s="2485"/>
      <c r="Y105" s="2485"/>
      <c r="Z105" s="2485"/>
      <c r="AA105" s="2485"/>
      <c r="AB105" s="2485"/>
      <c r="AC105" s="2485"/>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6"/>
      <c r="B107" s="468" t="s">
        <v>1873</v>
      </c>
      <c r="C107" s="512"/>
      <c r="D107" s="512"/>
      <c r="E107" s="512"/>
      <c r="F107" s="512"/>
      <c r="G107" s="512"/>
      <c r="H107" s="512"/>
      <c r="I107" s="512"/>
      <c r="J107" s="512"/>
      <c r="K107" s="513"/>
      <c r="L107" s="514"/>
      <c r="M107" s="515"/>
      <c r="N107" s="2519"/>
      <c r="O107" s="2519"/>
      <c r="P107" s="2518"/>
      <c r="Q107" s="2506"/>
      <c r="R107" s="2485"/>
      <c r="S107" s="2485"/>
      <c r="T107" s="2485"/>
      <c r="U107" s="2485"/>
      <c r="V107" s="2485"/>
      <c r="W107" s="2485"/>
      <c r="X107" s="2485"/>
      <c r="Y107" s="2485"/>
      <c r="Z107" s="2485"/>
      <c r="AA107" s="2485"/>
      <c r="AB107" s="2485"/>
      <c r="AC107" s="2485"/>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6"/>
      <c r="B109" s="476">
        <f>B35</f>
        <v>111</v>
      </c>
      <c r="C109" s="484"/>
      <c r="D109" s="484"/>
      <c r="E109" s="484"/>
      <c r="F109" s="484"/>
      <c r="G109" s="516"/>
      <c r="H109" s="516"/>
      <c r="I109" s="516"/>
      <c r="J109" s="516"/>
      <c r="K109" s="517"/>
      <c r="L109" s="518"/>
      <c r="M109" s="519"/>
      <c r="N109" s="2519"/>
      <c r="O109" s="2519"/>
      <c r="P109" s="2518"/>
      <c r="Q109" s="2506"/>
      <c r="R109" s="2485"/>
      <c r="S109" s="2485"/>
      <c r="T109" s="2485"/>
      <c r="U109" s="2485"/>
      <c r="V109" s="2485"/>
      <c r="W109" s="2485"/>
      <c r="X109" s="2485"/>
      <c r="Y109" s="2485"/>
      <c r="Z109" s="2485"/>
      <c r="AA109" s="2485"/>
      <c r="AB109" s="2485"/>
      <c r="AC109" s="2485"/>
    </row>
    <row r="110" spans="1:29" ht="15.75" thickBot="1">
      <c r="A110" s="366"/>
      <c r="B110" s="499"/>
      <c r="C110" s="490"/>
      <c r="D110" s="490"/>
      <c r="E110" s="490"/>
      <c r="F110" s="490"/>
      <c r="G110" s="520"/>
      <c r="H110" s="520"/>
      <c r="I110" s="520"/>
      <c r="J110" s="520"/>
      <c r="K110" s="520"/>
      <c r="L110" s="520"/>
      <c r="M110" s="521"/>
      <c r="N110" s="2520"/>
      <c r="O110" s="2520"/>
      <c r="P110" s="2518"/>
      <c r="Q110" s="2506"/>
      <c r="R110" s="2485"/>
      <c r="S110" s="2485"/>
      <c r="T110" s="2485"/>
      <c r="U110" s="2485"/>
      <c r="V110" s="2485"/>
      <c r="W110" s="2485"/>
      <c r="X110" s="2485"/>
      <c r="Y110" s="2485"/>
      <c r="Z110" s="2485"/>
      <c r="AA110" s="2485"/>
      <c r="AB110" s="2485"/>
      <c r="AC110" s="2485"/>
    </row>
    <row r="111" spans="1:29" ht="15" thickTop="1">
      <c r="A111" s="594"/>
      <c r="B111" s="468">
        <f>B36</f>
        <v>111</v>
      </c>
      <c r="C111" s="31"/>
      <c r="D111" s="31"/>
      <c r="E111" s="31"/>
      <c r="F111" s="31"/>
      <c r="G111" s="512"/>
      <c r="H111" s="512"/>
      <c r="I111" s="512"/>
      <c r="J111" s="512"/>
      <c r="K111" s="513"/>
      <c r="L111" s="514"/>
      <c r="M111" s="515"/>
      <c r="N111" s="2519"/>
      <c r="O111" s="2519"/>
      <c r="P111" s="2518"/>
      <c r="Q111" s="2506"/>
      <c r="R111" s="2485"/>
      <c r="S111" s="2485"/>
      <c r="T111" s="2485"/>
      <c r="U111" s="2485"/>
      <c r="V111" s="2485"/>
      <c r="W111" s="2485"/>
      <c r="X111" s="2485"/>
      <c r="Y111" s="2485"/>
      <c r="Z111" s="2485"/>
      <c r="AA111" s="2485"/>
      <c r="AB111" s="2485"/>
      <c r="AC111" s="2485"/>
    </row>
    <row r="112" spans="1:29" ht="15.75" thickBot="1">
      <c r="A112" s="366"/>
      <c r="B112" s="473"/>
      <c r="C112" s="500"/>
      <c r="D112" s="500"/>
      <c r="E112" s="500"/>
      <c r="F112" s="500"/>
      <c r="G112" s="466"/>
      <c r="H112" s="466"/>
      <c r="I112" s="466"/>
      <c r="J112" s="466"/>
      <c r="K112" s="466"/>
      <c r="L112" s="466"/>
      <c r="M112" s="467"/>
      <c r="N112" s="2520"/>
      <c r="O112" s="2520"/>
      <c r="P112" s="2518"/>
      <c r="Q112" s="2506"/>
      <c r="R112" s="2485"/>
      <c r="S112" s="2485"/>
      <c r="T112" s="2485"/>
      <c r="U112" s="2485"/>
      <c r="V112" s="2485"/>
      <c r="W112" s="2485"/>
      <c r="X112" s="2485"/>
      <c r="Y112" s="2485"/>
      <c r="Z112" s="2485"/>
      <c r="AA112" s="2485"/>
      <c r="AB112" s="2485"/>
      <c r="AC112" s="2485"/>
    </row>
    <row r="113" spans="1:29" s="407" customFormat="1" ht="15" thickTop="1">
      <c r="A113" s="405"/>
      <c r="B113" s="522">
        <f>B37</f>
        <v>111</v>
      </c>
      <c r="C113" s="6"/>
      <c r="D113" s="6"/>
      <c r="E113" s="6"/>
      <c r="F113" s="6"/>
      <c r="G113" s="6"/>
      <c r="H113" s="6"/>
      <c r="I113" s="6"/>
      <c r="J113" s="523"/>
      <c r="K113" s="523"/>
      <c r="L113" s="524"/>
      <c r="M113" s="525"/>
      <c r="N113" s="2521"/>
      <c r="O113" s="2521"/>
      <c r="P113" s="2521"/>
      <c r="Q113" s="2513"/>
      <c r="R113" s="2491"/>
      <c r="S113" s="2491"/>
      <c r="T113" s="2491"/>
      <c r="U113" s="2491"/>
      <c r="V113" s="2491"/>
      <c r="W113" s="2491"/>
      <c r="X113" s="2491"/>
      <c r="Y113" s="2491"/>
      <c r="Z113" s="2491"/>
      <c r="AA113" s="2491"/>
      <c r="AB113" s="2491"/>
      <c r="AC113" s="2491"/>
    </row>
    <row r="114" spans="1:29" s="407" customFormat="1" ht="15.75" thickBot="1">
      <c r="A114" s="483"/>
      <c r="B114" s="476"/>
      <c r="C114" s="445"/>
      <c r="D114" s="596"/>
      <c r="E114" s="596"/>
      <c r="F114" s="596"/>
      <c r="G114" s="596"/>
      <c r="H114" s="596"/>
      <c r="I114" s="596"/>
      <c r="J114" s="596"/>
      <c r="K114" s="596"/>
      <c r="L114" s="596"/>
      <c r="M114" s="618"/>
      <c r="N114" s="2520"/>
      <c r="O114" s="2520"/>
      <c r="P114" s="2521"/>
      <c r="Q114" s="2513"/>
      <c r="R114" s="2491"/>
      <c r="S114" s="2491"/>
      <c r="T114" s="2491"/>
      <c r="U114" s="2491"/>
      <c r="V114" s="2491"/>
      <c r="W114" s="2491"/>
      <c r="X114" s="2491"/>
      <c r="Y114" s="2491"/>
      <c r="Z114" s="2491"/>
      <c r="AA114" s="2491"/>
      <c r="AB114" s="2491"/>
      <c r="AC114" s="2491"/>
    </row>
    <row r="115" spans="1:29">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6"/>
      <c r="B116" s="476"/>
      <c r="C116" s="6"/>
      <c r="D116" s="6"/>
      <c r="E116" s="6"/>
      <c r="F116" s="6"/>
      <c r="G116" s="6"/>
      <c r="H116" s="6"/>
      <c r="I116" s="6"/>
      <c r="J116" s="523"/>
      <c r="K116" s="523"/>
      <c r="L116" s="524"/>
      <c r="M116" s="525"/>
      <c r="N116" s="2519"/>
      <c r="O116" s="2519"/>
      <c r="P116" s="2518"/>
      <c r="Q116" s="2506"/>
      <c r="R116" s="2485"/>
      <c r="S116" s="2485"/>
      <c r="T116" s="2485"/>
      <c r="U116" s="2485"/>
      <c r="V116" s="2485"/>
      <c r="W116" s="2485"/>
      <c r="X116" s="2485"/>
      <c r="Y116" s="2485"/>
      <c r="Z116" s="2485"/>
      <c r="AA116" s="2485"/>
      <c r="AB116" s="2485"/>
      <c r="AC116" s="2485"/>
    </row>
    <row r="117" spans="1:29" ht="15.75" thickBot="1">
      <c r="A117" s="366"/>
      <c r="B117" s="473"/>
      <c r="C117" s="500"/>
      <c r="D117" s="520"/>
      <c r="E117" s="520"/>
      <c r="F117" s="520"/>
      <c r="G117" s="520"/>
      <c r="H117" s="520"/>
      <c r="I117" s="520"/>
      <c r="J117" s="520"/>
      <c r="K117" s="520"/>
      <c r="L117" s="520"/>
      <c r="M117" s="521"/>
      <c r="N117" s="2520"/>
      <c r="O117" s="2520"/>
      <c r="P117" s="2518"/>
      <c r="Q117" s="2506"/>
      <c r="R117" s="2485"/>
      <c r="S117" s="2485"/>
      <c r="T117" s="2485"/>
      <c r="U117" s="2485"/>
      <c r="V117" s="2485"/>
      <c r="W117" s="2485"/>
      <c r="X117" s="2485"/>
      <c r="Y117" s="2485"/>
      <c r="Z117" s="2485"/>
      <c r="AA117" s="2485"/>
      <c r="AB117" s="2485"/>
      <c r="AC117" s="2485"/>
    </row>
    <row r="118" spans="1:29" ht="15" thickTop="1">
      <c r="A118" s="408"/>
      <c r="B118" s="468" t="s">
        <v>1914</v>
      </c>
      <c r="C118" s="512"/>
      <c r="D118" s="512"/>
      <c r="E118" s="512"/>
      <c r="F118" s="512"/>
      <c r="G118" s="512"/>
      <c r="H118" s="512"/>
      <c r="I118" s="512"/>
      <c r="J118" s="512"/>
      <c r="K118" s="513"/>
      <c r="L118" s="514"/>
      <c r="M118" s="515"/>
      <c r="N118" s="2519"/>
      <c r="O118" s="2519"/>
      <c r="P118" s="2518"/>
      <c r="Q118" s="2506"/>
      <c r="R118" s="2485"/>
      <c r="S118" s="2485"/>
      <c r="T118" s="2485"/>
      <c r="U118" s="2485"/>
      <c r="V118" s="2485"/>
      <c r="W118" s="2485"/>
      <c r="X118" s="2485"/>
      <c r="Y118" s="2485"/>
      <c r="Z118" s="2485"/>
      <c r="AA118" s="2485"/>
      <c r="AB118" s="2485"/>
      <c r="AC118" s="2485"/>
    </row>
    <row r="119" spans="1:29" ht="15.7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8"/>
      <c r="B120" s="468" t="s">
        <v>1915</v>
      </c>
      <c r="C120" s="484"/>
      <c r="D120" s="484"/>
      <c r="E120" s="484"/>
      <c r="F120" s="512"/>
      <c r="G120" s="512"/>
      <c r="H120" s="512"/>
      <c r="I120" s="512"/>
      <c r="J120" s="512"/>
      <c r="K120" s="513"/>
      <c r="L120" s="514"/>
      <c r="M120" s="515"/>
      <c r="N120" s="2519"/>
      <c r="O120" s="2519"/>
      <c r="P120" s="2518"/>
      <c r="Q120" s="2506"/>
      <c r="R120" s="2485"/>
      <c r="S120" s="2485"/>
      <c r="T120" s="2485"/>
      <c r="U120" s="2485"/>
      <c r="V120" s="2485"/>
      <c r="W120" s="2485"/>
      <c r="X120" s="2485"/>
      <c r="Y120" s="2485"/>
      <c r="Z120" s="2485"/>
      <c r="AA120" s="2485"/>
      <c r="AB120" s="2485"/>
      <c r="AC120" s="2485"/>
    </row>
    <row r="121" spans="1:29" ht="15.7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20"/>
      <c r="O121" s="2520"/>
      <c r="P121" s="2518"/>
      <c r="Q121" s="2506"/>
      <c r="R121" s="2485"/>
      <c r="S121" s="2485"/>
      <c r="T121" s="2485"/>
      <c r="U121" s="2485"/>
      <c r="V121" s="2485"/>
      <c r="W121" s="2485"/>
      <c r="X121" s="2485"/>
      <c r="Y121" s="2485"/>
      <c r="Z121" s="2485"/>
      <c r="AA121" s="2485"/>
      <c r="AB121" s="2485"/>
      <c r="AC121" s="2485"/>
    </row>
    <row r="122" spans="1:29" s="407" customFormat="1" ht="15" thickTop="1">
      <c r="A122" s="405"/>
      <c r="B122" s="468" t="s">
        <v>1916</v>
      </c>
      <c r="C122" s="484"/>
      <c r="D122" s="484"/>
      <c r="E122" s="484"/>
      <c r="F122" s="484"/>
      <c r="G122" s="484"/>
      <c r="H122" s="512"/>
      <c r="I122" s="512"/>
      <c r="J122" s="512"/>
      <c r="K122" s="513"/>
      <c r="L122" s="514"/>
      <c r="M122" s="515"/>
      <c r="N122" s="2521"/>
      <c r="O122" s="2521"/>
      <c r="P122" s="2521"/>
      <c r="Q122" s="2513"/>
      <c r="R122" s="2491"/>
      <c r="S122" s="2491"/>
      <c r="T122" s="2491"/>
      <c r="U122" s="2491"/>
      <c r="V122" s="2491"/>
      <c r="W122" s="2491"/>
      <c r="X122" s="2491"/>
      <c r="Y122" s="2491"/>
      <c r="Z122" s="2491"/>
      <c r="AA122" s="2491"/>
      <c r="AB122" s="2491"/>
      <c r="AC122" s="2491"/>
    </row>
    <row r="123" spans="1:29" s="407" customFormat="1" ht="15.7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8"/>
      <c r="B124" s="468" t="s">
        <v>1917</v>
      </c>
      <c r="C124" s="484"/>
      <c r="D124" s="484"/>
      <c r="E124" s="512"/>
      <c r="F124" s="512"/>
      <c r="G124" s="512"/>
      <c r="H124" s="512"/>
      <c r="I124" s="512"/>
      <c r="J124" s="512"/>
      <c r="K124" s="513"/>
      <c r="L124" s="514"/>
      <c r="M124" s="515"/>
      <c r="N124" s="2519"/>
      <c r="O124" s="2519"/>
      <c r="P124" s="2518"/>
      <c r="Q124" s="2506"/>
      <c r="R124" s="2485"/>
      <c r="S124" s="2485"/>
      <c r="T124" s="2485"/>
      <c r="U124" s="2485"/>
      <c r="V124" s="2485"/>
      <c r="W124" s="2485"/>
      <c r="X124" s="2485"/>
      <c r="Y124" s="2485"/>
      <c r="Z124" s="2485"/>
      <c r="AA124" s="2485"/>
      <c r="AB124" s="2485"/>
      <c r="AC124" s="2485"/>
    </row>
    <row r="125" spans="1:29" ht="15.7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8"/>
      <c r="B126" s="468">
        <f>B43</f>
        <v>111</v>
      </c>
      <c r="C126" s="484"/>
      <c r="D126" s="484"/>
      <c r="E126" s="484"/>
      <c r="F126" s="484"/>
      <c r="G126" s="484"/>
      <c r="H126" s="512"/>
      <c r="I126" s="512"/>
      <c r="J126" s="512"/>
      <c r="K126" s="513"/>
      <c r="L126" s="514"/>
      <c r="M126" s="515"/>
      <c r="N126" s="2519"/>
      <c r="O126" s="2519"/>
      <c r="P126" s="2518"/>
      <c r="Q126" s="2506"/>
      <c r="R126" s="2485"/>
      <c r="S126" s="2485"/>
      <c r="T126" s="2485"/>
      <c r="U126" s="2485"/>
      <c r="V126" s="2485"/>
      <c r="W126" s="2485"/>
      <c r="X126" s="2485"/>
      <c r="Y126" s="2485"/>
      <c r="Z126" s="2485"/>
      <c r="AA126" s="2485"/>
      <c r="AB126" s="2485"/>
      <c r="AC126" s="2485"/>
    </row>
    <row r="127" spans="1:29" ht="15.75" thickBot="1">
      <c r="A127" s="366"/>
      <c r="B127" s="473"/>
      <c r="C127" s="490"/>
      <c r="D127" s="490"/>
      <c r="E127" s="490"/>
      <c r="F127" s="490"/>
      <c r="G127" s="466"/>
      <c r="H127" s="466"/>
      <c r="I127" s="466"/>
      <c r="J127" s="466"/>
      <c r="K127" s="466"/>
      <c r="L127" s="466"/>
      <c r="M127" s="467"/>
      <c r="N127" s="2520"/>
      <c r="O127" s="2520"/>
      <c r="P127" s="2518"/>
      <c r="Q127" s="2506"/>
      <c r="R127" s="2485"/>
      <c r="S127" s="2485"/>
      <c r="T127" s="2485"/>
      <c r="U127" s="2485"/>
      <c r="V127" s="2485"/>
      <c r="W127" s="2485"/>
      <c r="X127" s="2485"/>
      <c r="Y127" s="2485"/>
      <c r="Z127" s="2485"/>
      <c r="AA127" s="2485"/>
      <c r="AB127" s="2485"/>
      <c r="AC127" s="2485"/>
    </row>
    <row r="128" spans="1:29" ht="15" thickTop="1">
      <c r="A128" s="408"/>
      <c r="B128" s="468">
        <f>B44</f>
        <v>111</v>
      </c>
      <c r="C128" s="31"/>
      <c r="D128" s="31"/>
      <c r="E128" s="31"/>
      <c r="F128" s="31"/>
      <c r="G128" s="512"/>
      <c r="H128" s="512"/>
      <c r="I128" s="512"/>
      <c r="J128" s="512"/>
      <c r="K128" s="513"/>
      <c r="L128" s="514"/>
      <c r="M128" s="515"/>
      <c r="N128" s="2519"/>
      <c r="O128" s="2519"/>
      <c r="P128" s="2518"/>
      <c r="Q128" s="2506"/>
      <c r="R128" s="2485"/>
      <c r="S128" s="2485"/>
      <c r="T128" s="2485"/>
      <c r="U128" s="2485"/>
      <c r="V128" s="2485"/>
      <c r="W128" s="2485"/>
      <c r="X128" s="2485"/>
      <c r="Y128" s="2485"/>
      <c r="Z128" s="2485"/>
      <c r="AA128" s="2485"/>
      <c r="AB128" s="2485"/>
      <c r="AC128" s="2485"/>
    </row>
    <row r="129" spans="1:29" ht="15.75" thickBot="1">
      <c r="A129" s="366"/>
      <c r="B129" s="473"/>
      <c r="C129" s="500"/>
      <c r="D129" s="500"/>
      <c r="E129" s="500"/>
      <c r="F129" s="500"/>
      <c r="G129" s="466"/>
      <c r="H129" s="466"/>
      <c r="I129" s="466"/>
      <c r="J129" s="466"/>
      <c r="K129" s="466"/>
      <c r="L129" s="466"/>
      <c r="M129" s="467"/>
      <c r="N129" s="2520"/>
      <c r="O129" s="2520"/>
      <c r="P129" s="2518"/>
      <c r="Q129" s="2506"/>
      <c r="R129" s="2485"/>
      <c r="S129" s="2485"/>
      <c r="T129" s="2485"/>
      <c r="U129" s="2485"/>
      <c r="V129" s="2485"/>
      <c r="W129" s="2485"/>
      <c r="X129" s="2485"/>
      <c r="Y129" s="2485"/>
      <c r="Z129" s="2485"/>
      <c r="AA129" s="2485"/>
      <c r="AB129" s="2485"/>
      <c r="AC129" s="2485"/>
    </row>
    <row r="130" spans="1:29" s="407" customFormat="1" ht="15" thickTop="1">
      <c r="A130" s="405"/>
      <c r="B130" s="468">
        <f>B45</f>
        <v>111</v>
      </c>
      <c r="C130" s="31"/>
      <c r="D130" s="31"/>
      <c r="E130" s="31"/>
      <c r="F130" s="31"/>
      <c r="G130" s="485"/>
      <c r="H130" s="485"/>
      <c r="I130" s="485"/>
      <c r="J130" s="485"/>
      <c r="K130" s="485"/>
      <c r="L130" s="486"/>
      <c r="M130" s="487"/>
      <c r="N130" s="2521"/>
      <c r="O130" s="2521"/>
      <c r="P130" s="2521"/>
      <c r="Q130" s="2513"/>
      <c r="R130" s="2491"/>
      <c r="S130" s="2491"/>
      <c r="T130" s="2491"/>
      <c r="U130" s="2491"/>
      <c r="V130" s="2491"/>
      <c r="W130" s="2491"/>
      <c r="X130" s="2491"/>
      <c r="Y130" s="2491"/>
      <c r="Z130" s="2491"/>
      <c r="AA130" s="2491"/>
      <c r="AB130" s="2491"/>
      <c r="AC130" s="2491"/>
    </row>
    <row r="131" spans="1:29" s="407" customFormat="1" ht="15.75" thickBot="1">
      <c r="A131" s="498"/>
      <c r="B131" s="619"/>
      <c r="C131" s="500"/>
      <c r="D131" s="500"/>
      <c r="E131" s="500"/>
      <c r="F131" s="500"/>
      <c r="G131" s="520"/>
      <c r="H131" s="520"/>
      <c r="I131" s="520"/>
      <c r="J131" s="520"/>
      <c r="K131" s="520"/>
      <c r="L131" s="520"/>
      <c r="M131" s="521"/>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1"/>
      <c r="M3" s="2502"/>
      <c r="N3" s="2502"/>
      <c r="O3" s="2502"/>
      <c r="P3" s="340"/>
      <c r="Q3" s="340"/>
      <c r="R3" s="340"/>
      <c r="S3" s="340"/>
      <c r="T3" s="340"/>
      <c r="U3" s="340"/>
      <c r="V3" s="340"/>
      <c r="W3" s="340"/>
      <c r="X3" s="340"/>
      <c r="Y3" s="340"/>
      <c r="Z3" s="340"/>
      <c r="AA3" s="340"/>
      <c r="AB3" s="675"/>
      <c r="AC3" s="662"/>
    </row>
    <row r="4" spans="1:29" ht="15">
      <c r="A4" s="344" t="s">
        <v>1769</v>
      </c>
      <c r="B4" s="345"/>
      <c r="C4" s="3365" t="s">
        <v>1770</v>
      </c>
      <c r="D4" s="3366"/>
      <c r="E4" s="3367" t="s">
        <v>1771</v>
      </c>
      <c r="F4" s="3368"/>
      <c r="G4" s="3365" t="s">
        <v>1772</v>
      </c>
      <c r="H4" s="3366"/>
      <c r="I4" s="3365" t="s">
        <v>1773</v>
      </c>
      <c r="J4" s="3366"/>
      <c r="K4" s="536" t="s">
        <v>1774</v>
      </c>
      <c r="L4" s="2484"/>
      <c r="M4" s="2485"/>
      <c r="N4" s="2485"/>
      <c r="O4" s="2485"/>
      <c r="P4" s="3369" t="s">
        <v>1775</v>
      </c>
      <c r="Q4" s="3370"/>
      <c r="R4" s="3375" t="s">
        <v>1771</v>
      </c>
      <c r="S4" s="3376"/>
      <c r="T4" s="3375" t="s">
        <v>1772</v>
      </c>
      <c r="U4" s="3376"/>
      <c r="V4" s="3348" t="s">
        <v>1773</v>
      </c>
      <c r="W4" s="3348"/>
      <c r="X4" s="1264"/>
      <c r="Y4" s="3375" t="s">
        <v>1775</v>
      </c>
      <c r="Z4" s="3376"/>
      <c r="AA4" s="3362" t="s">
        <v>1771</v>
      </c>
      <c r="AB4" s="3363" t="s">
        <v>1772</v>
      </c>
      <c r="AC4" s="3362" t="s">
        <v>1773</v>
      </c>
    </row>
    <row r="5" spans="1:29" ht="15">
      <c r="A5" s="347"/>
      <c r="B5" s="348"/>
      <c r="C5" s="3383" t="s">
        <v>1673</v>
      </c>
      <c r="D5" s="3384"/>
      <c r="E5" s="3390" t="s">
        <v>1674</v>
      </c>
      <c r="F5" s="3391"/>
      <c r="G5" s="3383" t="s">
        <v>1675</v>
      </c>
      <c r="H5" s="3384"/>
      <c r="I5" s="3383" t="s">
        <v>1676</v>
      </c>
      <c r="J5" s="3384"/>
      <c r="K5" s="536"/>
      <c r="L5" s="2484"/>
      <c r="M5" s="2485"/>
      <c r="N5" s="2485"/>
      <c r="O5" s="2485"/>
      <c r="P5" s="3371"/>
      <c r="Q5" s="3372"/>
      <c r="R5" s="3377"/>
      <c r="S5" s="3378"/>
      <c r="T5" s="3377"/>
      <c r="U5" s="3378"/>
      <c r="V5" s="3348"/>
      <c r="W5" s="3348"/>
      <c r="X5" s="1264"/>
      <c r="Y5" s="3377"/>
      <c r="Z5" s="3378"/>
      <c r="AA5" s="3363"/>
      <c r="AB5" s="3363"/>
      <c r="AC5" s="3363"/>
    </row>
    <row r="6" spans="1:29" ht="15.75" thickBot="1">
      <c r="A6" s="349"/>
      <c r="B6" s="350"/>
      <c r="C6" s="3435" t="s">
        <v>1919</v>
      </c>
      <c r="D6" s="3436"/>
      <c r="E6" s="3437" t="s">
        <v>1919</v>
      </c>
      <c r="F6" s="3438"/>
      <c r="G6" s="3435" t="s">
        <v>1919</v>
      </c>
      <c r="H6" s="3436"/>
      <c r="I6" s="3435" t="s">
        <v>1919</v>
      </c>
      <c r="J6" s="3436"/>
      <c r="K6" s="536" t="s">
        <v>1678</v>
      </c>
      <c r="L6" s="2484"/>
      <c r="M6" s="2485"/>
      <c r="N6" s="2485"/>
      <c r="O6" s="2485"/>
      <c r="P6" s="3373"/>
      <c r="Q6" s="3374"/>
      <c r="R6" s="3377"/>
      <c r="S6" s="3378"/>
      <c r="T6" s="3379"/>
      <c r="U6" s="3380"/>
      <c r="V6" s="3348"/>
      <c r="W6" s="3348"/>
      <c r="X6" s="1264"/>
      <c r="Y6" s="3379"/>
      <c r="Z6" s="3380"/>
      <c r="AA6" s="3364"/>
      <c r="AB6" s="3364"/>
      <c r="AC6" s="3364"/>
    </row>
    <row r="7" spans="1:29" s="101" customFormat="1" ht="15.75" thickBot="1">
      <c r="A7" s="351" t="s">
        <v>1679</v>
      </c>
      <c r="B7" s="352"/>
      <c r="C7" s="353">
        <f>'数据-取费表'!B2</f>
        <v>45580</v>
      </c>
      <c r="D7" s="354">
        <v>100</v>
      </c>
      <c r="E7" s="355"/>
      <c r="F7" s="356">
        <f>SUMIF(65:65,YEAR(E7)&amp;"-"&amp;INT((MONTH(E7)+2)/3),66:66)</f>
        <v>0</v>
      </c>
      <c r="G7" s="1821"/>
      <c r="H7" s="354">
        <f>SUMIF(65:65,YEAR(G7)&amp;"-"&amp;INT((MONTH(G7)+2)/3),66:66)</f>
        <v>0</v>
      </c>
      <c r="I7" s="1821"/>
      <c r="J7" s="354">
        <f>SUMIF(65:65,YEAR(I7)&amp;"-"&amp;INT((MONTH(I7)+2)/3),66:66)</f>
        <v>0</v>
      </c>
      <c r="K7" s="38"/>
      <c r="L7" s="2486"/>
      <c r="M7" s="2438"/>
      <c r="N7" s="2438"/>
      <c r="O7" s="2438"/>
      <c r="P7" s="3385" t="s">
        <v>1680</v>
      </c>
      <c r="Q7" s="3387"/>
      <c r="R7" s="663" t="s">
        <v>14</v>
      </c>
      <c r="S7" s="664">
        <f t="shared" ref="S7:S15" si="0">F7</f>
        <v>0</v>
      </c>
      <c r="T7" s="663" t="s">
        <v>14</v>
      </c>
      <c r="U7" s="664">
        <f t="shared" ref="U7:U15" si="1">H7</f>
        <v>0</v>
      </c>
      <c r="V7" s="663" t="s">
        <v>14</v>
      </c>
      <c r="W7" s="664">
        <f t="shared" ref="W7:W15" si="2">J7</f>
        <v>0</v>
      </c>
      <c r="X7" s="665"/>
      <c r="Y7" s="3385" t="s">
        <v>1680</v>
      </c>
      <c r="Z7" s="3386"/>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6"/>
      <c r="M8" s="2438"/>
      <c r="N8" s="2438"/>
      <c r="O8" s="2438"/>
      <c r="P8" s="3385" t="s">
        <v>1683</v>
      </c>
      <c r="Q8" s="3386"/>
      <c r="R8" s="663" t="s">
        <v>14</v>
      </c>
      <c r="S8" s="664">
        <f t="shared" si="0"/>
        <v>0</v>
      </c>
      <c r="T8" s="663" t="s">
        <v>14</v>
      </c>
      <c r="U8" s="664">
        <f t="shared" si="1"/>
        <v>0</v>
      </c>
      <c r="V8" s="663" t="s">
        <v>14</v>
      </c>
      <c r="W8" s="664">
        <f t="shared" si="2"/>
        <v>0</v>
      </c>
      <c r="X8" s="665"/>
      <c r="Y8" s="3385" t="s">
        <v>1683</v>
      </c>
      <c r="Z8" s="3386"/>
      <c r="AA8" s="50" t="e">
        <f t="shared" ref="AA8:AA40" si="3">D8/F8</f>
        <v>#DIV/0!</v>
      </c>
      <c r="AB8" s="50" t="e">
        <f t="shared" ref="AB8:AB40" si="4">D8/H8</f>
        <v>#DIV/0!</v>
      </c>
      <c r="AC8" s="50" t="e">
        <f t="shared" ref="AC8:AC40" si="5">D8/J8</f>
        <v>#DIV/0!</v>
      </c>
    </row>
    <row r="9" spans="1:29" s="101" customFormat="1">
      <c r="A9" s="358"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6"/>
      <c r="M9" s="2438"/>
      <c r="N9" s="2438"/>
      <c r="O9" s="2538"/>
      <c r="P9" s="3347" t="s">
        <v>1686</v>
      </c>
      <c r="Q9" s="529" t="str">
        <f t="shared" ref="Q9:Q15" si="6">B9</f>
        <v>用途</v>
      </c>
      <c r="R9" s="663" t="s">
        <v>14</v>
      </c>
      <c r="S9" s="664">
        <f t="shared" si="0"/>
        <v>100</v>
      </c>
      <c r="T9" s="663" t="s">
        <v>14</v>
      </c>
      <c r="U9" s="664">
        <f t="shared" si="1"/>
        <v>100</v>
      </c>
      <c r="V9" s="663" t="s">
        <v>14</v>
      </c>
      <c r="W9" s="664">
        <f t="shared" si="2"/>
        <v>100</v>
      </c>
      <c r="X9" s="665"/>
      <c r="Y9" s="3246"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152</v>
      </c>
      <c r="G10" s="370"/>
      <c r="H10" s="118">
        <f>ROUND(100/'数据-取费表'!G16,0)</f>
        <v>152</v>
      </c>
      <c r="I10" s="370"/>
      <c r="J10" s="118">
        <f>ROUND(100/'数据-取费表'!G16,0)</f>
        <v>152</v>
      </c>
      <c r="K10" s="591"/>
      <c r="L10" s="2487"/>
      <c r="M10" s="2488"/>
      <c r="N10" s="2488"/>
      <c r="O10" s="2539"/>
      <c r="P10" s="3347"/>
      <c r="Q10" s="529" t="str">
        <f t="shared" si="6"/>
        <v>土地使用年限（年）</v>
      </c>
      <c r="R10" s="663" t="s">
        <v>14</v>
      </c>
      <c r="S10" s="664">
        <f t="shared" si="0"/>
        <v>152</v>
      </c>
      <c r="T10" s="663" t="s">
        <v>14</v>
      </c>
      <c r="U10" s="664">
        <f t="shared" si="1"/>
        <v>152</v>
      </c>
      <c r="V10" s="663" t="s">
        <v>14</v>
      </c>
      <c r="W10" s="664">
        <f t="shared" si="2"/>
        <v>152</v>
      </c>
      <c r="X10" s="665"/>
      <c r="Y10" s="3246"/>
      <c r="Z10" s="50" t="str">
        <f t="shared" si="7"/>
        <v>土地使用年限（年）</v>
      </c>
      <c r="AA10" s="50">
        <f t="shared" si="3"/>
        <v>0.65789473684210531</v>
      </c>
      <c r="AB10" s="50">
        <f t="shared" si="4"/>
        <v>0.65789473684210531</v>
      </c>
      <c r="AC10" s="50">
        <f t="shared" si="5"/>
        <v>0.65789473684210531</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9"/>
      <c r="M11" s="2485"/>
      <c r="N11" s="2485"/>
      <c r="O11" s="2540"/>
      <c r="P11" s="3347"/>
      <c r="Q11" s="529" t="str">
        <f t="shared" si="6"/>
        <v>容积率</v>
      </c>
      <c r="R11" s="663" t="s">
        <v>14</v>
      </c>
      <c r="S11" s="664" t="e">
        <f t="shared" si="0"/>
        <v>#N/A</v>
      </c>
      <c r="T11" s="663" t="s">
        <v>14</v>
      </c>
      <c r="U11" s="664" t="e">
        <f t="shared" si="1"/>
        <v>#N/A</v>
      </c>
      <c r="V11" s="663" t="s">
        <v>14</v>
      </c>
      <c r="W11" s="664" t="e">
        <f t="shared" si="2"/>
        <v>#N/A</v>
      </c>
      <c r="X11" s="665"/>
      <c r="Y11" s="3246"/>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6"/>
      <c r="M12" s="2438"/>
      <c r="N12" s="2438"/>
      <c r="O12" s="2538"/>
      <c r="P12" s="3347"/>
      <c r="Q12" s="529">
        <f t="shared" si="6"/>
        <v>111</v>
      </c>
      <c r="R12" s="663" t="s">
        <v>14</v>
      </c>
      <c r="S12" s="664">
        <f t="shared" si="0"/>
        <v>100</v>
      </c>
      <c r="T12" s="663" t="s">
        <v>14</v>
      </c>
      <c r="U12" s="664">
        <f t="shared" si="1"/>
        <v>100</v>
      </c>
      <c r="V12" s="663" t="s">
        <v>14</v>
      </c>
      <c r="W12" s="664">
        <f t="shared" si="2"/>
        <v>100</v>
      </c>
      <c r="X12" s="665"/>
      <c r="Y12" s="3246"/>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0"/>
      <c r="M13" s="2485"/>
      <c r="N13" s="2485"/>
      <c r="O13" s="2540"/>
      <c r="P13" s="3347"/>
      <c r="Q13" s="529">
        <f t="shared" si="6"/>
        <v>111</v>
      </c>
      <c r="R13" s="663" t="s">
        <v>14</v>
      </c>
      <c r="S13" s="664">
        <f t="shared" si="0"/>
        <v>100</v>
      </c>
      <c r="T13" s="663" t="s">
        <v>14</v>
      </c>
      <c r="U13" s="664">
        <f t="shared" si="1"/>
        <v>100</v>
      </c>
      <c r="V13" s="663" t="s">
        <v>14</v>
      </c>
      <c r="W13" s="664">
        <f t="shared" si="2"/>
        <v>100</v>
      </c>
      <c r="X13" s="665"/>
      <c r="Y13" s="3246"/>
      <c r="Z13" s="50">
        <f t="shared" si="7"/>
        <v>111</v>
      </c>
      <c r="AA13" s="50">
        <f t="shared" si="3"/>
        <v>1</v>
      </c>
      <c r="AB13" s="50">
        <f t="shared" si="4"/>
        <v>1</v>
      </c>
      <c r="AC13" s="50">
        <f t="shared" si="5"/>
        <v>1</v>
      </c>
    </row>
    <row r="14" spans="1:29" ht="15.75"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90"/>
      <c r="M14" s="2485"/>
      <c r="N14" s="2485"/>
      <c r="O14" s="2540"/>
      <c r="P14" s="3347"/>
      <c r="Q14" s="529">
        <f t="shared" si="6"/>
        <v>111</v>
      </c>
      <c r="R14" s="663" t="s">
        <v>14</v>
      </c>
      <c r="S14" s="664">
        <f t="shared" si="0"/>
        <v>100</v>
      </c>
      <c r="T14" s="663" t="s">
        <v>14</v>
      </c>
      <c r="U14" s="664">
        <f t="shared" si="1"/>
        <v>100</v>
      </c>
      <c r="V14" s="663" t="s">
        <v>14</v>
      </c>
      <c r="W14" s="664">
        <f t="shared" si="2"/>
        <v>100</v>
      </c>
      <c r="X14" s="665"/>
      <c r="Y14" s="3246"/>
      <c r="Z14" s="50">
        <f t="shared" si="7"/>
        <v>111</v>
      </c>
      <c r="AA14" s="50">
        <f t="shared" si="3"/>
        <v>1</v>
      </c>
      <c r="AB14" s="50">
        <f t="shared" si="4"/>
        <v>1</v>
      </c>
      <c r="AC14" s="50">
        <f t="shared" si="5"/>
        <v>1</v>
      </c>
    </row>
    <row r="15" spans="1:29" ht="57">
      <c r="A15" s="378" t="s">
        <v>1690</v>
      </c>
      <c r="B15" s="553" t="s">
        <v>1920</v>
      </c>
      <c r="C15" s="1818"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90"/>
      <c r="M15" s="2485"/>
      <c r="N15" s="2485"/>
      <c r="O15" s="2540"/>
      <c r="P15" s="3354" t="s">
        <v>1691</v>
      </c>
      <c r="Q15" s="1262" t="str">
        <f t="shared" si="6"/>
        <v>产业集聚程度</v>
      </c>
      <c r="R15" s="666" t="s">
        <v>14</v>
      </c>
      <c r="S15" s="667">
        <f t="shared" si="0"/>
        <v>100</v>
      </c>
      <c r="T15" s="666" t="s">
        <v>14</v>
      </c>
      <c r="U15" s="667">
        <f t="shared" si="1"/>
        <v>100</v>
      </c>
      <c r="V15" s="666" t="s">
        <v>14</v>
      </c>
      <c r="W15" s="667">
        <f t="shared" si="2"/>
        <v>100</v>
      </c>
      <c r="X15" s="1264"/>
      <c r="Y15" s="3354" t="s">
        <v>1691</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90"/>
      <c r="M16" s="2485"/>
      <c r="N16" s="2485"/>
      <c r="O16" s="2540"/>
      <c r="P16" s="3355"/>
      <c r="Q16" s="1262"/>
      <c r="R16" s="666"/>
      <c r="S16" s="667"/>
      <c r="T16" s="666"/>
      <c r="U16" s="667"/>
      <c r="V16" s="666"/>
      <c r="W16" s="667"/>
      <c r="X16" s="1264"/>
      <c r="Y16" s="3355"/>
      <c r="Z16" s="1263"/>
      <c r="AA16" s="1263">
        <v>1</v>
      </c>
      <c r="AB16" s="1263">
        <v>1</v>
      </c>
      <c r="AC16" s="1263">
        <v>1</v>
      </c>
    </row>
    <row r="17" spans="1:29" ht="85.5">
      <c r="A17" s="366"/>
      <c r="B17" s="555" t="s">
        <v>1833</v>
      </c>
      <c r="C17" s="1753"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90"/>
      <c r="M17" s="2485"/>
      <c r="N17" s="2485"/>
      <c r="O17" s="2540"/>
      <c r="P17" s="3355"/>
      <c r="Q17" s="1262" t="str">
        <f>B17</f>
        <v>交通便捷度</v>
      </c>
      <c r="R17" s="666" t="s">
        <v>14</v>
      </c>
      <c r="S17" s="667">
        <f>F17</f>
        <v>100</v>
      </c>
      <c r="T17" s="666" t="s">
        <v>14</v>
      </c>
      <c r="U17" s="667">
        <f>H17</f>
        <v>100</v>
      </c>
      <c r="V17" s="666" t="s">
        <v>14</v>
      </c>
      <c r="W17" s="667">
        <f>J17</f>
        <v>100</v>
      </c>
      <c r="X17" s="1264"/>
      <c r="Y17" s="3355"/>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90"/>
      <c r="M18" s="2485"/>
      <c r="N18" s="2485"/>
      <c r="O18" s="2540"/>
      <c r="P18" s="3355"/>
      <c r="Q18" s="1262"/>
      <c r="R18" s="666"/>
      <c r="S18" s="667"/>
      <c r="T18" s="666"/>
      <c r="U18" s="667"/>
      <c r="V18" s="666"/>
      <c r="W18" s="667"/>
      <c r="X18" s="1264"/>
      <c r="Y18" s="3355"/>
      <c r="Z18" s="1263"/>
      <c r="AA18" s="1263">
        <v>1</v>
      </c>
      <c r="AB18" s="1263">
        <v>1</v>
      </c>
      <c r="AC18" s="1263">
        <v>1</v>
      </c>
    </row>
    <row r="19" spans="1:29" ht="15">
      <c r="A19" s="366"/>
      <c r="B19" s="555" t="s">
        <v>1871</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0"/>
      <c r="M19" s="2485"/>
      <c r="N19" s="2485"/>
      <c r="O19" s="2540"/>
      <c r="P19" s="3355"/>
      <c r="Q19" s="1262" t="str">
        <f t="shared" ref="Q19:Q33" si="8">B19</f>
        <v>区域土地利用方向</v>
      </c>
      <c r="R19" s="666" t="s">
        <v>14</v>
      </c>
      <c r="S19" s="667">
        <f>F19</f>
        <v>100</v>
      </c>
      <c r="T19" s="666" t="s">
        <v>14</v>
      </c>
      <c r="U19" s="667">
        <f>H19</f>
        <v>100</v>
      </c>
      <c r="V19" s="666" t="s">
        <v>14</v>
      </c>
      <c r="W19" s="667">
        <f>J19</f>
        <v>100</v>
      </c>
      <c r="X19" s="1264"/>
      <c r="Y19" s="3355"/>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90"/>
      <c r="M20" s="2485"/>
      <c r="N20" s="2485"/>
      <c r="O20" s="2540"/>
      <c r="P20" s="3355"/>
      <c r="Q20" s="1262"/>
      <c r="R20" s="666"/>
      <c r="S20" s="667"/>
      <c r="T20" s="666"/>
      <c r="U20" s="667"/>
      <c r="V20" s="666"/>
      <c r="W20" s="667"/>
      <c r="X20" s="1264"/>
      <c r="Y20" s="3355"/>
      <c r="Z20" s="1263"/>
      <c r="AA20" s="1263"/>
      <c r="AB20" s="1263"/>
      <c r="AC20" s="1263"/>
    </row>
    <row r="21" spans="1:29" ht="71.25">
      <c r="A21" s="347"/>
      <c r="B21" s="555" t="s">
        <v>1921</v>
      </c>
      <c r="C21" s="1753"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90"/>
      <c r="M21" s="2485"/>
      <c r="N21" s="2485"/>
      <c r="O21" s="2540"/>
      <c r="P21" s="3355"/>
      <c r="Q21" s="1262" t="str">
        <f t="shared" si="8"/>
        <v>环境状况</v>
      </c>
      <c r="R21" s="666" t="s">
        <v>14</v>
      </c>
      <c r="S21" s="667">
        <f>F21</f>
        <v>100</v>
      </c>
      <c r="T21" s="666" t="s">
        <v>14</v>
      </c>
      <c r="U21" s="667">
        <f>H21</f>
        <v>100</v>
      </c>
      <c r="V21" s="666" t="s">
        <v>14</v>
      </c>
      <c r="W21" s="667">
        <f>J21</f>
        <v>100</v>
      </c>
      <c r="X21" s="1264"/>
      <c r="Y21" s="3355"/>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90"/>
      <c r="M22" s="2485"/>
      <c r="N22" s="2485"/>
      <c r="O22" s="2540"/>
      <c r="P22" s="3355"/>
      <c r="Q22" s="1262"/>
      <c r="R22" s="666"/>
      <c r="S22" s="667"/>
      <c r="T22" s="666"/>
      <c r="U22" s="667"/>
      <c r="V22" s="666"/>
      <c r="W22" s="667"/>
      <c r="X22" s="1264"/>
      <c r="Y22" s="3355"/>
      <c r="Z22" s="1263"/>
      <c r="AA22" s="1263">
        <v>1</v>
      </c>
      <c r="AB22" s="1263">
        <v>1</v>
      </c>
      <c r="AC22" s="1263">
        <v>1</v>
      </c>
    </row>
    <row r="23" spans="1:29" s="101" customFormat="1" ht="42.75">
      <c r="A23" s="442"/>
      <c r="B23" s="556" t="s">
        <v>1778</v>
      </c>
      <c r="C23" s="1753"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6"/>
      <c r="M23" s="2438"/>
      <c r="N23" s="2438"/>
      <c r="O23" s="2538"/>
      <c r="P23" s="3355"/>
      <c r="Q23" s="529" t="str">
        <f t="shared" si="8"/>
        <v>公共配套设施</v>
      </c>
      <c r="R23" s="663" t="s">
        <v>14</v>
      </c>
      <c r="S23" s="664">
        <f>F23</f>
        <v>100</v>
      </c>
      <c r="T23" s="663" t="s">
        <v>14</v>
      </c>
      <c r="U23" s="664">
        <f>H23</f>
        <v>100</v>
      </c>
      <c r="V23" s="663" t="s">
        <v>14</v>
      </c>
      <c r="W23" s="664">
        <f>J23</f>
        <v>100</v>
      </c>
      <c r="X23" s="665"/>
      <c r="Y23" s="3355"/>
      <c r="Z23" s="50" t="str">
        <f>Q23</f>
        <v>公共配套设施</v>
      </c>
      <c r="AA23" s="1263">
        <f>D23/F23</f>
        <v>1</v>
      </c>
      <c r="AB23" s="1263">
        <f>D23/H23</f>
        <v>1</v>
      </c>
      <c r="AC23" s="1263">
        <f>D23/J23</f>
        <v>1</v>
      </c>
    </row>
    <row r="24" spans="1:29" s="101" customFormat="1" ht="15">
      <c r="A24" s="442"/>
      <c r="B24" s="400"/>
      <c r="C24" s="1825"/>
      <c r="D24" s="386"/>
      <c r="E24" s="1757"/>
      <c r="F24" s="386"/>
      <c r="G24" s="1757"/>
      <c r="H24" s="386"/>
      <c r="I24" s="385"/>
      <c r="J24" s="386"/>
      <c r="K24" s="591"/>
      <c r="L24" s="2486"/>
      <c r="M24" s="2438"/>
      <c r="N24" s="2438"/>
      <c r="O24" s="2538"/>
      <c r="P24" s="3355"/>
      <c r="Q24" s="529"/>
      <c r="R24" s="663"/>
      <c r="S24" s="664"/>
      <c r="T24" s="663"/>
      <c r="U24" s="664"/>
      <c r="V24" s="663"/>
      <c r="W24" s="664"/>
      <c r="X24" s="665"/>
      <c r="Y24" s="3355"/>
      <c r="Z24" s="50"/>
      <c r="AA24" s="50">
        <v>1</v>
      </c>
      <c r="AB24" s="50">
        <v>1</v>
      </c>
      <c r="AC24" s="50">
        <v>1</v>
      </c>
    </row>
    <row r="25" spans="1:29" s="101" customFormat="1" ht="28.5">
      <c r="A25" s="442"/>
      <c r="B25" s="556" t="s">
        <v>1779</v>
      </c>
      <c r="C25" s="1753"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6"/>
      <c r="M25" s="2438"/>
      <c r="N25" s="2438"/>
      <c r="O25" s="2538"/>
      <c r="P25" s="3355"/>
      <c r="Q25" s="529" t="str">
        <f t="shared" ref="Q25" si="9">B25</f>
        <v>基础设施水平</v>
      </c>
      <c r="R25" s="663" t="s">
        <v>14</v>
      </c>
      <c r="S25" s="664">
        <f>F25</f>
        <v>100</v>
      </c>
      <c r="T25" s="663" t="s">
        <v>14</v>
      </c>
      <c r="U25" s="664">
        <f>H25</f>
        <v>100</v>
      </c>
      <c r="V25" s="663" t="s">
        <v>14</v>
      </c>
      <c r="W25" s="664">
        <f>J25</f>
        <v>100</v>
      </c>
      <c r="X25" s="665"/>
      <c r="Y25" s="3355"/>
      <c r="Z25" s="50" t="str">
        <f>Q25</f>
        <v>基础设施水平</v>
      </c>
      <c r="AA25" s="1263">
        <f>D25/F25</f>
        <v>1</v>
      </c>
      <c r="AB25" s="1263">
        <f>D25/H25</f>
        <v>1</v>
      </c>
      <c r="AC25" s="1263">
        <f>D25/J25</f>
        <v>1</v>
      </c>
    </row>
    <row r="26" spans="1:29" s="101" customFormat="1" ht="15">
      <c r="A26" s="442"/>
      <c r="B26" s="400"/>
      <c r="C26" s="1825"/>
      <c r="D26" s="386"/>
      <c r="E26" s="1826"/>
      <c r="F26" s="386"/>
      <c r="G26" s="1826"/>
      <c r="H26" s="386"/>
      <c r="I26" s="1826"/>
      <c r="J26" s="386"/>
      <c r="K26" s="591"/>
      <c r="L26" s="2486"/>
      <c r="M26" s="2438"/>
      <c r="N26" s="2438"/>
      <c r="O26" s="2538"/>
      <c r="P26" s="3355"/>
      <c r="Q26" s="529"/>
      <c r="R26" s="663"/>
      <c r="S26" s="664"/>
      <c r="T26" s="663"/>
      <c r="U26" s="664"/>
      <c r="V26" s="663"/>
      <c r="W26" s="664"/>
      <c r="X26" s="665"/>
      <c r="Y26" s="3355"/>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90"/>
      <c r="M27" s="2485"/>
      <c r="N27" s="2485"/>
      <c r="O27" s="2540"/>
      <c r="P27" s="3355"/>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55"/>
      <c r="Z27" s="1263" t="str">
        <f t="shared" ref="Z27:Z40" si="13">Q27</f>
        <v>临街状况</v>
      </c>
      <c r="AA27" s="1263">
        <f t="shared" si="3"/>
        <v>1</v>
      </c>
      <c r="AB27" s="1263">
        <f t="shared" si="4"/>
        <v>1</v>
      </c>
      <c r="AC27" s="1263">
        <f t="shared" si="5"/>
        <v>1</v>
      </c>
    </row>
    <row r="28" spans="1:29" ht="27">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0"/>
      <c r="M28" s="2485"/>
      <c r="N28" s="2485"/>
      <c r="O28" s="2540"/>
      <c r="P28" s="3355"/>
      <c r="Q28" s="1262" t="str">
        <f t="shared" si="8"/>
        <v>毗邻道路的类型与等级</v>
      </c>
      <c r="R28" s="666" t="s">
        <v>14</v>
      </c>
      <c r="S28" s="667">
        <f t="shared" si="10"/>
        <v>100</v>
      </c>
      <c r="T28" s="666" t="s">
        <v>14</v>
      </c>
      <c r="U28" s="667">
        <f t="shared" si="11"/>
        <v>100</v>
      </c>
      <c r="V28" s="666" t="s">
        <v>14</v>
      </c>
      <c r="W28" s="667">
        <f t="shared" si="12"/>
        <v>100</v>
      </c>
      <c r="X28" s="1264"/>
      <c r="Y28" s="3355"/>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90"/>
      <c r="M29" s="2485"/>
      <c r="N29" s="2485"/>
      <c r="O29" s="2540"/>
      <c r="P29" s="3355"/>
      <c r="Q29" s="1262"/>
      <c r="R29" s="666"/>
      <c r="S29" s="667"/>
      <c r="T29" s="666"/>
      <c r="U29" s="667"/>
      <c r="V29" s="666"/>
      <c r="W29" s="667"/>
      <c r="X29" s="1264"/>
      <c r="Y29" s="3355"/>
      <c r="Z29" s="1263"/>
      <c r="AA29" s="1263">
        <v>1</v>
      </c>
      <c r="AB29" s="1263">
        <v>1</v>
      </c>
      <c r="AC29" s="1263">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0"/>
      <c r="M30" s="2485"/>
      <c r="N30" s="2485"/>
      <c r="O30" s="2540"/>
      <c r="P30" s="3355"/>
      <c r="Q30" s="1262" t="str">
        <f t="shared" si="8"/>
        <v>土地级别</v>
      </c>
      <c r="R30" s="666" t="s">
        <v>14</v>
      </c>
      <c r="S30" s="667">
        <f t="shared" si="10"/>
        <v>100</v>
      </c>
      <c r="T30" s="666" t="s">
        <v>14</v>
      </c>
      <c r="U30" s="667">
        <f t="shared" si="11"/>
        <v>100</v>
      </c>
      <c r="V30" s="666" t="s">
        <v>14</v>
      </c>
      <c r="W30" s="667">
        <f t="shared" si="12"/>
        <v>100</v>
      </c>
      <c r="X30" s="1264"/>
      <c r="Y30" s="3355"/>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0"/>
      <c r="M31" s="2485"/>
      <c r="N31" s="2485"/>
      <c r="O31" s="2540"/>
      <c r="P31" s="3355"/>
      <c r="Q31" s="1262">
        <f t="shared" si="8"/>
        <v>111</v>
      </c>
      <c r="R31" s="666" t="s">
        <v>14</v>
      </c>
      <c r="S31" s="667">
        <f t="shared" si="10"/>
        <v>100</v>
      </c>
      <c r="T31" s="666" t="s">
        <v>14</v>
      </c>
      <c r="U31" s="667">
        <f t="shared" si="11"/>
        <v>100</v>
      </c>
      <c r="V31" s="666" t="s">
        <v>14</v>
      </c>
      <c r="W31" s="667">
        <f t="shared" si="12"/>
        <v>100</v>
      </c>
      <c r="X31" s="1264"/>
      <c r="Y31" s="3355"/>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0"/>
      <c r="M32" s="2485"/>
      <c r="N32" s="2485"/>
      <c r="O32" s="2540"/>
      <c r="P32" s="3430" t="s">
        <v>1696</v>
      </c>
      <c r="Q32" s="1262">
        <f t="shared" si="8"/>
        <v>111</v>
      </c>
      <c r="R32" s="666" t="s">
        <v>14</v>
      </c>
      <c r="S32" s="667">
        <f t="shared" si="10"/>
        <v>100</v>
      </c>
      <c r="T32" s="666" t="s">
        <v>14</v>
      </c>
      <c r="U32" s="667">
        <f t="shared" si="11"/>
        <v>100</v>
      </c>
      <c r="V32" s="666" t="s">
        <v>14</v>
      </c>
      <c r="W32" s="667">
        <f t="shared" si="12"/>
        <v>100</v>
      </c>
      <c r="X32" s="1264"/>
      <c r="Y32" s="3359" t="s">
        <v>1696</v>
      </c>
      <c r="Z32" s="1263">
        <f t="shared" si="13"/>
        <v>111</v>
      </c>
      <c r="AA32" s="1263">
        <f t="shared" si="3"/>
        <v>1</v>
      </c>
      <c r="AB32" s="1263">
        <f t="shared" si="4"/>
        <v>1</v>
      </c>
      <c r="AC32" s="1263">
        <f t="shared" si="5"/>
        <v>1</v>
      </c>
    </row>
    <row r="33" spans="1:31" s="407" customFormat="1" ht="15.75"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9"/>
      <c r="M33" s="2491"/>
      <c r="N33" s="2491"/>
      <c r="O33" s="2541"/>
      <c r="P33" s="3359"/>
      <c r="Q33" s="1262">
        <f t="shared" si="8"/>
        <v>111</v>
      </c>
      <c r="R33" s="668" t="s">
        <v>14</v>
      </c>
      <c r="S33" s="669">
        <f t="shared" si="10"/>
        <v>100</v>
      </c>
      <c r="T33" s="668" t="s">
        <v>14</v>
      </c>
      <c r="U33" s="669">
        <f t="shared" si="11"/>
        <v>100</v>
      </c>
      <c r="V33" s="668" t="s">
        <v>14</v>
      </c>
      <c r="W33" s="669">
        <f t="shared" si="12"/>
        <v>100</v>
      </c>
      <c r="X33" s="670"/>
      <c r="Y33" s="3359"/>
      <c r="Z33" s="671">
        <f t="shared" si="13"/>
        <v>111</v>
      </c>
      <c r="AA33" s="1263">
        <f t="shared" si="3"/>
        <v>1</v>
      </c>
      <c r="AB33" s="1263">
        <f t="shared" si="4"/>
        <v>1</v>
      </c>
      <c r="AC33" s="1263">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0"/>
      <c r="M34" s="2485"/>
      <c r="N34" s="2485"/>
      <c r="O34" s="2540"/>
      <c r="P34" s="3359"/>
      <c r="Q34" s="1262" t="str">
        <f>B34</f>
        <v>宗地面积</v>
      </c>
      <c r="R34" s="666" t="s">
        <v>14</v>
      </c>
      <c r="S34" s="667" t="e">
        <f t="shared" si="10"/>
        <v>#N/A</v>
      </c>
      <c r="T34" s="666" t="s">
        <v>14</v>
      </c>
      <c r="U34" s="667" t="e">
        <f t="shared" si="11"/>
        <v>#N/A</v>
      </c>
      <c r="V34" s="666" t="s">
        <v>14</v>
      </c>
      <c r="W34" s="667" t="e">
        <f t="shared" si="12"/>
        <v>#N/A</v>
      </c>
      <c r="X34" s="1264"/>
      <c r="Y34" s="3359"/>
      <c r="Z34" s="1263" t="str">
        <f t="shared" si="13"/>
        <v>宗地面积</v>
      </c>
      <c r="AA34" s="1263" t="e">
        <f t="shared" si="3"/>
        <v>#N/A</v>
      </c>
      <c r="AB34" s="1263" t="e">
        <f t="shared" si="4"/>
        <v>#N/A</v>
      </c>
      <c r="AC34" s="1263" t="e">
        <f t="shared" si="5"/>
        <v>#N/A</v>
      </c>
    </row>
    <row r="35" spans="1:31" ht="15">
      <c r="A35" s="408"/>
      <c r="B35" s="363" t="s">
        <v>1875</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90"/>
      <c r="M35" s="2485"/>
      <c r="N35" s="2485"/>
      <c r="O35" s="2540"/>
      <c r="P35" s="3359"/>
      <c r="Q35" s="1262" t="str">
        <f t="shared" ref="Q35:Q40" si="14">B35</f>
        <v>宗地形状</v>
      </c>
      <c r="R35" s="666" t="s">
        <v>14</v>
      </c>
      <c r="S35" s="667">
        <f t="shared" si="10"/>
        <v>100</v>
      </c>
      <c r="T35" s="666" t="s">
        <v>14</v>
      </c>
      <c r="U35" s="667">
        <f t="shared" si="11"/>
        <v>100</v>
      </c>
      <c r="V35" s="666" t="s">
        <v>14</v>
      </c>
      <c r="W35" s="667">
        <f t="shared" si="12"/>
        <v>100</v>
      </c>
      <c r="X35" s="1264"/>
      <c r="Y35" s="3359"/>
      <c r="Z35" s="1263" t="str">
        <f t="shared" si="13"/>
        <v>宗地形状</v>
      </c>
      <c r="AA35" s="1263">
        <f t="shared" si="3"/>
        <v>1</v>
      </c>
      <c r="AB35" s="1263">
        <f t="shared" si="4"/>
        <v>1</v>
      </c>
      <c r="AC35" s="1263">
        <f t="shared" si="5"/>
        <v>1</v>
      </c>
    </row>
    <row r="36" spans="1:31" s="101" customFormat="1" ht="15">
      <c r="A36" s="409"/>
      <c r="B36" s="363" t="s">
        <v>1877</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6"/>
      <c r="M36" s="2438"/>
      <c r="N36" s="2438"/>
      <c r="O36" s="2538"/>
      <c r="P36" s="3359"/>
      <c r="Q36" s="1262" t="str">
        <f t="shared" si="14"/>
        <v>宗地开发程度</v>
      </c>
      <c r="R36" s="663" t="s">
        <v>14</v>
      </c>
      <c r="S36" s="664">
        <f t="shared" si="10"/>
        <v>100</v>
      </c>
      <c r="T36" s="663" t="s">
        <v>14</v>
      </c>
      <c r="U36" s="664">
        <f t="shared" si="11"/>
        <v>100</v>
      </c>
      <c r="V36" s="663" t="s">
        <v>14</v>
      </c>
      <c r="W36" s="664">
        <f t="shared" si="12"/>
        <v>100</v>
      </c>
      <c r="X36" s="665"/>
      <c r="Y36" s="3359"/>
      <c r="Z36" s="50" t="str">
        <f t="shared" si="13"/>
        <v>宗地开发程度</v>
      </c>
      <c r="AA36" s="50">
        <f t="shared" si="3"/>
        <v>1</v>
      </c>
      <c r="AB36" s="50">
        <f t="shared" si="4"/>
        <v>1</v>
      </c>
      <c r="AC36" s="50">
        <f t="shared" si="5"/>
        <v>1</v>
      </c>
    </row>
    <row r="37" spans="1:31" ht="15">
      <c r="A37" s="408"/>
      <c r="B37" s="363" t="s">
        <v>1878</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90"/>
      <c r="M37" s="2485"/>
      <c r="N37" s="2485"/>
      <c r="O37" s="2540"/>
      <c r="P37" s="3359" t="s">
        <v>1696</v>
      </c>
      <c r="Q37" s="1262" t="str">
        <f t="shared" si="14"/>
        <v>工程地质条件</v>
      </c>
      <c r="R37" s="666" t="s">
        <v>14</v>
      </c>
      <c r="S37" s="667">
        <f t="shared" si="10"/>
        <v>100</v>
      </c>
      <c r="T37" s="666" t="s">
        <v>14</v>
      </c>
      <c r="U37" s="667">
        <f t="shared" si="11"/>
        <v>100</v>
      </c>
      <c r="V37" s="666" t="s">
        <v>14</v>
      </c>
      <c r="W37" s="667">
        <f t="shared" si="12"/>
        <v>100</v>
      </c>
      <c r="X37" s="1264"/>
      <c r="Y37" s="3359"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0"/>
      <c r="M38" s="2485"/>
      <c r="N38" s="2485"/>
      <c r="O38" s="2540"/>
      <c r="P38" s="3359"/>
      <c r="Q38" s="1262">
        <f t="shared" si="14"/>
        <v>111</v>
      </c>
      <c r="R38" s="666" t="s">
        <v>14</v>
      </c>
      <c r="S38" s="667">
        <f t="shared" si="10"/>
        <v>100</v>
      </c>
      <c r="T38" s="666" t="s">
        <v>14</v>
      </c>
      <c r="U38" s="667">
        <f t="shared" si="11"/>
        <v>100</v>
      </c>
      <c r="V38" s="666" t="s">
        <v>14</v>
      </c>
      <c r="W38" s="667">
        <f t="shared" si="12"/>
        <v>100</v>
      </c>
      <c r="X38" s="1264"/>
      <c r="Y38" s="3359"/>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0"/>
      <c r="M39" s="2485"/>
      <c r="N39" s="2485"/>
      <c r="O39" s="2540"/>
      <c r="P39" s="3359"/>
      <c r="Q39" s="1262">
        <f t="shared" si="14"/>
        <v>111</v>
      </c>
      <c r="R39" s="666" t="s">
        <v>14</v>
      </c>
      <c r="S39" s="667">
        <f t="shared" si="10"/>
        <v>100</v>
      </c>
      <c r="T39" s="666" t="s">
        <v>14</v>
      </c>
      <c r="U39" s="667">
        <f t="shared" si="11"/>
        <v>100</v>
      </c>
      <c r="V39" s="666" t="s">
        <v>14</v>
      </c>
      <c r="W39" s="667">
        <f t="shared" si="12"/>
        <v>100</v>
      </c>
      <c r="X39" s="1264"/>
      <c r="Y39" s="3359"/>
      <c r="Z39" s="1263">
        <f t="shared" si="13"/>
        <v>111</v>
      </c>
      <c r="AA39" s="1263">
        <f t="shared" si="3"/>
        <v>1</v>
      </c>
      <c r="AB39" s="1263">
        <f t="shared" si="4"/>
        <v>1</v>
      </c>
      <c r="AC39" s="1263">
        <f t="shared" si="5"/>
        <v>1</v>
      </c>
    </row>
    <row r="40" spans="1:31" s="407" customFormat="1" ht="15.75"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89"/>
      <c r="M40" s="2491"/>
      <c r="N40" s="2491"/>
      <c r="O40" s="2541"/>
      <c r="P40" s="3359"/>
      <c r="Q40" s="1262">
        <f t="shared" si="14"/>
        <v>111</v>
      </c>
      <c r="R40" s="668" t="s">
        <v>14</v>
      </c>
      <c r="S40" s="669">
        <f t="shared" si="10"/>
        <v>100</v>
      </c>
      <c r="T40" s="668" t="s">
        <v>14</v>
      </c>
      <c r="U40" s="669">
        <f t="shared" si="11"/>
        <v>100</v>
      </c>
      <c r="V40" s="668" t="s">
        <v>14</v>
      </c>
      <c r="W40" s="669">
        <f t="shared" si="12"/>
        <v>100</v>
      </c>
      <c r="X40" s="670"/>
      <c r="Y40" s="3359"/>
      <c r="Z40" s="671">
        <f t="shared" si="13"/>
        <v>111</v>
      </c>
      <c r="AA40" s="1263">
        <f t="shared" si="3"/>
        <v>1</v>
      </c>
      <c r="AB40" s="1263">
        <f t="shared" si="4"/>
        <v>1</v>
      </c>
      <c r="AC40" s="1263">
        <f t="shared" si="5"/>
        <v>1</v>
      </c>
    </row>
    <row r="41" spans="1:31" ht="15">
      <c r="A41" s="415" t="s">
        <v>1844</v>
      </c>
      <c r="B41" s="1829" t="s">
        <v>1922</v>
      </c>
      <c r="C41" s="601" t="s">
        <v>0</v>
      </c>
      <c r="D41" s="417"/>
      <c r="E41" s="418"/>
      <c r="F41" s="419"/>
      <c r="G41" s="420"/>
      <c r="H41" s="421"/>
      <c r="I41" s="418"/>
      <c r="J41" s="421"/>
      <c r="K41" s="673"/>
      <c r="L41" s="2492"/>
      <c r="M41" s="2485"/>
      <c r="N41" s="2485"/>
      <c r="O41" s="2485"/>
      <c r="P41" s="3347" t="str">
        <f>A41</f>
        <v>成交单价</v>
      </c>
      <c r="Q41" s="3347"/>
      <c r="R41" s="3348">
        <f>E41</f>
        <v>0</v>
      </c>
      <c r="S41" s="3348"/>
      <c r="T41" s="3348">
        <f>G41</f>
        <v>0</v>
      </c>
      <c r="U41" s="3348"/>
      <c r="V41" s="3348">
        <f>I41</f>
        <v>0</v>
      </c>
      <c r="W41" s="3348"/>
      <c r="X41" s="384"/>
      <c r="Y41" s="672"/>
      <c r="Z41" s="384"/>
      <c r="AA41" s="384"/>
      <c r="AB41" s="384"/>
      <c r="AC41" s="384"/>
    </row>
    <row r="42" spans="1:31" ht="15.75" thickBot="1">
      <c r="A42" s="422" t="s">
        <v>1793</v>
      </c>
      <c r="B42" s="602"/>
      <c r="C42" s="425" t="e">
        <f>R43</f>
        <v>#DIV/0!</v>
      </c>
      <c r="D42" s="2140" t="s">
        <v>2138</v>
      </c>
      <c r="E42" s="425" t="e">
        <f>R42</f>
        <v>#DIV/0!</v>
      </c>
      <c r="F42" s="2141"/>
      <c r="G42" s="424" t="e">
        <f>T42</f>
        <v>#DIV/0!</v>
      </c>
      <c r="H42" s="2141"/>
      <c r="I42" s="425" t="e">
        <f>V42</f>
        <v>#DIV/0!</v>
      </c>
      <c r="J42" s="2141"/>
      <c r="K42" s="2143">
        <f>F42+H42+J42</f>
        <v>0</v>
      </c>
      <c r="L42" s="2492"/>
      <c r="M42" s="2485"/>
      <c r="N42" s="2485"/>
      <c r="O42" s="2485"/>
      <c r="P42" s="3347" t="str">
        <f>A42</f>
        <v>比较价值（元/平方米）</v>
      </c>
      <c r="Q42" s="3347"/>
      <c r="R42" s="3432" t="e">
        <f>ROUND(PRODUCT(R41,AA7:AA40),0)</f>
        <v>#DIV/0!</v>
      </c>
      <c r="S42" s="3432"/>
      <c r="T42" s="3432" t="e">
        <f>ROUND(PRODUCT(T41,AB7:AB40),0)</f>
        <v>#DIV/0!</v>
      </c>
      <c r="U42" s="3432"/>
      <c r="V42" s="3432" t="e">
        <f>ROUND(PRODUCT(V41,AC7:AC40),0)</f>
        <v>#DIV/0!</v>
      </c>
      <c r="W42" s="3432"/>
      <c r="X42" s="384"/>
      <c r="Y42" s="384"/>
      <c r="Z42" s="384"/>
      <c r="AA42" s="384"/>
      <c r="AB42" s="384"/>
      <c r="AC42" s="384"/>
    </row>
    <row r="43" spans="1:31" ht="15.75" thickBot="1">
      <c r="A43" s="426" t="s">
        <v>1794</v>
      </c>
      <c r="B43" s="427"/>
      <c r="C43" s="428" t="e">
        <f>R43</f>
        <v>#DIV/0!</v>
      </c>
      <c r="D43" s="428"/>
      <c r="E43" s="428"/>
      <c r="F43" s="428"/>
      <c r="G43" s="428"/>
      <c r="H43" s="428"/>
      <c r="I43" s="428"/>
      <c r="J43" s="428"/>
      <c r="K43" s="674"/>
      <c r="L43" s="2492"/>
      <c r="M43" s="2485"/>
      <c r="N43" s="2485"/>
      <c r="O43" s="2485"/>
      <c r="P43" s="3349" t="str">
        <f>A43</f>
        <v>估价对象XX用房的比较价值（楼面单价，元/平方米）</v>
      </c>
      <c r="Q43" s="3350"/>
      <c r="R43" s="3433" t="e">
        <f>ROUND(IF(D42="简单平均",AVERAGE(R42:W42),R42*F42+T42*H42+V42*J42),0)</f>
        <v>#DIV/0!</v>
      </c>
      <c r="S43" s="3433"/>
      <c r="T43" s="3433"/>
      <c r="U43" s="3433"/>
      <c r="V43" s="3433"/>
      <c r="W43" s="3433"/>
      <c r="X43" s="384"/>
      <c r="Y43" s="384"/>
      <c r="Z43" s="384"/>
      <c r="AA43" s="384"/>
      <c r="AB43" s="384"/>
      <c r="AC43" s="384"/>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6" customFormat="1" ht="13.5" customHeight="1">
      <c r="A48" s="2495"/>
      <c r="B48" s="2495"/>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6" customFormat="1" ht="15" thickBot="1">
      <c r="A49" s="2495"/>
      <c r="B49" s="2498"/>
      <c r="C49" s="656"/>
      <c r="D49" s="654"/>
      <c r="E49" s="654"/>
      <c r="F49" s="654"/>
      <c r="G49" s="654"/>
      <c r="H49" s="654"/>
      <c r="I49" s="654"/>
      <c r="J49" s="654"/>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3" t="s">
        <v>1881</v>
      </c>
      <c r="B50" s="604" t="s">
        <v>1882</v>
      </c>
      <c r="C50" s="1830" t="s">
        <v>1883</v>
      </c>
      <c r="D50" s="1831" t="s">
        <v>1884</v>
      </c>
      <c r="E50" s="605" t="s">
        <v>1885</v>
      </c>
      <c r="F50" s="606" t="s">
        <v>1886</v>
      </c>
      <c r="G50" s="3365" t="s">
        <v>1887</v>
      </c>
      <c r="H50" s="3434"/>
      <c r="I50" s="1263" t="s">
        <v>1923</v>
      </c>
      <c r="J50" s="1263">
        <f>项目基本情况!F35</f>
        <v>0</v>
      </c>
      <c r="K50" s="1833"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1" customFormat="1">
      <c r="A51" s="607" t="s">
        <v>1890</v>
      </c>
      <c r="B51" s="608" t="e">
        <f>C43</f>
        <v>#DIV/0!</v>
      </c>
      <c r="C51" s="609">
        <v>1</v>
      </c>
      <c r="D51" s="889">
        <v>1</v>
      </c>
      <c r="E51" s="609">
        <f>'数据-汇总表'!E8+'数据-汇总表'!E9</f>
        <v>227.25</v>
      </c>
      <c r="F51" s="610" t="e">
        <f t="shared" ref="F51:F60" si="15">ROUND(B51*E51/10000,0)</f>
        <v>#DIV/0!</v>
      </c>
      <c r="G51" s="3361"/>
      <c r="H51" s="3347"/>
      <c r="I51" s="726">
        <v>1</v>
      </c>
      <c r="J51" s="726">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1" customFormat="1">
      <c r="A52" s="612" t="s">
        <v>1891</v>
      </c>
      <c r="B52" s="209" t="e">
        <f>ROUND($C$43*C52*D52,0)</f>
        <v>#DIV/0!</v>
      </c>
      <c r="C52" s="162">
        <f t="shared" ref="C52:C60" si="16">IF($C$50="北京市系数",I52,J52)</f>
        <v>0</v>
      </c>
      <c r="D52" s="890">
        <v>0.25</v>
      </c>
      <c r="E52" s="613"/>
      <c r="F52" s="610" t="e">
        <f t="shared" si="15"/>
        <v>#DIV/0!</v>
      </c>
      <c r="G52" s="2748" t="s">
        <v>1892</v>
      </c>
      <c r="H52" s="833">
        <f>项目基本情况!B37</f>
        <v>0</v>
      </c>
      <c r="I52" s="726">
        <f>SUMIF(修正!A57:A68,H52,修正!B57:B68)</f>
        <v>0</v>
      </c>
      <c r="J52" s="727"/>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1" customFormat="1">
      <c r="A53" s="612" t="s">
        <v>1893</v>
      </c>
      <c r="B53" s="209" t="e">
        <f t="shared" ref="B53:B60" si="17">ROUND($C$43*C53*D53,0)</f>
        <v>#DIV/0!</v>
      </c>
      <c r="C53" s="162">
        <f t="shared" si="16"/>
        <v>0</v>
      </c>
      <c r="D53" s="890">
        <v>0.25</v>
      </c>
      <c r="E53" s="613"/>
      <c r="F53" s="610" t="e">
        <f t="shared" si="15"/>
        <v>#DIV/0!</v>
      </c>
      <c r="G53" s="2749"/>
      <c r="H53" s="833">
        <f>项目基本情况!B37</f>
        <v>0</v>
      </c>
      <c r="I53" s="726">
        <f>SUMIF(修正!A57:A68,H53,修正!C57:C68)</f>
        <v>0</v>
      </c>
      <c r="J53" s="727"/>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1" customFormat="1">
      <c r="A54" s="612" t="s">
        <v>1894</v>
      </c>
      <c r="B54" s="209" t="e">
        <f t="shared" si="17"/>
        <v>#DIV/0!</v>
      </c>
      <c r="C54" s="162">
        <f t="shared" si="16"/>
        <v>0</v>
      </c>
      <c r="D54" s="890">
        <v>0.25</v>
      </c>
      <c r="E54" s="613"/>
      <c r="F54" s="610" t="e">
        <f t="shared" si="15"/>
        <v>#DIV/0!</v>
      </c>
      <c r="G54" s="2749"/>
      <c r="H54" s="833">
        <f>项目基本情况!B37</f>
        <v>0</v>
      </c>
      <c r="I54" s="726">
        <f>SUMIF(修正!A57:A68,H54,修正!D57:D68)</f>
        <v>0</v>
      </c>
      <c r="J54" s="727"/>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1" customFormat="1" hidden="1">
      <c r="A55" s="612"/>
      <c r="B55" s="209"/>
      <c r="C55" s="162"/>
      <c r="D55" s="890"/>
      <c r="E55" s="613"/>
      <c r="F55" s="610"/>
      <c r="G55" s="2750"/>
      <c r="H55" s="833"/>
      <c r="I55" s="726"/>
      <c r="J55" s="727"/>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1" customFormat="1">
      <c r="A56" s="612" t="s">
        <v>1895</v>
      </c>
      <c r="B56" s="209" t="e">
        <f t="shared" si="17"/>
        <v>#DIV/0!</v>
      </c>
      <c r="C56" s="162">
        <f t="shared" si="16"/>
        <v>0</v>
      </c>
      <c r="D56" s="890">
        <v>0.25</v>
      </c>
      <c r="E56" s="208">
        <f>'数据-汇总表'!E11</f>
        <v>0</v>
      </c>
      <c r="F56" s="610" t="e">
        <f t="shared" si="15"/>
        <v>#DIV/0!</v>
      </c>
      <c r="G56" s="1834" t="s">
        <v>1896</v>
      </c>
      <c r="H56" s="833">
        <f>项目基本情况!C37</f>
        <v>0</v>
      </c>
      <c r="I56" s="726">
        <f>SUMIF(修正!A57:A68,H56,修正!E57:E68)</f>
        <v>0</v>
      </c>
      <c r="J56" s="727"/>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1" customFormat="1">
      <c r="A57" s="612" t="s">
        <v>1897</v>
      </c>
      <c r="B57" s="209" t="e">
        <f t="shared" si="17"/>
        <v>#DIV/0!</v>
      </c>
      <c r="C57" s="162">
        <f t="shared" si="16"/>
        <v>0</v>
      </c>
      <c r="D57" s="890">
        <v>0.25</v>
      </c>
      <c r="E57" s="208">
        <f>'数据-汇总表'!E12</f>
        <v>0</v>
      </c>
      <c r="F57" s="610" t="e">
        <f t="shared" si="15"/>
        <v>#DIV/0!</v>
      </c>
      <c r="G57" s="838" t="s">
        <v>1898</v>
      </c>
      <c r="H57" s="833">
        <f>IF(G57="商业",项目基本情况!B37,IF(G57="办公",项目基本情况!C37,IF(G57="住宅",项目基本情况!D37,项目基本情况!E37)))</f>
        <v>0</v>
      </c>
      <c r="I57" s="726">
        <f>SUMIF(修正!A57:A68,H57,修正!F57:F68)</f>
        <v>0</v>
      </c>
      <c r="J57" s="727"/>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1" customFormat="1">
      <c r="A58" s="612" t="s">
        <v>1899</v>
      </c>
      <c r="B58" s="209" t="e">
        <f t="shared" si="17"/>
        <v>#DIV/0!</v>
      </c>
      <c r="C58" s="162">
        <f t="shared" si="16"/>
        <v>0</v>
      </c>
      <c r="D58" s="890">
        <v>0.25</v>
      </c>
      <c r="E58" s="208">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1" customFormat="1">
      <c r="A59" s="612" t="s">
        <v>1901</v>
      </c>
      <c r="B59" s="209" t="e">
        <f t="shared" si="17"/>
        <v>#DIV/0!</v>
      </c>
      <c r="C59" s="162">
        <f t="shared" si="16"/>
        <v>0</v>
      </c>
      <c r="D59" s="890">
        <v>0.25</v>
      </c>
      <c r="E59" s="208">
        <f>'数据-汇总表'!E14</f>
        <v>0</v>
      </c>
      <c r="F59" s="610" t="e">
        <f t="shared" si="15"/>
        <v>#DIV/0!</v>
      </c>
      <c r="G59" s="1834" t="s">
        <v>1892</v>
      </c>
      <c r="H59" s="833">
        <f>项目基本情况!B37</f>
        <v>0</v>
      </c>
      <c r="I59" s="726">
        <f>SUMIF(修正!A57:A68,H59,修正!G57:G68)</f>
        <v>0</v>
      </c>
      <c r="J59" s="727"/>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1" customFormat="1" ht="15" thickBot="1">
      <c r="A60" s="612" t="s">
        <v>1902</v>
      </c>
      <c r="B60" s="209" t="e">
        <f t="shared" si="17"/>
        <v>#DIV/0!</v>
      </c>
      <c r="C60" s="162">
        <f t="shared" si="16"/>
        <v>0</v>
      </c>
      <c r="D60" s="890">
        <v>0.25</v>
      </c>
      <c r="E60" s="208">
        <f>'数据-汇总表'!E15</f>
        <v>0</v>
      </c>
      <c r="F60" s="610" t="e">
        <f t="shared" si="15"/>
        <v>#DIV/0!</v>
      </c>
      <c r="G60" s="1835" t="s">
        <v>1896</v>
      </c>
      <c r="H60" s="843">
        <f>项目基本情况!C37</f>
        <v>0</v>
      </c>
      <c r="I60" s="726">
        <f>SUMIF(修正!A57:A68,H60,修正!G57:G68)</f>
        <v>0</v>
      </c>
      <c r="J60" s="727"/>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1" customFormat="1" ht="15" thickBot="1">
      <c r="A61" s="614" t="s">
        <v>1903</v>
      </c>
      <c r="B61" s="615" t="s">
        <v>22</v>
      </c>
      <c r="C61" s="615" t="s">
        <v>23</v>
      </c>
      <c r="D61" s="615" t="s">
        <v>392</v>
      </c>
      <c r="E61" s="615">
        <f>IF(B41="楼面地价",SUM(E51:E60),'数据-汇总表'!D3)</f>
        <v>0</v>
      </c>
      <c r="F61" s="616" t="e">
        <f>IF(B41="楼面地价",SUM(F51:F60),ROUND(C43*E61/10000,0))</f>
        <v>#DIV/0!</v>
      </c>
      <c r="G61" s="884"/>
      <c r="H61" s="884"/>
      <c r="I61" s="884"/>
      <c r="J61" s="884"/>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0"/>
      <c r="B62" s="874"/>
      <c r="C62" s="876"/>
      <c r="D62" s="860"/>
      <c r="E62" s="860"/>
      <c r="F62" s="860"/>
      <c r="G62" s="860"/>
      <c r="H62" s="860"/>
      <c r="I62" s="860"/>
      <c r="J62" s="860"/>
      <c r="K62" s="834"/>
      <c r="L62" s="835"/>
      <c r="M62" s="860"/>
      <c r="N62" s="860"/>
      <c r="O62" s="860"/>
      <c r="P62" s="2485"/>
      <c r="Q62" s="2485"/>
      <c r="R62" s="2485"/>
      <c r="S62" s="2485"/>
      <c r="T62" s="2485"/>
      <c r="U62" s="2485"/>
      <c r="V62" s="2485"/>
      <c r="W62" s="2485"/>
      <c r="X62" s="2485"/>
      <c r="Y62" s="2485"/>
      <c r="Z62" s="2485"/>
      <c r="AA62" s="2485"/>
      <c r="AB62" s="2485"/>
      <c r="AC62" s="2485"/>
      <c r="AD62" s="2485"/>
      <c r="AE62" s="2485"/>
    </row>
    <row r="63" spans="1:31">
      <c r="A63" s="860"/>
      <c r="B63" s="874"/>
      <c r="C63" s="655" t="str">
        <f>YEAR(C7)&amp;"-"&amp;MONTH(C7)&amp;"-1"</f>
        <v>2024-10-1</v>
      </c>
      <c r="D63" s="655">
        <f>EDATE(C63,-3)</f>
        <v>45474</v>
      </c>
      <c r="E63" s="655">
        <f>EDATE(D63,-3)</f>
        <v>45383</v>
      </c>
      <c r="F63" s="655">
        <f t="shared" ref="F63:O63" si="18">EDATE(E63,-3)</f>
        <v>45292</v>
      </c>
      <c r="G63" s="655">
        <f t="shared" si="18"/>
        <v>45200</v>
      </c>
      <c r="H63" s="655">
        <f t="shared" si="18"/>
        <v>45108</v>
      </c>
      <c r="I63" s="655">
        <f t="shared" si="18"/>
        <v>45017</v>
      </c>
      <c r="J63" s="655">
        <f t="shared" si="18"/>
        <v>44927</v>
      </c>
      <c r="K63" s="655">
        <f t="shared" si="18"/>
        <v>44835</v>
      </c>
      <c r="L63" s="655">
        <f t="shared" si="18"/>
        <v>44743</v>
      </c>
      <c r="M63" s="655">
        <f t="shared" si="18"/>
        <v>44652</v>
      </c>
      <c r="N63" s="655">
        <f t="shared" si="18"/>
        <v>44562</v>
      </c>
      <c r="O63" s="655">
        <f t="shared" si="18"/>
        <v>44470</v>
      </c>
      <c r="P63" s="2485"/>
      <c r="Q63" s="2485"/>
      <c r="R63" s="2485"/>
      <c r="S63" s="2485"/>
      <c r="T63" s="2485"/>
      <c r="U63" s="2485"/>
      <c r="V63" s="2485"/>
      <c r="W63" s="2485"/>
      <c r="X63" s="2485"/>
      <c r="Y63" s="2485"/>
      <c r="Z63" s="2485"/>
      <c r="AA63" s="2485"/>
      <c r="AB63" s="2485"/>
      <c r="AC63" s="2485"/>
      <c r="AD63" s="2485"/>
      <c r="AE63" s="2485"/>
    </row>
    <row r="64" spans="1:31" ht="21.75" thickBot="1">
      <c r="A64" s="657" t="s">
        <v>1798</v>
      </c>
      <c r="B64" s="384"/>
      <c r="C64" s="658"/>
      <c r="D64" s="658"/>
      <c r="E64" s="658"/>
      <c r="F64" s="659"/>
      <c r="G64" s="659"/>
      <c r="H64" s="658"/>
      <c r="I64" s="658"/>
      <c r="J64" s="658"/>
      <c r="K64" s="660"/>
      <c r="L64" s="661"/>
      <c r="M64" s="658"/>
      <c r="N64" s="658"/>
      <c r="O64" s="885"/>
      <c r="P64" s="2535"/>
      <c r="Q64" s="2506"/>
      <c r="R64" s="2485"/>
      <c r="S64" s="2485"/>
      <c r="T64" s="2485"/>
      <c r="U64" s="2485"/>
      <c r="V64" s="2485"/>
      <c r="W64" s="2485"/>
      <c r="X64" s="2485"/>
      <c r="Y64" s="2485"/>
      <c r="Z64" s="2485"/>
      <c r="AA64" s="2485"/>
      <c r="AB64" s="2485"/>
      <c r="AC64" s="2485"/>
      <c r="AD64" s="2485"/>
      <c r="AE64" s="2485"/>
    </row>
    <row r="65" spans="1:31" s="441" customFormat="1" ht="15">
      <c r="A65" s="1629" t="s">
        <v>1904</v>
      </c>
      <c r="B65" s="1045"/>
      <c r="C65" s="1100" t="str">
        <f>YEAR(C63)&amp;"-"&amp;ROUNDUP(MONTH(C63)/3,0)</f>
        <v>2024-4</v>
      </c>
      <c r="D65" s="1100" t="str">
        <f t="shared" ref="D65:O65" si="19">YEAR(D63)&amp;"-"&amp;ROUNDUP(MONTH(D63)/3,0)</f>
        <v>2024-3</v>
      </c>
      <c r="E65" s="1100" t="str">
        <f t="shared" si="19"/>
        <v>2024-2</v>
      </c>
      <c r="F65" s="1100" t="str">
        <f t="shared" si="19"/>
        <v>2024-1</v>
      </c>
      <c r="G65" s="1100" t="str">
        <f t="shared" si="19"/>
        <v>2023-4</v>
      </c>
      <c r="H65" s="1100" t="str">
        <f t="shared" si="19"/>
        <v>2023-3</v>
      </c>
      <c r="I65" s="1100" t="str">
        <f t="shared" si="19"/>
        <v>2023-2</v>
      </c>
      <c r="J65" s="1100" t="str">
        <f t="shared" si="19"/>
        <v>2023-1</v>
      </c>
      <c r="K65" s="1100" t="str">
        <f t="shared" si="19"/>
        <v>2022-4</v>
      </c>
      <c r="L65" s="1100" t="str">
        <f t="shared" si="19"/>
        <v>2022-3</v>
      </c>
      <c r="M65" s="1100" t="str">
        <f t="shared" si="19"/>
        <v>2022-2</v>
      </c>
      <c r="N65" s="1100" t="str">
        <f t="shared" si="19"/>
        <v>2022-1</v>
      </c>
      <c r="O65" s="1100" t="str">
        <f t="shared" si="19"/>
        <v>2021-4</v>
      </c>
      <c r="P65" s="2508"/>
      <c r="Q65" s="2508"/>
      <c r="R65" s="2508"/>
      <c r="S65" s="2508"/>
      <c r="T65" s="2508"/>
      <c r="U65" s="2508"/>
      <c r="V65" s="2508"/>
      <c r="W65" s="2508"/>
      <c r="X65" s="2508"/>
      <c r="Y65" s="2508"/>
      <c r="Z65" s="2508"/>
      <c r="AA65" s="2508"/>
      <c r="AB65" s="2508"/>
      <c r="AC65" s="2508"/>
      <c r="AD65" s="2508"/>
      <c r="AE65" s="2508"/>
    </row>
    <row r="66" spans="1:31" s="101" customFormat="1" ht="30.75" customHeight="1">
      <c r="A66" s="1840" t="s">
        <v>1924</v>
      </c>
      <c r="B66" s="279" t="str">
        <f>"北京市平均增长率"&amp;TEXT(基准地价修正!P28,"0.00%")</f>
        <v>北京市平均增长率0.00%</v>
      </c>
      <c r="C66" s="529">
        <v>100</v>
      </c>
      <c r="D66" s="6"/>
      <c r="E66" s="6"/>
      <c r="F66" s="6"/>
      <c r="G66" s="6"/>
      <c r="H66" s="6"/>
      <c r="I66" s="6"/>
      <c r="J66" s="6"/>
      <c r="K66" s="6"/>
      <c r="L66" s="6"/>
      <c r="M66" s="1065"/>
      <c r="N66" s="1065"/>
      <c r="O66" s="1098"/>
      <c r="P66" s="2506"/>
      <c r="Q66" s="2438"/>
      <c r="R66" s="2438"/>
      <c r="S66" s="2438"/>
      <c r="T66" s="2438"/>
      <c r="U66" s="2438"/>
      <c r="V66" s="2438"/>
      <c r="W66" s="2438"/>
      <c r="X66" s="2438"/>
      <c r="Y66" s="2438"/>
      <c r="Z66" s="2438"/>
      <c r="AA66" s="2438"/>
      <c r="AB66" s="2438"/>
      <c r="AC66" s="2438"/>
      <c r="AD66" s="2438"/>
      <c r="AE66" s="2438"/>
    </row>
    <row r="67" spans="1:31" s="101" customFormat="1" ht="15.75" thickBot="1">
      <c r="A67" s="448" t="s">
        <v>1716</v>
      </c>
      <c r="B67" s="449"/>
      <c r="C67" s="450"/>
      <c r="D67" s="451"/>
      <c r="E67" s="451"/>
      <c r="F67" s="451"/>
      <c r="G67" s="451"/>
      <c r="H67" s="451"/>
      <c r="I67" s="451"/>
      <c r="J67" s="451"/>
      <c r="K67" s="451"/>
      <c r="L67" s="451"/>
      <c r="M67" s="452"/>
      <c r="N67" s="452"/>
      <c r="O67" s="453"/>
      <c r="P67" s="2506"/>
      <c r="Q67" s="2506"/>
      <c r="R67" s="2438"/>
      <c r="S67" s="2438"/>
      <c r="T67" s="2438"/>
      <c r="U67" s="2438"/>
      <c r="V67" s="2438"/>
      <c r="W67" s="2438"/>
      <c r="X67" s="2438"/>
      <c r="Y67" s="2438"/>
      <c r="Z67" s="2438"/>
      <c r="AA67" s="2438"/>
      <c r="AB67" s="2438"/>
      <c r="AC67" s="2438"/>
      <c r="AD67" s="2438"/>
      <c r="AE67" s="2438"/>
    </row>
    <row r="68" spans="1:31" s="101" customFormat="1" ht="15">
      <c r="A68" s="454" t="s">
        <v>1681</v>
      </c>
      <c r="B68" s="443"/>
      <c r="C68" s="455" t="s">
        <v>1776</v>
      </c>
      <c r="D68" s="31"/>
      <c r="E68" s="31"/>
      <c r="F68" s="31"/>
      <c r="G68" s="31"/>
      <c r="H68" s="31"/>
      <c r="I68" s="31"/>
      <c r="J68" s="31"/>
      <c r="K68" s="31"/>
      <c r="L68" s="456"/>
      <c r="M68" s="457"/>
      <c r="N68" s="2518"/>
      <c r="O68" s="2518"/>
      <c r="P68" s="2542"/>
      <c r="Q68" s="2506"/>
      <c r="R68" s="2438"/>
      <c r="S68" s="2438"/>
      <c r="T68" s="2438"/>
      <c r="U68" s="2438"/>
      <c r="V68" s="2438"/>
      <c r="W68" s="2438"/>
      <c r="X68" s="2438"/>
      <c r="Y68" s="2438"/>
      <c r="Z68" s="2438"/>
      <c r="AA68" s="2438"/>
      <c r="AB68" s="2438"/>
      <c r="AC68" s="2438"/>
      <c r="AD68" s="2438"/>
      <c r="AE68" s="2438"/>
    </row>
    <row r="69" spans="1:31" s="101" customFormat="1" ht="15.75" thickBot="1">
      <c r="A69" s="454"/>
      <c r="B69" s="443"/>
      <c r="C69" s="562">
        <v>100</v>
      </c>
      <c r="D69" s="445"/>
      <c r="E69" s="445"/>
      <c r="F69" s="445"/>
      <c r="G69" s="445"/>
      <c r="H69" s="445"/>
      <c r="I69" s="445"/>
      <c r="J69" s="445"/>
      <c r="K69" s="445"/>
      <c r="L69" s="445"/>
      <c r="M69" s="447"/>
      <c r="N69" s="2518"/>
      <c r="O69" s="2518"/>
      <c r="P69" s="2506"/>
      <c r="Q69" s="2506"/>
      <c r="R69" s="2438"/>
      <c r="S69" s="2438"/>
      <c r="T69" s="2438"/>
      <c r="U69" s="2438"/>
      <c r="V69" s="2438"/>
      <c r="W69" s="2438"/>
      <c r="X69" s="2438"/>
      <c r="Y69" s="2438"/>
      <c r="Z69" s="2438"/>
      <c r="AA69" s="2438"/>
      <c r="AB69" s="2438"/>
      <c r="AC69" s="2438"/>
      <c r="AD69" s="2438"/>
      <c r="AE69" s="2438"/>
    </row>
    <row r="70" spans="1:31">
      <c r="A70" s="378" t="s">
        <v>1719</v>
      </c>
      <c r="B70" s="459" t="s">
        <v>1685</v>
      </c>
      <c r="C70" s="461"/>
      <c r="D70" s="461"/>
      <c r="E70" s="461"/>
      <c r="F70" s="461"/>
      <c r="G70" s="461"/>
      <c r="H70" s="461"/>
      <c r="I70" s="461"/>
      <c r="J70" s="461"/>
      <c r="K70" s="462"/>
      <c r="L70" s="463"/>
      <c r="M70" s="464"/>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6"/>
      <c r="B71" s="465"/>
      <c r="C71" s="466"/>
      <c r="D71" s="466"/>
      <c r="E71" s="466"/>
      <c r="F71" s="466"/>
      <c r="G71" s="466"/>
      <c r="H71" s="466"/>
      <c r="I71" s="466"/>
      <c r="J71" s="466"/>
      <c r="K71" s="466"/>
      <c r="L71" s="466"/>
      <c r="M71" s="467"/>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6"/>
      <c r="B72" s="468" t="s">
        <v>1688</v>
      </c>
      <c r="C72" s="469"/>
      <c r="D72" s="469"/>
      <c r="E72" s="469"/>
      <c r="F72" s="469"/>
      <c r="G72" s="469"/>
      <c r="H72" s="469"/>
      <c r="I72" s="469"/>
      <c r="J72" s="469"/>
      <c r="K72" s="470"/>
      <c r="L72" s="471"/>
      <c r="M72" s="472"/>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6"/>
      <c r="B73" s="473"/>
      <c r="C73" s="474"/>
      <c r="D73" s="474"/>
      <c r="E73" s="474"/>
      <c r="F73" s="474"/>
      <c r="G73" s="474"/>
      <c r="H73" s="474"/>
      <c r="I73" s="474"/>
      <c r="J73" s="474"/>
      <c r="K73" s="474"/>
      <c r="L73" s="474"/>
      <c r="M73" s="475"/>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6"/>
      <c r="B75" s="478"/>
      <c r="C75" s="479"/>
      <c r="D75" s="479"/>
      <c r="E75" s="479"/>
      <c r="F75" s="479"/>
      <c r="G75" s="479"/>
      <c r="H75" s="479"/>
      <c r="I75" s="479"/>
      <c r="J75" s="479"/>
      <c r="K75" s="480"/>
      <c r="L75" s="481"/>
      <c r="M75" s="482"/>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7" customFormat="1" ht="15.75" thickTop="1">
      <c r="A77" s="483"/>
      <c r="B77" s="468">
        <f>B12</f>
        <v>111</v>
      </c>
      <c r="C77" s="484"/>
      <c r="D77" s="484"/>
      <c r="E77" s="484"/>
      <c r="F77" s="484"/>
      <c r="G77" s="484"/>
      <c r="H77" s="485"/>
      <c r="I77" s="485"/>
      <c r="J77" s="485"/>
      <c r="K77" s="485"/>
      <c r="L77" s="486"/>
      <c r="M77" s="487"/>
      <c r="N77" s="2521"/>
      <c r="O77" s="2521"/>
      <c r="P77" s="2521"/>
      <c r="Q77" s="2513"/>
      <c r="R77" s="2491"/>
      <c r="S77" s="2491"/>
      <c r="T77" s="2491"/>
      <c r="U77" s="2491"/>
      <c r="V77" s="2491"/>
      <c r="W77" s="2491"/>
      <c r="X77" s="2491"/>
      <c r="Y77" s="2491"/>
      <c r="Z77" s="2491"/>
      <c r="AA77" s="2491"/>
      <c r="AB77" s="2491"/>
      <c r="AC77" s="2491"/>
      <c r="AD77" s="2491"/>
      <c r="AE77" s="2491"/>
    </row>
    <row r="78" spans="1:31" s="407" customFormat="1" ht="15.75" thickBot="1">
      <c r="A78" s="483"/>
      <c r="B78" s="473"/>
      <c r="C78" s="490"/>
      <c r="D78" s="466"/>
      <c r="E78" s="466"/>
      <c r="F78" s="466"/>
      <c r="G78" s="466"/>
      <c r="H78" s="466"/>
      <c r="I78" s="466"/>
      <c r="J78" s="466"/>
      <c r="K78" s="466"/>
      <c r="L78" s="466"/>
      <c r="M78" s="467"/>
      <c r="N78" s="2520"/>
      <c r="O78" s="2520"/>
      <c r="P78" s="2521"/>
      <c r="Q78" s="2513"/>
      <c r="R78" s="2491"/>
      <c r="S78" s="2491"/>
      <c r="T78" s="2491"/>
      <c r="U78" s="2491"/>
      <c r="V78" s="2491"/>
      <c r="W78" s="2491"/>
      <c r="X78" s="2491"/>
      <c r="Y78" s="2491"/>
      <c r="Z78" s="2491"/>
      <c r="AA78" s="2491"/>
      <c r="AB78" s="2491"/>
      <c r="AC78" s="2491"/>
      <c r="AD78" s="2491"/>
      <c r="AE78" s="2491"/>
    </row>
    <row r="79" spans="1:31" s="407" customFormat="1" ht="15.75" thickTop="1">
      <c r="A79" s="483"/>
      <c r="B79" s="468">
        <f>B13</f>
        <v>111</v>
      </c>
      <c r="C79" s="484"/>
      <c r="D79" s="484"/>
      <c r="E79" s="484"/>
      <c r="F79" s="484"/>
      <c r="G79" s="484"/>
      <c r="H79" s="485"/>
      <c r="I79" s="485"/>
      <c r="J79" s="485"/>
      <c r="K79" s="485"/>
      <c r="L79" s="486"/>
      <c r="M79" s="487"/>
      <c r="N79" s="2521"/>
      <c r="O79" s="2521"/>
      <c r="P79" s="2491"/>
      <c r="Q79" s="2515"/>
      <c r="R79" s="2491"/>
      <c r="S79" s="2491"/>
      <c r="T79" s="2491"/>
      <c r="U79" s="2491"/>
      <c r="V79" s="2491"/>
      <c r="W79" s="2491"/>
      <c r="X79" s="2491"/>
      <c r="Y79" s="2491"/>
      <c r="Z79" s="2491"/>
      <c r="AA79" s="2491"/>
      <c r="AB79" s="2491"/>
      <c r="AC79" s="2491"/>
      <c r="AD79" s="2491"/>
      <c r="AE79" s="2491"/>
    </row>
    <row r="80" spans="1:31" s="407" customFormat="1" ht="15.75" thickBot="1">
      <c r="A80" s="483"/>
      <c r="B80" s="473"/>
      <c r="C80" s="490"/>
      <c r="D80" s="490"/>
      <c r="E80" s="490"/>
      <c r="F80" s="490"/>
      <c r="G80" s="490"/>
      <c r="H80" s="492"/>
      <c r="I80" s="492"/>
      <c r="J80" s="492"/>
      <c r="K80" s="492"/>
      <c r="L80" s="492"/>
      <c r="M80" s="493"/>
      <c r="N80" s="2521"/>
      <c r="O80" s="2521"/>
      <c r="P80" s="2521"/>
      <c r="Q80" s="2513"/>
      <c r="R80" s="2491"/>
      <c r="S80" s="2491"/>
      <c r="T80" s="2491"/>
      <c r="U80" s="2491"/>
      <c r="V80" s="2491"/>
      <c r="W80" s="2491"/>
      <c r="X80" s="2491"/>
      <c r="Y80" s="2491"/>
      <c r="Z80" s="2491"/>
      <c r="AA80" s="2491"/>
      <c r="AB80" s="2491"/>
      <c r="AC80" s="2491"/>
      <c r="AD80" s="2491"/>
      <c r="AE80" s="2491"/>
    </row>
    <row r="81" spans="1:31" s="407" customFormat="1" ht="15.75" thickTop="1">
      <c r="A81" s="483"/>
      <c r="B81" s="476">
        <f>B14</f>
        <v>111</v>
      </c>
      <c r="C81" s="31"/>
      <c r="D81" s="31"/>
      <c r="E81" s="31"/>
      <c r="F81" s="31"/>
      <c r="G81" s="31"/>
      <c r="H81" s="494"/>
      <c r="I81" s="494"/>
      <c r="J81" s="494"/>
      <c r="K81" s="494"/>
      <c r="L81" s="495"/>
      <c r="M81" s="496"/>
      <c r="N81" s="2521"/>
      <c r="O81" s="2521"/>
      <c r="P81" s="2546"/>
      <c r="Q81" s="2513"/>
      <c r="R81" s="2491"/>
      <c r="S81" s="2491"/>
      <c r="T81" s="2491"/>
      <c r="U81" s="2491"/>
      <c r="V81" s="2491"/>
      <c r="W81" s="2491"/>
      <c r="X81" s="2491"/>
      <c r="Y81" s="2491"/>
      <c r="Z81" s="2491"/>
      <c r="AA81" s="2491"/>
      <c r="AB81" s="2491"/>
      <c r="AC81" s="2491"/>
      <c r="AD81" s="2491"/>
      <c r="AE81" s="2491"/>
    </row>
    <row r="82" spans="1:31" s="407" customFormat="1" ht="15.75" thickBot="1">
      <c r="A82" s="498"/>
      <c r="B82" s="499"/>
      <c r="C82" s="500"/>
      <c r="D82" s="500"/>
      <c r="E82" s="500"/>
      <c r="F82" s="500"/>
      <c r="G82" s="500"/>
      <c r="H82" s="501"/>
      <c r="I82" s="501"/>
      <c r="J82" s="501"/>
      <c r="K82" s="501"/>
      <c r="L82" s="501"/>
      <c r="M82" s="502"/>
      <c r="N82" s="2521"/>
      <c r="O82" s="2521"/>
      <c r="P82" s="2521"/>
      <c r="Q82" s="2513"/>
      <c r="R82" s="2491"/>
      <c r="S82" s="2491"/>
      <c r="T82" s="2491"/>
      <c r="U82" s="2491"/>
      <c r="V82" s="2491"/>
      <c r="W82" s="2491"/>
      <c r="X82" s="2491"/>
      <c r="Y82" s="2491"/>
      <c r="Z82" s="2491"/>
      <c r="AA82" s="2491"/>
      <c r="AB82" s="2491"/>
      <c r="AC82" s="2491"/>
      <c r="AD82" s="2491"/>
      <c r="AE82" s="2491"/>
    </row>
    <row r="83" spans="1:31">
      <c r="A83" s="378" t="s">
        <v>1690</v>
      </c>
      <c r="B83" s="459" t="s">
        <v>1829</v>
      </c>
      <c r="C83" s="503" t="s">
        <v>1721</v>
      </c>
      <c r="D83" s="503" t="s">
        <v>1722</v>
      </c>
      <c r="E83" s="503" t="s">
        <v>1723</v>
      </c>
      <c r="F83" s="503" t="s">
        <v>1724</v>
      </c>
      <c r="G83" s="503" t="s">
        <v>1725</v>
      </c>
      <c r="H83" s="460"/>
      <c r="I83" s="460"/>
      <c r="J83" s="460"/>
      <c r="K83" s="504"/>
      <c r="L83" s="505"/>
      <c r="M83" s="506"/>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6"/>
      <c r="B85" s="468" t="s">
        <v>1726</v>
      </c>
      <c r="C85" s="508" t="s">
        <v>1721</v>
      </c>
      <c r="D85" s="508" t="s">
        <v>1722</v>
      </c>
      <c r="E85" s="508" t="s">
        <v>1723</v>
      </c>
      <c r="F85" s="508" t="s">
        <v>1724</v>
      </c>
      <c r="G85" s="508" t="s">
        <v>1725</v>
      </c>
      <c r="H85" s="469"/>
      <c r="I85" s="469"/>
      <c r="J85" s="469"/>
      <c r="K85" s="470"/>
      <c r="L85" s="471"/>
      <c r="M85" s="472"/>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20"/>
      <c r="O86" s="2520"/>
      <c r="P86" s="2518"/>
      <c r="Q86" s="2506"/>
      <c r="R86" s="2485"/>
      <c r="S86" s="2485"/>
      <c r="T86" s="2485"/>
      <c r="U86" s="2485"/>
      <c r="V86" s="2485"/>
      <c r="W86" s="2485"/>
      <c r="X86" s="2485"/>
      <c r="Y86" s="2485"/>
      <c r="Z86" s="2485"/>
      <c r="AA86" s="2485"/>
      <c r="AB86" s="2485"/>
      <c r="AC86" s="2485"/>
      <c r="AD86" s="2485"/>
      <c r="AE86" s="2485"/>
    </row>
    <row r="87" spans="1:31" s="101" customFormat="1" ht="15.75" thickTop="1">
      <c r="A87" s="369"/>
      <c r="B87" s="468" t="s">
        <v>1907</v>
      </c>
      <c r="C87" s="503" t="s">
        <v>1721</v>
      </c>
      <c r="D87" s="503" t="s">
        <v>1722</v>
      </c>
      <c r="E87" s="503" t="s">
        <v>1723</v>
      </c>
      <c r="F87" s="503" t="s">
        <v>1724</v>
      </c>
      <c r="G87" s="503" t="s">
        <v>1725</v>
      </c>
      <c r="H87" s="508"/>
      <c r="I87" s="508"/>
      <c r="J87" s="508"/>
      <c r="K87" s="508"/>
      <c r="L87" s="617"/>
      <c r="M87" s="546"/>
      <c r="N87" s="2518"/>
      <c r="O87" s="2518"/>
      <c r="P87" s="2518"/>
      <c r="Q87" s="2506"/>
      <c r="R87" s="2438"/>
      <c r="S87" s="2438"/>
      <c r="T87" s="2438"/>
      <c r="U87" s="2438"/>
      <c r="V87" s="2438"/>
      <c r="W87" s="2438"/>
      <c r="X87" s="2438"/>
      <c r="Y87" s="2438"/>
      <c r="Z87" s="2438"/>
      <c r="AA87" s="2438"/>
      <c r="AB87" s="2438"/>
      <c r="AC87" s="2438"/>
      <c r="AD87" s="2438"/>
      <c r="AE87" s="2438"/>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20"/>
      <c r="O88" s="2520"/>
      <c r="P88" s="2518"/>
      <c r="Q88" s="2506"/>
      <c r="R88" s="2438"/>
      <c r="S88" s="2438"/>
      <c r="T88" s="2438"/>
      <c r="U88" s="2438"/>
      <c r="V88" s="2438"/>
      <c r="W88" s="2438"/>
      <c r="X88" s="2438"/>
      <c r="Y88" s="2438"/>
      <c r="Z88" s="2438"/>
      <c r="AA88" s="2438"/>
      <c r="AB88" s="2438"/>
      <c r="AC88" s="2438"/>
      <c r="AD88" s="2438"/>
      <c r="AE88" s="2438"/>
    </row>
    <row r="89" spans="1:31" s="101" customFormat="1" ht="27.75" thickTop="1">
      <c r="A89" s="369"/>
      <c r="B89" s="468" t="s">
        <v>1908</v>
      </c>
      <c r="C89" s="503" t="s">
        <v>1721</v>
      </c>
      <c r="D89" s="503" t="s">
        <v>1722</v>
      </c>
      <c r="E89" s="503" t="s">
        <v>1723</v>
      </c>
      <c r="F89" s="503" t="s">
        <v>1724</v>
      </c>
      <c r="G89" s="503" t="s">
        <v>1725</v>
      </c>
      <c r="H89" s="508"/>
      <c r="I89" s="508"/>
      <c r="J89" s="508"/>
      <c r="K89" s="508"/>
      <c r="L89" s="508"/>
      <c r="M89" s="546"/>
      <c r="N89" s="2518"/>
      <c r="O89" s="2518"/>
      <c r="P89" s="2518"/>
      <c r="Q89" s="2506"/>
      <c r="R89" s="2438"/>
      <c r="S89" s="2438"/>
      <c r="T89" s="2438"/>
      <c r="U89" s="2438"/>
      <c r="V89" s="2438"/>
      <c r="W89" s="2438"/>
      <c r="X89" s="2438"/>
      <c r="Y89" s="2438"/>
      <c r="Z89" s="2438"/>
      <c r="AA89" s="2438"/>
      <c r="AB89" s="2438"/>
      <c r="AC89" s="2438"/>
      <c r="AD89" s="2438"/>
      <c r="AE89" s="2438"/>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20"/>
      <c r="O90" s="2520"/>
      <c r="P90" s="2518"/>
      <c r="Q90" s="2506"/>
      <c r="R90" s="2438"/>
      <c r="S90" s="2438"/>
      <c r="T90" s="2438"/>
      <c r="U90" s="2438"/>
      <c r="V90" s="2438"/>
      <c r="W90" s="2438"/>
      <c r="X90" s="2438"/>
      <c r="Y90" s="2438"/>
      <c r="Z90" s="2438"/>
      <c r="AA90" s="2438"/>
      <c r="AB90" s="2438"/>
      <c r="AC90" s="2438"/>
      <c r="AD90" s="2438"/>
      <c r="AE90" s="2438"/>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21"/>
      <c r="O91" s="2521"/>
      <c r="P91" s="2521"/>
      <c r="Q91" s="2513"/>
      <c r="R91" s="2491"/>
      <c r="S91" s="2491"/>
      <c r="T91" s="2491"/>
      <c r="U91" s="2491"/>
      <c r="V91" s="2491"/>
      <c r="W91" s="2491"/>
      <c r="X91" s="2491"/>
      <c r="Y91" s="2491"/>
      <c r="Z91" s="2491"/>
      <c r="AA91" s="2491"/>
      <c r="AB91" s="2491"/>
      <c r="AC91" s="2491"/>
      <c r="AD91" s="2491"/>
      <c r="AE91" s="2491"/>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21"/>
      <c r="O92" s="2521"/>
      <c r="P92" s="2521"/>
      <c r="Q92" s="2513"/>
      <c r="R92" s="2491"/>
      <c r="S92" s="2491"/>
      <c r="T92" s="2491"/>
      <c r="U92" s="2491"/>
      <c r="V92" s="2491"/>
      <c r="W92" s="2491"/>
      <c r="X92" s="2491"/>
      <c r="Y92" s="2491"/>
      <c r="Z92" s="2491"/>
      <c r="AA92" s="2491"/>
      <c r="AB92" s="2491"/>
      <c r="AC92" s="2491"/>
      <c r="AD92" s="2491"/>
      <c r="AE92" s="2491"/>
    </row>
    <row r="93" spans="1:31" s="407" customFormat="1" ht="15.75" thickTop="1">
      <c r="A93" s="483"/>
      <c r="B93" s="476" t="s">
        <v>1925</v>
      </c>
      <c r="C93" s="580" t="s">
        <v>1799</v>
      </c>
      <c r="D93" s="580" t="s">
        <v>1800</v>
      </c>
      <c r="E93" s="580" t="s">
        <v>1801</v>
      </c>
      <c r="F93" s="580" t="s">
        <v>1802</v>
      </c>
      <c r="G93" s="580" t="s">
        <v>1803</v>
      </c>
      <c r="H93" s="526"/>
      <c r="I93" s="526"/>
      <c r="J93" s="526"/>
      <c r="K93" s="526"/>
      <c r="L93" s="526"/>
      <c r="M93" s="528"/>
      <c r="N93" s="2521"/>
      <c r="O93" s="2521"/>
      <c r="P93" s="2521"/>
      <c r="Q93" s="2513"/>
      <c r="R93" s="2491"/>
      <c r="S93" s="2491"/>
      <c r="T93" s="2491"/>
      <c r="U93" s="2491"/>
      <c r="V93" s="2491"/>
      <c r="W93" s="2491"/>
      <c r="X93" s="2491"/>
      <c r="Y93" s="2491"/>
      <c r="Z93" s="2491"/>
      <c r="AA93" s="2491"/>
      <c r="AB93" s="2491"/>
      <c r="AC93" s="2491"/>
      <c r="AD93" s="2491"/>
      <c r="AE93" s="2491"/>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6"/>
      <c r="B95" s="468" t="str">
        <f>B27</f>
        <v>临街状况</v>
      </c>
      <c r="C95" s="469" t="s">
        <v>1909</v>
      </c>
      <c r="D95" s="469" t="s">
        <v>1910</v>
      </c>
      <c r="E95" s="469" t="s">
        <v>1911</v>
      </c>
      <c r="F95" s="469" t="s">
        <v>1912</v>
      </c>
      <c r="G95" s="469"/>
      <c r="H95" s="469"/>
      <c r="I95" s="469"/>
      <c r="J95" s="469"/>
      <c r="K95" s="470"/>
      <c r="L95" s="471"/>
      <c r="M95" s="472"/>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6"/>
      <c r="B97" s="468" t="s">
        <v>1815</v>
      </c>
      <c r="C97" s="484"/>
      <c r="D97" s="484"/>
      <c r="E97" s="484"/>
      <c r="F97" s="484"/>
      <c r="G97" s="484"/>
      <c r="H97" s="512"/>
      <c r="I97" s="512"/>
      <c r="J97" s="512"/>
      <c r="K97" s="513"/>
      <c r="L97" s="514"/>
      <c r="M97" s="515"/>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6"/>
      <c r="B99" s="468" t="s">
        <v>1873</v>
      </c>
      <c r="C99" s="512"/>
      <c r="D99" s="512"/>
      <c r="E99" s="512"/>
      <c r="F99" s="512"/>
      <c r="G99" s="512"/>
      <c r="H99" s="512"/>
      <c r="I99" s="512"/>
      <c r="J99" s="512"/>
      <c r="K99" s="513"/>
      <c r="L99" s="514"/>
      <c r="M99" s="515"/>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6"/>
      <c r="B101" s="476">
        <f>B31</f>
        <v>111</v>
      </c>
      <c r="C101" s="484"/>
      <c r="D101" s="484"/>
      <c r="E101" s="484"/>
      <c r="F101" s="484"/>
      <c r="G101" s="516"/>
      <c r="H101" s="516"/>
      <c r="I101" s="516"/>
      <c r="J101" s="516"/>
      <c r="K101" s="517"/>
      <c r="L101" s="518"/>
      <c r="M101" s="519"/>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6"/>
      <c r="B102" s="499"/>
      <c r="C102" s="490"/>
      <c r="D102" s="466"/>
      <c r="E102" s="466"/>
      <c r="F102" s="466"/>
      <c r="G102" s="520"/>
      <c r="H102" s="520"/>
      <c r="I102" s="520"/>
      <c r="J102" s="520"/>
      <c r="K102" s="520"/>
      <c r="L102" s="520"/>
      <c r="M102" s="521"/>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4"/>
      <c r="B103" s="468">
        <f>B32</f>
        <v>111</v>
      </c>
      <c r="C103" s="484"/>
      <c r="D103" s="484"/>
      <c r="E103" s="484"/>
      <c r="F103" s="484"/>
      <c r="G103" s="512"/>
      <c r="H103" s="512"/>
      <c r="I103" s="512"/>
      <c r="J103" s="512"/>
      <c r="K103" s="513"/>
      <c r="L103" s="514"/>
      <c r="M103" s="515"/>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6"/>
      <c r="B104" s="473"/>
      <c r="C104" s="490"/>
      <c r="D104" s="490"/>
      <c r="E104" s="490"/>
      <c r="F104" s="490"/>
      <c r="G104" s="466"/>
      <c r="H104" s="466"/>
      <c r="I104" s="466"/>
      <c r="J104" s="466"/>
      <c r="K104" s="466"/>
      <c r="L104" s="466"/>
      <c r="M104" s="467"/>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7" customFormat="1" ht="15" thickTop="1">
      <c r="A105" s="405"/>
      <c r="B105" s="522">
        <f>B33</f>
        <v>111</v>
      </c>
      <c r="C105" s="31"/>
      <c r="D105" s="31"/>
      <c r="E105" s="31"/>
      <c r="F105" s="31"/>
      <c r="G105" s="6"/>
      <c r="H105" s="6"/>
      <c r="I105" s="6"/>
      <c r="J105" s="523"/>
      <c r="K105" s="523"/>
      <c r="L105" s="524"/>
      <c r="M105" s="525"/>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7" customFormat="1" ht="15.75" thickBot="1">
      <c r="A106" s="483"/>
      <c r="B106" s="476"/>
      <c r="C106" s="500"/>
      <c r="D106" s="500"/>
      <c r="E106" s="500"/>
      <c r="F106" s="500"/>
      <c r="G106" s="596"/>
      <c r="H106" s="596"/>
      <c r="I106" s="596"/>
      <c r="J106" s="596"/>
      <c r="K106" s="596"/>
      <c r="L106" s="596"/>
      <c r="M106" s="618"/>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6"/>
      <c r="B108" s="476"/>
      <c r="C108" s="6"/>
      <c r="D108" s="6"/>
      <c r="E108" s="6"/>
      <c r="F108" s="6"/>
      <c r="G108" s="6"/>
      <c r="H108" s="6"/>
      <c r="I108" s="6"/>
      <c r="J108" s="523"/>
      <c r="K108" s="523"/>
      <c r="L108" s="524"/>
      <c r="M108" s="525"/>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6"/>
      <c r="B109" s="473"/>
      <c r="C109" s="500"/>
      <c r="D109" s="520"/>
      <c r="E109" s="520"/>
      <c r="F109" s="520"/>
      <c r="G109" s="520"/>
      <c r="H109" s="520"/>
      <c r="I109" s="520"/>
      <c r="J109" s="520"/>
      <c r="K109" s="520"/>
      <c r="L109" s="520"/>
      <c r="M109" s="521"/>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8"/>
      <c r="B110" s="468" t="s">
        <v>1914</v>
      </c>
      <c r="C110" s="512"/>
      <c r="D110" s="512"/>
      <c r="E110" s="512"/>
      <c r="F110" s="512"/>
      <c r="G110" s="512"/>
      <c r="H110" s="512"/>
      <c r="I110" s="512"/>
      <c r="J110" s="512"/>
      <c r="K110" s="513"/>
      <c r="L110" s="514"/>
      <c r="M110" s="515"/>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7" customFormat="1" ht="15" thickTop="1">
      <c r="A112" s="405"/>
      <c r="B112" s="468" t="s">
        <v>1916</v>
      </c>
      <c r="C112" s="484"/>
      <c r="D112" s="484"/>
      <c r="E112" s="484"/>
      <c r="F112" s="484"/>
      <c r="G112" s="484"/>
      <c r="H112" s="512"/>
      <c r="I112" s="512"/>
      <c r="J112" s="512"/>
      <c r="K112" s="513"/>
      <c r="L112" s="514"/>
      <c r="M112" s="515"/>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8"/>
      <c r="B114" s="468" t="s">
        <v>1917</v>
      </c>
      <c r="C114" s="484"/>
      <c r="D114" s="484"/>
      <c r="E114" s="512"/>
      <c r="F114" s="512"/>
      <c r="G114" s="512"/>
      <c r="H114" s="512"/>
      <c r="I114" s="512"/>
      <c r="J114" s="512"/>
      <c r="K114" s="513"/>
      <c r="L114" s="514"/>
      <c r="M114" s="515"/>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8"/>
      <c r="B116" s="468">
        <f>B38</f>
        <v>111</v>
      </c>
      <c r="C116" s="484"/>
      <c r="D116" s="484"/>
      <c r="E116" s="484"/>
      <c r="F116" s="484"/>
      <c r="G116" s="484"/>
      <c r="H116" s="512"/>
      <c r="I116" s="512"/>
      <c r="J116" s="512"/>
      <c r="K116" s="513"/>
      <c r="L116" s="514"/>
      <c r="M116" s="515"/>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6"/>
      <c r="B117" s="473"/>
      <c r="C117" s="490"/>
      <c r="D117" s="466"/>
      <c r="E117" s="466"/>
      <c r="F117" s="466"/>
      <c r="G117" s="466"/>
      <c r="H117" s="466"/>
      <c r="I117" s="466"/>
      <c r="J117" s="466"/>
      <c r="K117" s="466"/>
      <c r="L117" s="466"/>
      <c r="M117" s="467"/>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8"/>
      <c r="B118" s="468">
        <f>B39</f>
        <v>111</v>
      </c>
      <c r="C118" s="484"/>
      <c r="D118" s="484"/>
      <c r="E118" s="484"/>
      <c r="F118" s="484"/>
      <c r="G118" s="512"/>
      <c r="H118" s="512"/>
      <c r="I118" s="512"/>
      <c r="J118" s="512"/>
      <c r="K118" s="513"/>
      <c r="L118" s="514"/>
      <c r="M118" s="515"/>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6"/>
      <c r="B119" s="473"/>
      <c r="C119" s="490"/>
      <c r="D119" s="490"/>
      <c r="E119" s="490"/>
      <c r="F119" s="490"/>
      <c r="G119" s="466"/>
      <c r="H119" s="466"/>
      <c r="I119" s="466"/>
      <c r="J119" s="466"/>
      <c r="K119" s="466"/>
      <c r="L119" s="466"/>
      <c r="M119" s="467"/>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7" customFormat="1" ht="15" thickTop="1">
      <c r="A120" s="405"/>
      <c r="B120" s="468">
        <f>B40</f>
        <v>111</v>
      </c>
      <c r="C120" s="31"/>
      <c r="D120" s="31"/>
      <c r="E120" s="31"/>
      <c r="F120" s="31"/>
      <c r="G120" s="485"/>
      <c r="H120" s="485"/>
      <c r="I120" s="485"/>
      <c r="J120" s="485"/>
      <c r="K120" s="485"/>
      <c r="L120" s="486"/>
      <c r="M120" s="487"/>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7" customFormat="1" ht="15.75" thickBot="1">
      <c r="A121" s="498"/>
      <c r="B121" s="619"/>
      <c r="C121" s="500"/>
      <c r="D121" s="500"/>
      <c r="E121" s="500"/>
      <c r="F121" s="500"/>
      <c r="G121" s="520"/>
      <c r="H121" s="520"/>
      <c r="I121" s="520"/>
      <c r="J121" s="520"/>
      <c r="K121" s="520"/>
      <c r="L121" s="520"/>
      <c r="M121" s="521"/>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2083</v>
      </c>
      <c r="C1" s="3442" t="s">
        <v>2084</v>
      </c>
      <c r="D1" s="3443"/>
      <c r="E1" s="3443"/>
      <c r="F1" s="3443"/>
      <c r="G1" s="3443"/>
      <c r="H1" s="3443"/>
      <c r="I1" s="3443"/>
      <c r="J1" s="3443"/>
      <c r="K1" s="3443"/>
      <c r="L1" s="3443"/>
      <c r="M1" s="3443"/>
      <c r="N1" s="3443"/>
      <c r="O1" s="3443"/>
      <c r="P1" s="3443"/>
      <c r="Q1" s="3443"/>
      <c r="R1" s="3443"/>
      <c r="S1" s="3444"/>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2095</v>
      </c>
      <c r="E19" s="1252"/>
      <c r="F19" s="1252"/>
      <c r="G19" s="1252"/>
      <c r="H19" s="995"/>
      <c r="I19" s="150"/>
      <c r="J19" s="150"/>
      <c r="K19" s="150"/>
      <c r="L19" s="150"/>
      <c r="M19" s="150"/>
      <c r="N19" s="150"/>
      <c r="O19" s="150"/>
      <c r="P19" s="150"/>
      <c r="Q19" s="150"/>
      <c r="R19" s="150"/>
      <c r="S19" s="120"/>
    </row>
    <row r="20" spans="1:45" ht="16.5" thickBot="1">
      <c r="A20" s="631" t="s">
        <v>2096</v>
      </c>
      <c r="B20" s="285" t="e">
        <f ca="1">IF(D20="——",S22,S22-F20)</f>
        <v>#REF!</v>
      </c>
      <c r="C20" s="150"/>
      <c r="D20" s="1988"/>
      <c r="E20" s="1253"/>
      <c r="F20" s="928" t="e">
        <f ca="1">SUMIF(INDIRECT("'"&amp;H20&amp;"'"&amp;"!A:A"),"承租人权益价值",INDIRECT("'"&amp;H20&amp;"'"&amp;"!c:c"))</f>
        <v>#REF!</v>
      </c>
      <c r="G20" s="928" t="s">
        <v>2097</v>
      </c>
      <c r="H20" s="1989"/>
      <c r="I20" s="150"/>
      <c r="J20" s="150"/>
      <c r="K20" s="150"/>
      <c r="L20" s="150"/>
      <c r="M20" s="150"/>
      <c r="N20" s="150"/>
      <c r="O20" s="150"/>
      <c r="P20" s="150"/>
      <c r="Q20" s="150"/>
      <c r="R20" s="150"/>
      <c r="S20" s="120"/>
    </row>
    <row r="21" spans="1:45" ht="15.75">
      <c r="A21" s="631"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0</v>
      </c>
      <c r="C22" s="3439" t="s">
        <v>27</v>
      </c>
      <c r="D22" s="3440"/>
      <c r="E22" s="3440"/>
      <c r="F22" s="3440"/>
      <c r="G22" s="3440"/>
      <c r="H22" s="3440"/>
      <c r="I22" s="3440"/>
      <c r="J22" s="3440"/>
      <c r="K22" s="3440"/>
      <c r="L22" s="3440"/>
      <c r="M22" s="3440"/>
      <c r="N22" s="3440"/>
      <c r="O22" s="3440"/>
      <c r="P22" s="3440"/>
      <c r="Q22" s="344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68">
        <v>1</v>
      </c>
      <c r="D24" s="2569"/>
      <c r="E24" s="2568">
        <v>1</v>
      </c>
      <c r="F24" s="2569"/>
      <c r="G24" s="2568">
        <v>1</v>
      </c>
      <c r="H24" s="2569"/>
      <c r="I24" s="2568">
        <v>1</v>
      </c>
      <c r="J24" s="2569"/>
      <c r="K24" s="2568">
        <v>1</v>
      </c>
      <c r="L24" s="2569"/>
      <c r="M24" s="2568">
        <v>1</v>
      </c>
      <c r="N24" s="2569"/>
      <c r="O24" s="2568">
        <v>1</v>
      </c>
      <c r="P24" s="2569"/>
      <c r="Q24" s="2568">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2081</v>
      </c>
      <c r="B1" s="4"/>
      <c r="C1" s="4"/>
      <c r="D1" s="4"/>
      <c r="E1" s="4"/>
      <c r="F1" s="2542"/>
      <c r="G1" s="2542"/>
      <c r="H1" s="2542"/>
      <c r="I1" s="2542"/>
      <c r="J1" s="2542"/>
      <c r="K1" s="2542"/>
      <c r="L1" s="2542"/>
      <c r="M1" s="2542"/>
      <c r="N1" s="2542"/>
      <c r="O1" s="2542"/>
      <c r="P1" s="2542"/>
    </row>
    <row r="2" spans="1:16" ht="15.75">
      <c r="A2" s="1983" t="s">
        <v>2073</v>
      </c>
      <c r="B2" s="2386" t="e">
        <f ca="1">SUMIF(B6:B13,"&lt;&gt;#ref!",B6:B13)</f>
        <v>#DIV/0!</v>
      </c>
      <c r="C2" s="1983" t="s">
        <v>2074</v>
      </c>
      <c r="D2" s="1983" t="s">
        <v>2075</v>
      </c>
      <c r="E2" s="2396">
        <f ca="1">SUMIF(E6:E13,"&lt;&gt;#ref!",E6:E13)</f>
        <v>0</v>
      </c>
      <c r="F2" s="2542"/>
      <c r="G2" s="2542"/>
      <c r="H2" s="2542"/>
      <c r="I2" s="2542"/>
      <c r="J2" s="2542"/>
      <c r="K2" s="2542"/>
      <c r="L2" s="2542"/>
      <c r="M2" s="2542"/>
      <c r="N2" s="2542"/>
      <c r="O2" s="2542"/>
      <c r="P2" s="2542"/>
    </row>
    <row r="3" spans="1:16" ht="15.75">
      <c r="A3" s="1983" t="s">
        <v>2076</v>
      </c>
      <c r="B3" s="2386" t="e">
        <f ca="1">ROUND(B2*10000/E2,0)</f>
        <v>#DIV/0!</v>
      </c>
      <c r="C3" s="1983"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2" t="s">
        <v>2077</v>
      </c>
      <c r="B5" s="2394" t="s">
        <v>2078</v>
      </c>
      <c r="C5" s="1984"/>
      <c r="D5" s="2542"/>
      <c r="E5" s="2395" t="s">
        <v>2079</v>
      </c>
      <c r="F5" s="2542"/>
      <c r="G5" s="2542"/>
      <c r="H5" s="2542"/>
      <c r="I5" s="2542"/>
      <c r="J5" s="2542"/>
      <c r="K5" s="2542"/>
      <c r="L5" s="2542"/>
      <c r="M5" s="2542"/>
      <c r="N5" s="2542"/>
      <c r="O5" s="2542"/>
      <c r="P5" s="2542"/>
    </row>
    <row r="6" spans="1:16" ht="15.75">
      <c r="A6" s="2393" t="s">
        <v>2080</v>
      </c>
      <c r="B6" s="2386" t="e">
        <f ca="1">SUMIF(INDIRECT("'"&amp;A6&amp;"'"&amp;"!A:A"),"总价",INDIRECT("'"&amp;A6&amp;"'"&amp;"!B:B"))</f>
        <v>#DIV/0!</v>
      </c>
      <c r="C6" s="1983" t="s">
        <v>2074</v>
      </c>
      <c r="D6" s="2542"/>
      <c r="E6" s="2396">
        <f ca="1">SUMIF(INDIRECT("'"&amp;A6&amp;"'"&amp;"!C:C"),"建筑面积",INDIRECT("'"&amp;A6&amp;"'"&amp;"!D:D"))</f>
        <v>0</v>
      </c>
      <c r="F6" s="2542"/>
      <c r="G6" s="2542"/>
      <c r="H6" s="2542"/>
      <c r="I6" s="2542"/>
      <c r="J6" s="2542"/>
      <c r="K6" s="2542"/>
      <c r="L6" s="2542"/>
      <c r="M6" s="2542"/>
      <c r="N6" s="2542"/>
      <c r="O6" s="2542"/>
      <c r="P6" s="2542"/>
    </row>
    <row r="7" spans="1:16" ht="15.75">
      <c r="A7" s="2393"/>
      <c r="B7" s="2386" t="e">
        <f ca="1">SUMIF(INDIRECT("'"&amp;A7&amp;"'"&amp;"!A:A"),"总价",INDIRECT("'"&amp;A7&amp;"'"&amp;"!B:B"))</f>
        <v>#REF!</v>
      </c>
      <c r="C7" s="1983"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75">
      <c r="A8" s="2393"/>
      <c r="B8" s="2386" t="e">
        <f t="shared" ref="B8:B13" ca="1" si="1">SUMIF(INDIRECT("'"&amp;A8&amp;"'"&amp;"!A:A"),"总价",INDIRECT("'"&amp;A8&amp;"'"&amp;"!B:B"))</f>
        <v>#REF!</v>
      </c>
      <c r="C8" s="1983" t="s">
        <v>2074</v>
      </c>
      <c r="D8" s="2542"/>
      <c r="E8" s="2396" t="e">
        <f t="shared" ca="1" si="0"/>
        <v>#REF!</v>
      </c>
      <c r="F8" s="2542"/>
      <c r="G8" s="2542"/>
      <c r="H8" s="2542"/>
      <c r="I8" s="2542"/>
      <c r="J8" s="2542"/>
      <c r="K8" s="2542"/>
      <c r="L8" s="2542"/>
      <c r="M8" s="2542"/>
      <c r="N8" s="2542"/>
      <c r="O8" s="2542"/>
      <c r="P8" s="2542"/>
    </row>
    <row r="9" spans="1:16" ht="15.75">
      <c r="A9" s="2393"/>
      <c r="B9" s="2386" t="e">
        <f t="shared" ca="1" si="1"/>
        <v>#REF!</v>
      </c>
      <c r="C9" s="1983" t="s">
        <v>2074</v>
      </c>
      <c r="D9" s="2542"/>
      <c r="E9" s="2396" t="e">
        <f t="shared" ca="1" si="0"/>
        <v>#REF!</v>
      </c>
      <c r="F9" s="2542"/>
      <c r="G9" s="2542"/>
      <c r="H9" s="2542"/>
      <c r="I9" s="2542"/>
      <c r="J9" s="2542"/>
      <c r="K9" s="2542"/>
      <c r="L9" s="2542"/>
      <c r="M9" s="2542"/>
      <c r="N9" s="2542"/>
      <c r="O9" s="2542"/>
      <c r="P9" s="2542"/>
    </row>
    <row r="10" spans="1:16" ht="15.75">
      <c r="A10" s="2393"/>
      <c r="B10" s="2386" t="e">
        <f t="shared" ca="1" si="1"/>
        <v>#REF!</v>
      </c>
      <c r="C10" s="1983" t="s">
        <v>2074</v>
      </c>
      <c r="D10" s="2542"/>
      <c r="E10" s="2396" t="e">
        <f t="shared" ca="1" si="0"/>
        <v>#REF!</v>
      </c>
      <c r="F10" s="2542"/>
      <c r="G10" s="2542"/>
      <c r="H10" s="2542"/>
      <c r="I10" s="2542"/>
      <c r="J10" s="2542"/>
      <c r="K10" s="2542"/>
      <c r="L10" s="2542"/>
      <c r="M10" s="2542"/>
      <c r="N10" s="2542"/>
      <c r="O10" s="2542"/>
      <c r="P10" s="2542"/>
    </row>
    <row r="11" spans="1:16" ht="15.75">
      <c r="A11" s="2393"/>
      <c r="B11" s="2386" t="e">
        <f t="shared" ca="1" si="1"/>
        <v>#REF!</v>
      </c>
      <c r="C11" s="1983" t="s">
        <v>2074</v>
      </c>
      <c r="D11" s="2542"/>
      <c r="E11" s="2396" t="e">
        <f t="shared" ca="1" si="0"/>
        <v>#REF!</v>
      </c>
      <c r="F11" s="2542"/>
      <c r="G11" s="2542"/>
      <c r="H11" s="2542"/>
      <c r="I11" s="2542"/>
      <c r="J11" s="2542"/>
      <c r="K11" s="2542"/>
      <c r="L11" s="2542"/>
      <c r="M11" s="2542"/>
      <c r="N11" s="2542"/>
      <c r="O11" s="2542"/>
      <c r="P11" s="2542"/>
    </row>
    <row r="12" spans="1:16" ht="15.75">
      <c r="A12" s="2393"/>
      <c r="B12" s="2386" t="e">
        <f t="shared" ca="1" si="1"/>
        <v>#REF!</v>
      </c>
      <c r="C12" s="1983" t="s">
        <v>2074</v>
      </c>
      <c r="D12" s="2542"/>
      <c r="E12" s="2396" t="e">
        <f t="shared" ca="1" si="0"/>
        <v>#REF!</v>
      </c>
      <c r="F12" s="2542"/>
      <c r="G12" s="2542"/>
      <c r="H12" s="2542"/>
      <c r="I12" s="2542"/>
      <c r="J12" s="2542"/>
      <c r="K12" s="2542"/>
      <c r="L12" s="2542"/>
      <c r="M12" s="2542"/>
      <c r="N12" s="2542"/>
      <c r="O12" s="2542"/>
      <c r="P12" s="2542"/>
    </row>
    <row r="13" spans="1:16" ht="15.75">
      <c r="A13" s="2393"/>
      <c r="B13" s="2386" t="e">
        <f t="shared" ca="1" si="1"/>
        <v>#REF!</v>
      </c>
      <c r="C13" s="1983"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 zoomScaleNormal="80" zoomScaleSheetLayoutView="100" workbookViewId="0">
      <selection activeCell="C23" sqref="C23"/>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7" t="s">
        <v>1926</v>
      </c>
      <c r="B1" s="188"/>
      <c r="C1" s="192" t="s">
        <v>1927</v>
      </c>
      <c r="D1" s="332">
        <f>SUM(D33:D34,D37:D42)</f>
        <v>0</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2" t="s">
        <v>1934</v>
      </c>
      <c r="B2" s="195" t="e">
        <f>C30</f>
        <v>#DIV/0!</v>
      </c>
      <c r="C2" s="1845" t="s">
        <v>1935</v>
      </c>
      <c r="D2" s="161" t="s">
        <v>1936</v>
      </c>
      <c r="E2" s="3118"/>
      <c r="F2" s="161" t="s">
        <v>1937</v>
      </c>
      <c r="G2" s="162">
        <f>IF(E2="商业",项目基本情况!B37,IF(E2="办公",项目基本情况!C37,IF(E2="住宅",项目基本情况!D37,IF(E2="工业",项目基本情况!E37,项目基本情况!F37))))</f>
        <v>0</v>
      </c>
      <c r="H2" s="161" t="s">
        <v>1938</v>
      </c>
      <c r="I2" s="162">
        <f>IF(E2="商业",项目基本情况!B38,IF(E2="办公",项目基本情况!C38,IF(E2="住宅",项目基本情况!D38,IF(E2="工业",项目基本情况!E38,项目基本情况!F38))))</f>
        <v>0</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1">
        <f>ROUND(SUMPRODUCT((B106:B110=R2)*(C105:N105=G2)*(C106:N110)),4)</f>
        <v>0</v>
      </c>
      <c r="T2" s="3061" t="e">
        <f t="shared" ref="T2:T16" si="0">ROUND($C$5*$C$22*$C$23*$C$24*S2*$C$28,0)</f>
        <v>#DIV/0!</v>
      </c>
      <c r="U2" s="1129"/>
      <c r="V2" s="3061" t="e">
        <f>ROUND(T2*U2/10000,0)</f>
        <v>#DIV/0!</v>
      </c>
      <c r="W2" s="1132"/>
      <c r="X2" s="1132"/>
      <c r="Y2" s="1132"/>
      <c r="Z2" s="1132"/>
      <c r="AA2" s="1132"/>
      <c r="AB2" s="1132"/>
      <c r="AC2" s="1133"/>
      <c r="AD2" s="1134"/>
      <c r="AE2" s="1134"/>
      <c r="AF2" s="1134"/>
      <c r="AG2" s="1134"/>
      <c r="AH2" s="1134"/>
      <c r="AI2" s="1134"/>
      <c r="AJ2" s="1135"/>
    </row>
    <row r="3" spans="1:36" ht="15.75">
      <c r="A3" s="194" t="s">
        <v>1940</v>
      </c>
      <c r="B3" s="195" t="e">
        <f>ROUND(B2*10000/D1,0)</f>
        <v>#DIV/0!</v>
      </c>
      <c r="C3" s="1845" t="s">
        <v>1941</v>
      </c>
      <c r="D3" s="161" t="s">
        <v>1942</v>
      </c>
      <c r="E3" s="3116"/>
      <c r="F3" s="1847"/>
      <c r="G3" s="707">
        <f>IF(F3="宗地容积率",'数据-汇总表'!I4,IF(F3="估价对象容积率",'数据-汇总表'!I6,'数据-汇总表'!I7))</f>
        <v>0</v>
      </c>
      <c r="H3" s="161"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1">
        <f>ROUND(SUMPRODUCT((B106:B110=R3)*(C105:N105=G2)*(C106:N110)),4)</f>
        <v>0</v>
      </c>
      <c r="T3" s="3061" t="e">
        <f t="shared" si="0"/>
        <v>#DIV/0!</v>
      </c>
      <c r="U3" s="1129"/>
      <c r="V3" s="3061" t="e">
        <f t="shared" ref="V3:V16" si="1">ROUND(T3*U3/10000,0)</f>
        <v>#DIV/0!</v>
      </c>
      <c r="W3" s="1132"/>
      <c r="X3" s="1132"/>
      <c r="Y3" s="1132"/>
      <c r="Z3" s="1132"/>
      <c r="AA3" s="1132"/>
      <c r="AB3" s="1132"/>
      <c r="AC3" s="1133"/>
      <c r="AD3" s="1134"/>
      <c r="AE3" s="1134"/>
      <c r="AF3" s="1134"/>
      <c r="AG3" s="1134"/>
      <c r="AH3" s="1134"/>
      <c r="AI3" s="1134"/>
      <c r="AJ3" s="1135"/>
    </row>
    <row r="4" spans="1:36" ht="15.75">
      <c r="A4" s="3452"/>
      <c r="B4" s="3453"/>
      <c r="C4" s="3453"/>
      <c r="D4" s="3454"/>
      <c r="E4" s="3454"/>
      <c r="F4" s="3454"/>
      <c r="G4" s="3454"/>
      <c r="H4" s="3454"/>
      <c r="I4" s="3454"/>
      <c r="J4" s="3455"/>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1">
        <f>ROUND(SUMPRODUCT((B106:B110=R4)*(C105:N105=G2)*(C106:N110)),4)</f>
        <v>0</v>
      </c>
      <c r="T4" s="3061" t="e">
        <f t="shared" si="0"/>
        <v>#DIV/0!</v>
      </c>
      <c r="U4" s="1129"/>
      <c r="V4" s="3061" t="e">
        <f t="shared" si="1"/>
        <v>#DIV/0!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8" t="e">
        <f>ROUND(IF(E2="商业",C6*C7*C17+C20,(IF(E2="住宅",C6*C13*C17+C20,IF(E2="办公",C6*C12*C17+C20,C6+C20)))),0)</f>
        <v>#DIV/0!</v>
      </c>
      <c r="D5" s="1251" t="e">
        <f>ROUND(C6*C17+C20,0)</f>
        <v>#DIV/0!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1">
        <f>ROUND(SUMPRODUCT((B106:B110=R5)*(C105:N105=G2)*(C106:N110)),4)</f>
        <v>0</v>
      </c>
      <c r="T5" s="3061" t="e">
        <f t="shared" si="0"/>
        <v>#DIV/0!</v>
      </c>
      <c r="U5" s="1129"/>
      <c r="V5" s="3061" t="e">
        <f t="shared" si="1"/>
        <v>#DIV/0!</v>
      </c>
      <c r="W5" s="1132"/>
      <c r="X5" s="1132"/>
      <c r="Y5" s="1132"/>
      <c r="Z5" s="1132"/>
      <c r="AA5" s="1132"/>
      <c r="AB5" s="1132"/>
      <c r="AC5" s="1854"/>
      <c r="AD5" s="1855"/>
      <c r="AE5" s="1855"/>
      <c r="AF5" s="1855"/>
      <c r="AG5" s="1855"/>
      <c r="AH5" s="1855"/>
      <c r="AI5" s="1855"/>
      <c r="AJ5" s="1856"/>
    </row>
    <row r="6" spans="1:36" ht="15.75" thickBot="1">
      <c r="A6" s="1858" t="s">
        <v>1949</v>
      </c>
      <c r="B6" s="1859" t="s">
        <v>1950</v>
      </c>
      <c r="C6" s="709">
        <f>SUMIF(L1:L12,G2,M1:M12)</f>
        <v>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1">
        <f>ROUND(SUMPRODUCT((B106:B110=R6)*(C105:N105=G2)*(C106:N110)),4)</f>
        <v>0</v>
      </c>
      <c r="T6" s="3061" t="e">
        <f t="shared" si="0"/>
        <v>#DIV/0!</v>
      </c>
      <c r="U6" s="1129"/>
      <c r="V6" s="3061" t="e">
        <f t="shared" si="1"/>
        <v>#DIV/0!</v>
      </c>
      <c r="W6" s="1132"/>
      <c r="X6" s="1132"/>
      <c r="Y6" s="1132"/>
      <c r="Z6" s="1132"/>
      <c r="AA6" s="1132"/>
      <c r="AB6" s="1132"/>
      <c r="AC6" s="1854"/>
      <c r="AD6" s="1855"/>
      <c r="AE6" s="1855"/>
      <c r="AF6" s="1855"/>
      <c r="AG6" s="1855"/>
      <c r="AH6" s="1855"/>
      <c r="AI6" s="1855"/>
      <c r="AJ6" s="1856"/>
    </row>
    <row r="7" spans="1:36" ht="24.75" thickBot="1">
      <c r="A7" s="3010" t="s">
        <v>3239</v>
      </c>
      <c r="B7" s="1864" t="s">
        <v>1952</v>
      </c>
      <c r="C7" s="710" t="e">
        <f>IF(C8="不临65条商业街",1,ROUND(1+(1.6*E8+1.2*E9+0.8*E10+0.4*E11)*C9,4))</f>
        <v>#DIV/0!</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5"/>
      <c r="T7" s="3061" t="e">
        <f t="shared" si="0"/>
        <v>#DIV/0!</v>
      </c>
      <c r="U7" s="1129"/>
      <c r="V7" s="3061"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7"/>
      <c r="B8" s="161" t="s">
        <v>1957</v>
      </c>
      <c r="C8" s="1869"/>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1" t="e">
        <f t="shared" si="0"/>
        <v>#DIV/0!</v>
      </c>
      <c r="U8" s="1129"/>
      <c r="V8" s="3061" t="e">
        <f t="shared" si="1"/>
        <v>#DIV/0!</v>
      </c>
      <c r="W8" s="3449" t="s">
        <v>1960</v>
      </c>
      <c r="X8" s="3450"/>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7"/>
      <c r="B9" s="161" t="s">
        <v>1973</v>
      </c>
      <c r="C9" s="713">
        <f>SUMIF(修正!C71:C138,C8,修正!E71:E138)</f>
        <v>0</v>
      </c>
      <c r="D9" s="162" t="s">
        <v>113</v>
      </c>
      <c r="E9" s="162"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1" t="e">
        <f t="shared" si="0"/>
        <v>#DIV/0!</v>
      </c>
      <c r="U9" s="1129"/>
      <c r="V9" s="3061" t="e">
        <f t="shared" si="1"/>
        <v>#DIV/0!</v>
      </c>
      <c r="W9" s="3451"/>
      <c r="X9" s="3062" t="s">
        <v>3270</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1" t="s">
        <v>1976</v>
      </c>
      <c r="C10" s="162">
        <f>SUMIF(修正!C71:C138,C8,修正!F71:F138)</f>
        <v>0</v>
      </c>
      <c r="D10" s="162" t="s">
        <v>114</v>
      </c>
      <c r="E10" s="162"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1" t="e">
        <f t="shared" si="0"/>
        <v>#DIV/0!</v>
      </c>
      <c r="U10" s="1129"/>
      <c r="V10" s="3061" t="e">
        <f t="shared" si="1"/>
        <v>#DIV/0!</v>
      </c>
      <c r="W10" s="3451"/>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1" t="e">
        <f t="shared" si="0"/>
        <v>#DIV/0!</v>
      </c>
      <c r="U11" s="1129"/>
      <c r="V11" s="3061" t="e">
        <f t="shared" si="1"/>
        <v>#DIV/0!</v>
      </c>
      <c r="W11" s="1132"/>
      <c r="X11" s="1132"/>
      <c r="Y11" s="1132"/>
      <c r="Z11" s="1132"/>
      <c r="AA11" s="1132"/>
      <c r="AB11" s="1132"/>
      <c r="AC11" s="1133"/>
      <c r="AD11" s="2551"/>
      <c r="AE11" s="2551"/>
      <c r="AF11" s="2551"/>
      <c r="AG11" s="2551"/>
      <c r="AH11" s="2551"/>
      <c r="AI11" s="2551"/>
      <c r="AJ11" s="2552"/>
    </row>
    <row r="12" spans="1:36" ht="25.5" thickBot="1">
      <c r="A12" s="3010" t="s">
        <v>3240</v>
      </c>
      <c r="B12" s="3011" t="s">
        <v>3241</v>
      </c>
      <c r="C12" s="3012"/>
      <c r="D12" s="3013" t="s">
        <v>3242</v>
      </c>
      <c r="E12" s="3014" t="s">
        <v>3243</v>
      </c>
      <c r="F12" s="3015"/>
      <c r="G12" s="3016"/>
      <c r="H12" s="3016"/>
      <c r="I12" s="3016"/>
      <c r="J12" s="3017"/>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1" t="e">
        <f t="shared" si="0"/>
        <v>#DIV/0!</v>
      </c>
      <c r="U12" s="1129"/>
      <c r="V12" s="3061" t="e">
        <f t="shared" si="1"/>
        <v>#DIV/0!</v>
      </c>
      <c r="W12" s="1132"/>
      <c r="X12" s="1132"/>
      <c r="Y12" s="1132"/>
      <c r="Z12" s="1132"/>
      <c r="AA12" s="1132"/>
      <c r="AB12" s="1132"/>
      <c r="AC12" s="1133"/>
      <c r="AD12" s="2551"/>
      <c r="AE12" s="2551"/>
      <c r="AF12" s="2551"/>
      <c r="AG12" s="2551"/>
      <c r="AH12" s="2551"/>
      <c r="AI12" s="2551"/>
      <c r="AJ12" s="2552"/>
    </row>
    <row r="13" spans="1:36" ht="15.75" thickBot="1">
      <c r="A13" s="3010" t="s">
        <v>3244</v>
      </c>
      <c r="B13" s="1877" t="s">
        <v>1982</v>
      </c>
      <c r="C13" s="710">
        <f>ROUND(C16*D16*E16*F16*G16*H16*I16*J16,4)</f>
        <v>0</v>
      </c>
      <c r="D13" s="1878" t="s">
        <v>1983</v>
      </c>
      <c r="E13" s="1879"/>
      <c r="F13" s="1879"/>
      <c r="G13" s="1880"/>
      <c r="H13" s="1880"/>
      <c r="I13" s="1880"/>
      <c r="J13" s="1881"/>
      <c r="K13" s="1055"/>
      <c r="L13" s="3"/>
      <c r="M13" s="4"/>
      <c r="N13" s="3008"/>
      <c r="O13" s="1055"/>
      <c r="P13" s="1055"/>
      <c r="Q13" s="1055"/>
      <c r="R13" s="1128">
        <v>12</v>
      </c>
      <c r="S13" s="1129"/>
      <c r="T13" s="3061" t="e">
        <f t="shared" si="0"/>
        <v>#DIV/0!</v>
      </c>
      <c r="U13" s="1129"/>
      <c r="V13" s="3061" t="e">
        <f t="shared" si="1"/>
        <v>#DIV/0!</v>
      </c>
      <c r="W13" s="1132"/>
      <c r="X13" s="1132"/>
      <c r="Y13" s="1132"/>
      <c r="Z13" s="1132"/>
      <c r="AA13" s="1132"/>
      <c r="AB13" s="1132"/>
      <c r="AC13" s="1133"/>
      <c r="AD13" s="2551"/>
      <c r="AE13" s="2551"/>
      <c r="AF13" s="2551"/>
      <c r="AG13" s="2551"/>
      <c r="AH13" s="2551"/>
      <c r="AI13" s="2551"/>
      <c r="AJ13" s="2552"/>
    </row>
    <row r="14" spans="1:36" ht="15">
      <c r="A14" s="3006"/>
      <c r="B14" s="1882" t="s">
        <v>1985</v>
      </c>
      <c r="C14" s="1883" t="s">
        <v>1986</v>
      </c>
      <c r="D14" s="1260" t="s">
        <v>1987</v>
      </c>
      <c r="E14" s="27" t="s">
        <v>1988</v>
      </c>
      <c r="F14" s="3018" t="s">
        <v>3245</v>
      </c>
      <c r="G14" s="3018" t="s">
        <v>3245</v>
      </c>
      <c r="H14" s="3018" t="s">
        <v>3245</v>
      </c>
      <c r="I14" s="3018" t="s">
        <v>3245</v>
      </c>
      <c r="J14" s="3018" t="s">
        <v>3245</v>
      </c>
      <c r="K14" s="1055"/>
      <c r="L14" s="1055"/>
      <c r="M14" s="1055"/>
      <c r="N14" s="1055"/>
      <c r="O14" s="1055"/>
      <c r="P14" s="1055"/>
      <c r="Q14" s="1055"/>
      <c r="R14" s="1128">
        <v>13</v>
      </c>
      <c r="S14" s="1129"/>
      <c r="T14" s="3061" t="e">
        <f t="shared" si="0"/>
        <v>#DIV/0!</v>
      </c>
      <c r="U14" s="1129"/>
      <c r="V14" s="3061" t="e">
        <f t="shared" si="1"/>
        <v>#DIV/0!</v>
      </c>
      <c r="W14" s="1132"/>
      <c r="X14" s="1132"/>
      <c r="Y14" s="1132"/>
      <c r="Z14" s="1132"/>
      <c r="AA14" s="1132"/>
      <c r="AB14" s="1132"/>
      <c r="AC14" s="1133"/>
      <c r="AD14" s="2551"/>
      <c r="AE14" s="2551"/>
      <c r="AF14" s="2551"/>
      <c r="AG14" s="2551"/>
      <c r="AH14" s="2551"/>
      <c r="AI14" s="2551"/>
      <c r="AJ14" s="2552"/>
    </row>
    <row r="15" spans="1:36" ht="15">
      <c r="A15" s="3006"/>
      <c r="B15" s="1884"/>
      <c r="C15" s="1885"/>
      <c r="D15" s="1886"/>
      <c r="E15" s="1887"/>
      <c r="F15" s="1469" t="s">
        <v>3246</v>
      </c>
      <c r="G15" s="1927"/>
      <c r="H15" s="3019"/>
      <c r="I15" s="3020"/>
      <c r="J15" s="3021"/>
      <c r="K15" s="1055"/>
      <c r="L15" s="1055"/>
      <c r="M15" s="1055"/>
      <c r="N15" s="1055"/>
      <c r="O15" s="1055"/>
      <c r="P15" s="1055"/>
      <c r="Q15" s="1055"/>
      <c r="R15" s="1128">
        <v>14</v>
      </c>
      <c r="S15" s="1129"/>
      <c r="T15" s="3061" t="e">
        <f t="shared" si="0"/>
        <v>#DIV/0!</v>
      </c>
      <c r="U15" s="1129"/>
      <c r="V15" s="3061" t="e">
        <f t="shared" si="1"/>
        <v>#DIV/0!</v>
      </c>
      <c r="W15" s="1132"/>
      <c r="X15" s="1132"/>
      <c r="Y15" s="1132"/>
      <c r="Z15" s="1132"/>
      <c r="AA15" s="1132"/>
      <c r="AB15" s="1132"/>
      <c r="AC15" s="1133"/>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5"/>
      <c r="L16" s="1843"/>
      <c r="M16" s="1843"/>
      <c r="N16" s="1843"/>
      <c r="O16" s="1843"/>
      <c r="P16" s="1843"/>
      <c r="Q16" s="1055"/>
      <c r="R16" s="1128">
        <v>15</v>
      </c>
      <c r="S16" s="1129"/>
      <c r="T16" s="3061" t="e">
        <f t="shared" si="0"/>
        <v>#DIV/0!</v>
      </c>
      <c r="U16" s="1129"/>
      <c r="V16" s="3061" t="e">
        <f t="shared" si="1"/>
        <v>#DIV/0!</v>
      </c>
      <c r="W16" s="1132"/>
      <c r="X16" s="1132"/>
      <c r="Y16" s="1132"/>
      <c r="Z16" s="1132"/>
      <c r="AA16" s="1132"/>
      <c r="AB16" s="1132"/>
      <c r="AC16" s="1133"/>
      <c r="AD16" s="2551"/>
      <c r="AE16" s="2551"/>
      <c r="AF16" s="2551"/>
      <c r="AG16" s="2551"/>
      <c r="AH16" s="2551"/>
      <c r="AI16" s="2551"/>
      <c r="AJ16" s="2552"/>
    </row>
    <row r="17" spans="1:37">
      <c r="A17" s="3033" t="s">
        <v>3247</v>
      </c>
      <c r="B17" s="3025" t="s">
        <v>3248</v>
      </c>
      <c r="C17" s="3034">
        <f>ROUND(IF(OR(E2="工业",E2="公共服务"),1,IF(AND(E18=0,E19=0),1,IF(AND(E18=J24,E19=G19),0.8,IF(E19=0,1+E17*(-0.2),1+E17*G17*(-0.2))))),4)</f>
        <v>1</v>
      </c>
      <c r="D17" s="3026" t="s">
        <v>3249</v>
      </c>
      <c r="E17" s="3034" t="e">
        <f>ROUND(G18/I18,2)</f>
        <v>#DIV/0!</v>
      </c>
      <c r="F17" s="3026" t="s">
        <v>3252</v>
      </c>
      <c r="G17" s="3034" t="e">
        <f>ROUND(E19/G19,2)</f>
        <v>#DIV/0!</v>
      </c>
      <c r="H17" s="3034"/>
      <c r="I17" s="3034"/>
      <c r="J17" s="3035"/>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6"/>
      <c r="B18" s="2308"/>
      <c r="C18" s="3032"/>
      <c r="D18" s="3027" t="s">
        <v>3250</v>
      </c>
      <c r="E18" s="2355"/>
      <c r="F18" s="3028" t="s">
        <v>3253</v>
      </c>
      <c r="G18" s="3032">
        <f>ROUND(1-(1/(POWER(1+G24,E18))),4)</f>
        <v>0</v>
      </c>
      <c r="H18" s="3028" t="s">
        <v>3255</v>
      </c>
      <c r="I18" s="3032">
        <f>ROUND(1-(1/(POWER(1+G24,J24))),4)</f>
        <v>0</v>
      </c>
      <c r="J18" s="3037"/>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0"/>
    </row>
    <row r="19" spans="1:37" s="1857" customFormat="1" ht="15" thickBot="1">
      <c r="A19" s="3038"/>
      <c r="B19" s="3039"/>
      <c r="C19" s="3040"/>
      <c r="D19" s="3040" t="s">
        <v>3251</v>
      </c>
      <c r="E19" s="3041"/>
      <c r="F19" s="3042" t="s">
        <v>3254</v>
      </c>
      <c r="G19" s="3041"/>
      <c r="H19" s="3040"/>
      <c r="I19" s="3040"/>
      <c r="J19" s="3043"/>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3"/>
      <c r="AH19" s="1979"/>
      <c r="AI19" s="560"/>
      <c r="AJ19" s="560"/>
      <c r="AK19" s="1898"/>
    </row>
    <row r="20" spans="1:37" s="1857" customFormat="1" ht="14.25">
      <c r="A20" s="3456" t="s">
        <v>3256</v>
      </c>
      <c r="B20" s="158" t="s">
        <v>1994</v>
      </c>
      <c r="C20" s="3029" t="e">
        <f>ROUND(IF(F21="与级别开发程度一致",0,(G21-E21)/C21),0)</f>
        <v>#DIV/0!</v>
      </c>
      <c r="D20" s="3044" t="s">
        <v>1998</v>
      </c>
      <c r="E20" s="3045"/>
      <c r="F20" s="3462" t="s">
        <v>1995</v>
      </c>
      <c r="G20" s="3463"/>
      <c r="H20" s="3030"/>
      <c r="I20" s="3030"/>
      <c r="J20" s="3031"/>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0"/>
      <c r="AH20" s="2550"/>
      <c r="AI20" s="2550"/>
      <c r="AJ20" s="2550"/>
    </row>
    <row r="21" spans="1:37" s="1857" customFormat="1" ht="15" thickBot="1">
      <c r="A21" s="3457"/>
      <c r="B21" s="2001" t="s">
        <v>1997</v>
      </c>
      <c r="C21" s="2002">
        <f>IF(E3="M4科研用地",SUMPRODUCT((修正!A2:A7=E3)*(修正!B1:M1=G2)*(修正!B2:M7)),SUMPRODUCT((修正!A2:A7=E2)*(修正!B1:M1=G2)*(修正!B2:M7)))</f>
        <v>0</v>
      </c>
      <c r="D21" s="178"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0"/>
      <c r="R21" s="1059"/>
      <c r="S21" s="1059"/>
      <c r="T21" s="1056"/>
      <c r="U21" s="1056"/>
      <c r="V21" s="1056"/>
      <c r="W21" s="1055"/>
      <c r="X21" s="1055"/>
      <c r="Y21" s="1055"/>
      <c r="Z21" s="1060"/>
      <c r="AA21" s="1060"/>
      <c r="AB21" s="1060"/>
      <c r="AC21" s="1060"/>
      <c r="AD21" s="1060"/>
      <c r="AE21" s="1060"/>
      <c r="AF21" s="1060"/>
      <c r="AG21" s="2550"/>
      <c r="AH21" s="2550"/>
      <c r="AI21" s="2550"/>
      <c r="AJ21" s="2550"/>
    </row>
    <row r="22" spans="1:37" s="1857" customFormat="1" ht="15.75" thickBot="1">
      <c r="A22" s="1995" t="s">
        <v>363</v>
      </c>
      <c r="B22" s="1996" t="s">
        <v>2000</v>
      </c>
      <c r="C22" s="1997">
        <f>SUMIF(修正!C20:C51,E3,修正!E20:E51)</f>
        <v>0</v>
      </c>
      <c r="D22" s="1998"/>
      <c r="E22" s="1999"/>
      <c r="F22" s="1999"/>
      <c r="G22" s="1999"/>
      <c r="H22" s="1999"/>
      <c r="I22" s="1999"/>
      <c r="J22" s="2000"/>
      <c r="K22" s="1060"/>
      <c r="L22" s="2550"/>
      <c r="M22" s="2550"/>
      <c r="N22" s="2550"/>
      <c r="O22" s="1058"/>
      <c r="P22" s="1058"/>
      <c r="Q22" s="2550"/>
      <c r="R22" s="1059"/>
      <c r="S22" s="1059"/>
      <c r="T22" s="1056"/>
      <c r="U22" s="1056"/>
      <c r="V22" s="1056"/>
      <c r="W22" s="1055"/>
      <c r="X22" s="1055"/>
      <c r="Y22" s="1055"/>
      <c r="Z22" s="1060"/>
      <c r="AA22" s="1060"/>
      <c r="AB22" s="1060"/>
      <c r="AC22" s="1060"/>
      <c r="AD22" s="1060"/>
      <c r="AE22" s="1060"/>
      <c r="AF22" s="1060"/>
      <c r="AG22" s="2550"/>
      <c r="AH22" s="2550"/>
      <c r="AI22" s="2550"/>
      <c r="AJ22" s="2550"/>
    </row>
    <row r="23" spans="1:37" ht="26.25" thickBot="1">
      <c r="A23" s="1891" t="s">
        <v>364</v>
      </c>
      <c r="B23" s="1892" t="s">
        <v>2001</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5" t="s">
        <v>2002</v>
      </c>
      <c r="E23" s="716">
        <v>44197</v>
      </c>
      <c r="F23" s="1895" t="s">
        <v>2003</v>
      </c>
      <c r="G23" s="717">
        <f>'数据-取费表'!B2</f>
        <v>45580</v>
      </c>
      <c r="H23" s="3046" t="s">
        <v>3258</v>
      </c>
      <c r="I23" s="3047" t="str">
        <f>IF(H23="季度增幅（自定义）",SUMIF(N25:N28,E2,O25:O28),"")</f>
        <v/>
      </c>
      <c r="J23" s="3139" t="s">
        <v>3257</v>
      </c>
      <c r="K23" s="1060"/>
      <c r="L23" s="1896" t="s">
        <v>2004</v>
      </c>
      <c r="M23" s="1240">
        <f>ROUND(SUMIF(地价!B2:G2,E2,地价!B16:G16),0)</f>
        <v>0</v>
      </c>
      <c r="N23" s="1897" t="s">
        <v>2005</v>
      </c>
      <c r="O23" s="718">
        <f>ROUNDDOWN(DATEDIF(E23,G23,"M")/3,0)</f>
        <v>15</v>
      </c>
      <c r="P23" s="1056"/>
      <c r="Q23" s="2550"/>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19" t="e">
        <f>ROUND(POWER(1+G24,J24-I24)*(POWER(1+G24,I24)-1)/(POWER(1+G24,J24)-1),4)</f>
        <v>#DIV/0!</v>
      </c>
      <c r="D24" s="1901" t="s">
        <v>2007</v>
      </c>
      <c r="E24" s="1247">
        <f>存贷款利率!E27/100</f>
        <v>4.3499999999999997E-2</v>
      </c>
      <c r="F24" s="1901" t="s">
        <v>1999</v>
      </c>
      <c r="G24" s="723">
        <f>SUMIF(M30:Q30,E2,M33:Q33)</f>
        <v>0</v>
      </c>
      <c r="H24" s="1901" t="s">
        <v>2008</v>
      </c>
      <c r="I24" s="724" t="e">
        <f>SUMIF('数据-取费表'!C6:C15,E2,'数据-取费表'!F6:F15)/COUNTIF('数据-取费表'!C6:C15,E2)</f>
        <v>#DIV/0!</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0"/>
      <c r="AH24" s="2550"/>
      <c r="AI24" s="2550"/>
      <c r="AJ24" s="2550"/>
    </row>
    <row r="25" spans="1:37" ht="15">
      <c r="A25" s="1906" t="s">
        <v>366</v>
      </c>
      <c r="B25" s="1907" t="s">
        <v>3337</v>
      </c>
      <c r="C25" s="460">
        <f>IF(B25="容积率修正",IF(G3&lt;10,D26,J26),C27)</f>
        <v>0</v>
      </c>
      <c r="D25" s="1908"/>
      <c r="E25" s="1908"/>
      <c r="F25" s="1908"/>
      <c r="G25" s="1908"/>
      <c r="H25" s="1908"/>
      <c r="I25" s="1908"/>
      <c r="J25" s="1909"/>
      <c r="K25" s="1060"/>
      <c r="L25" s="2550"/>
      <c r="M25" s="2550"/>
      <c r="N25" s="1910" t="s">
        <v>2013</v>
      </c>
      <c r="O25" s="1092"/>
      <c r="P25" s="1093">
        <f>SUMPRODUCT((地价!A3:A40=YEAR(G23)&amp;"-"&amp;ROUNDUP(MONTH(G23)/3,0))*(地价!AD2:AH2=N25)*(地价!AD3:AH40))</f>
        <v>0</v>
      </c>
      <c r="Q25" s="2550"/>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3259</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3260</v>
      </c>
      <c r="J26" s="373" t="str">
        <f>IF(G3&gt;=10,D115,"——")</f>
        <v>——</v>
      </c>
      <c r="K26" s="1060"/>
      <c r="L26" s="2550"/>
      <c r="M26" s="2550"/>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5">
        <f>SUMIF(A47:A101,E2,B47:B101)</f>
        <v>0</v>
      </c>
      <c r="D28" s="1893"/>
      <c r="E28" s="1918"/>
      <c r="F28" s="1918"/>
      <c r="G28" s="1918"/>
      <c r="H28" s="1918"/>
      <c r="I28" s="1918"/>
      <c r="J28" s="1919"/>
      <c r="K28" s="1060"/>
      <c r="L28" s="2550"/>
      <c r="M28" s="2550"/>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0"/>
      <c r="D29" s="1867"/>
      <c r="E29" s="1867"/>
      <c r="F29" s="1922"/>
      <c r="G29" s="1867"/>
      <c r="H29" s="1867"/>
      <c r="I29" s="1867"/>
      <c r="J29" s="1868"/>
      <c r="K29" s="1055"/>
      <c r="L29" s="1843"/>
      <c r="M29" s="1843"/>
      <c r="N29" s="2547" t="s">
        <v>2023</v>
      </c>
      <c r="O29" s="2548"/>
      <c r="P29" s="2549">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t="e">
        <f>IF(B25="容积率修正",E33+SUM(E37:E42),SUM(V2:V16)+SUM(E37:E42))</f>
        <v>#DIV/0!</v>
      </c>
      <c r="D30" s="1924"/>
      <c r="E30" s="1841"/>
      <c r="F30" s="1925"/>
      <c r="G30" s="1841"/>
      <c r="H30" s="1841"/>
      <c r="I30" s="1841"/>
      <c r="J30" s="1926"/>
      <c r="K30" s="1055"/>
      <c r="L30" s="3053" t="s">
        <v>1936</v>
      </c>
      <c r="M30" s="3054" t="s">
        <v>1990</v>
      </c>
      <c r="N30" s="3054" t="s">
        <v>1991</v>
      </c>
      <c r="O30" s="3054" t="s">
        <v>1992</v>
      </c>
      <c r="P30" s="3054" t="s">
        <v>1993</v>
      </c>
      <c r="Q30" s="3057" t="s">
        <v>3264</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1" t="e">
        <f>E34+SUM(I37:I42)</f>
        <v>#DIV/0!</v>
      </c>
      <c r="D31" s="1928"/>
      <c r="E31" s="1929"/>
      <c r="F31" s="1930"/>
      <c r="G31" s="1929"/>
      <c r="H31" s="1929"/>
      <c r="I31" s="1929"/>
      <c r="J31" s="1931"/>
      <c r="K31" s="1055"/>
      <c r="L31" s="3055" t="s">
        <v>1996</v>
      </c>
      <c r="M31" s="161">
        <v>0.25</v>
      </c>
      <c r="N31" s="161">
        <v>0.2</v>
      </c>
      <c r="O31" s="161">
        <v>0.15</v>
      </c>
      <c r="P31" s="161">
        <v>0.1</v>
      </c>
      <c r="Q31" s="3050">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6" t="s">
        <v>1999</v>
      </c>
      <c r="M32" s="2354">
        <f>ROUND($E$24*(1+M31),3)</f>
        <v>5.3999999999999999E-2</v>
      </c>
      <c r="N32" s="2354">
        <f>ROUND($E$24*(1+N31),3)</f>
        <v>5.1999999999999998E-2</v>
      </c>
      <c r="O32" s="2354">
        <f>ROUND($E$24*(1+O31),3)</f>
        <v>0.05</v>
      </c>
      <c r="P32" s="2354">
        <f>ROUND($E$24*(1+P31),3)</f>
        <v>4.8000000000000001E-2</v>
      </c>
      <c r="Q32" s="3058">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6" t="e">
        <f>ROUND(C5*C22*C23*C24*C25*C28,0)</f>
        <v>#DIV/0!</v>
      </c>
      <c r="D33" s="1939"/>
      <c r="E33" s="726" t="e">
        <f>ROUND(C33*D33/10000,0)</f>
        <v>#DIV/0!</v>
      </c>
      <c r="F33" s="3048" t="s">
        <v>3262</v>
      </c>
      <c r="G33" s="1940"/>
      <c r="H33" s="1940"/>
      <c r="I33" s="1940"/>
      <c r="J33" s="1941"/>
      <c r="K33" s="1055"/>
      <c r="L33" s="3051" t="s">
        <v>3265</v>
      </c>
      <c r="M33" s="3052">
        <v>5.5E-2</v>
      </c>
      <c r="N33" s="3052">
        <v>5.5E-2</v>
      </c>
      <c r="O33" s="3052">
        <v>0.05</v>
      </c>
      <c r="P33" s="3052">
        <v>0.05</v>
      </c>
      <c r="Q33" s="3052">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8" t="e">
        <f>ROUND(IF(E2="工业",C33*M42,IF(B25="楼层修正",SUM(V2:V16)*M41*10000/D34,C33*M41)),0)</f>
        <v>#DIV/0!</v>
      </c>
      <c r="D34" s="1944"/>
      <c r="E34" s="726" t="e">
        <f>ROUND(IF(B25="楼层修正",SUM(V2:V16)*M40,C34*D34/10000),0)</f>
        <v>#DIV/0!</v>
      </c>
      <c r="F34" s="1945" t="s">
        <v>2032</v>
      </c>
      <c r="G34" s="1946"/>
      <c r="H34" s="1946"/>
      <c r="I34" s="1946"/>
      <c r="J34" s="1947"/>
      <c r="K34" s="1055"/>
      <c r="L34" s="3051" t="s">
        <v>3266</v>
      </c>
      <c r="M34" s="3052">
        <v>6.5000000000000002E-2</v>
      </c>
      <c r="N34" s="3052">
        <v>6.5000000000000002E-2</v>
      </c>
      <c r="O34" s="3052">
        <v>0.06</v>
      </c>
      <c r="P34" s="3052">
        <v>0.06</v>
      </c>
      <c r="Q34" s="3052">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49" t="s">
        <v>3263</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5" t="s">
        <v>2027</v>
      </c>
      <c r="D36" s="432" t="s">
        <v>2028</v>
      </c>
      <c r="E36" s="432" t="s">
        <v>2029</v>
      </c>
      <c r="F36" s="332" t="s">
        <v>2035</v>
      </c>
      <c r="G36" s="1953" t="s">
        <v>2027</v>
      </c>
      <c r="H36" s="1953" t="s">
        <v>2028</v>
      </c>
      <c r="I36" s="1953" t="s">
        <v>2029</v>
      </c>
      <c r="J36" s="234"/>
      <c r="K36" s="1963" t="s">
        <v>3267</v>
      </c>
      <c r="L36" s="3140">
        <f ca="1">'数据-取费表'!B40</f>
        <v>3.3500000000000002E-2</v>
      </c>
      <c r="M36" s="2364">
        <f ca="1">ROUND($L$36*(1+M31),3)</f>
        <v>4.2000000000000003E-2</v>
      </c>
      <c r="N36" s="2364">
        <f ca="1">ROUND($L$36*(1+N31),3)</f>
        <v>0.04</v>
      </c>
      <c r="O36" s="2364">
        <f ca="1">ROUND($L$36*(1+O31),3)</f>
        <v>3.9E-2</v>
      </c>
      <c r="P36" s="2364">
        <f ca="1">ROUND($L$36*(1+P31),3)</f>
        <v>3.6999999999999998E-2</v>
      </c>
      <c r="Q36" s="2364">
        <f ca="1">ROUND($L$36*(1+Q31),3)</f>
        <v>3.9E-2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60"/>
      <c r="B37" s="1954" t="s">
        <v>2036</v>
      </c>
      <c r="C37" s="166" t="e">
        <f>ROUND(D5*C22*C23*C24*C28*F37,0)</f>
        <v>#DIV/0!</v>
      </c>
      <c r="D37" s="1939"/>
      <c r="E37" s="162" t="e">
        <f>ROUND(C37*D37/10000,0)</f>
        <v>#DIV/0!</v>
      </c>
      <c r="F37" s="162">
        <f>SUMIF(修正!A57:A68,G2,修正!B57:B68)</f>
        <v>0</v>
      </c>
      <c r="G37" s="162" t="e">
        <f>ROUND(IF(E2="工业",C37*$M$42,C37*$M$41),0)</f>
        <v>#DIV/0!</v>
      </c>
      <c r="H37" s="162">
        <f>D37</f>
        <v>0</v>
      </c>
      <c r="I37" s="162" t="e">
        <f>ROUND(G37*H37/10000,0)</f>
        <v>#DIV/0!</v>
      </c>
      <c r="J37" s="2752"/>
      <c r="K37" s="3059" t="s">
        <v>3268</v>
      </c>
      <c r="L37" s="1963">
        <f ca="1">L36+K38</f>
        <v>3.85E-2</v>
      </c>
      <c r="M37" s="2364">
        <f ca="1">ROUND($L$37*(1+M31),3)</f>
        <v>4.8000000000000001E-2</v>
      </c>
      <c r="N37" s="2364">
        <f t="shared" ref="N37:Q37" ca="1" si="3">ROUND($L$37*(1+N31),3)</f>
        <v>4.5999999999999999E-2</v>
      </c>
      <c r="O37" s="2364">
        <f t="shared" ca="1" si="3"/>
        <v>4.3999999999999997E-2</v>
      </c>
      <c r="P37" s="2364">
        <f t="shared" ca="1" si="3"/>
        <v>4.2000000000000003E-2</v>
      </c>
      <c r="Q37" s="2364">
        <f t="shared" ca="1" si="3"/>
        <v>4.3999999999999997E-2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61"/>
      <c r="B38" s="1883" t="s">
        <v>2037</v>
      </c>
      <c r="C38" s="166" t="e">
        <f>ROUND(D5*C22*C23*C24*C28*F38,0)</f>
        <v>#DIV/0!</v>
      </c>
      <c r="D38" s="1939"/>
      <c r="E38" s="162" t="e">
        <f t="shared" ref="E38:E42" si="4">ROUND(C38*D38/10000,0)</f>
        <v>#DIV/0!</v>
      </c>
      <c r="F38" s="162">
        <f>SUMIF(修正!A57:A68,G2,修正!C57:C68)</f>
        <v>0</v>
      </c>
      <c r="G38" s="162" t="e">
        <f>ROUND(IF(E2="工业",C38*$M$42,C38*$M$41),0)</f>
        <v>#DIV/0!</v>
      </c>
      <c r="H38" s="162">
        <f t="shared" ref="H38:H42" si="5">D38</f>
        <v>0</v>
      </c>
      <c r="I38" s="162" t="e">
        <f t="shared" ref="I38:I42" si="6">ROUND(G38*H38/10000,0)</f>
        <v>#DIV/0!</v>
      </c>
      <c r="J38" s="2751"/>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61"/>
      <c r="B39" s="1883" t="s">
        <v>3261</v>
      </c>
      <c r="C39" s="166" t="e">
        <f>ROUND(D5*C22*C23*C24*C28*F39,0)</f>
        <v>#DIV/0!</v>
      </c>
      <c r="D39" s="1939"/>
      <c r="E39" s="162" t="e">
        <f t="shared" si="4"/>
        <v>#DIV/0!</v>
      </c>
      <c r="F39" s="162">
        <f>SUMIF(修正!A57:A68,G2,修正!D57:D68)</f>
        <v>0</v>
      </c>
      <c r="G39" s="162" t="e">
        <f>ROUND(IF(E2="工业",C39*$M$42,C39*$M$41),0)</f>
        <v>#DIV/0!</v>
      </c>
      <c r="H39" s="162">
        <f t="shared" si="5"/>
        <v>0</v>
      </c>
      <c r="I39" s="162" t="e">
        <f t="shared" si="6"/>
        <v>#DIV/0!</v>
      </c>
      <c r="J39" s="2751"/>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2" t="e">
        <f>ROUND(D5*C22*C23*C24*C28*F40,0)</f>
        <v>#DIV/0!</v>
      </c>
      <c r="D40" s="1939"/>
      <c r="E40" s="162" t="e">
        <f t="shared" si="4"/>
        <v>#DIV/0!</v>
      </c>
      <c r="F40" s="166">
        <f>SUMIF(修正!A57:A68,G2,修正!E57:E68)</f>
        <v>0</v>
      </c>
      <c r="G40" s="162" t="e">
        <f>ROUND(IF(E2="工业",C40*$M$42,C40*$M$41),0)</f>
        <v>#DIV/0!</v>
      </c>
      <c r="H40" s="162">
        <f t="shared" si="5"/>
        <v>0</v>
      </c>
      <c r="I40" s="162" t="e">
        <f t="shared" si="6"/>
        <v>#DIV/0!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2" t="e">
        <f>ROUND(D5*C22*C23*C44*C28*F41,0)</f>
        <v>#DIV/0!</v>
      </c>
      <c r="D41" s="1939"/>
      <c r="E41" s="162" t="e">
        <f t="shared" si="4"/>
        <v>#DIV/0!</v>
      </c>
      <c r="F41" s="166">
        <f>SUMIF(修正!A57:A68,G2,修正!F57:F68)</f>
        <v>0</v>
      </c>
      <c r="G41" s="162" t="e">
        <f>ROUND(IF(E2="工业",C41*$M$42,C41*$M$41),0)</f>
        <v>#DIV/0!</v>
      </c>
      <c r="H41" s="162">
        <f t="shared" si="5"/>
        <v>0</v>
      </c>
      <c r="I41" s="162" t="e">
        <f t="shared" si="6"/>
        <v>#DIV/0!</v>
      </c>
      <c r="J41" s="938"/>
      <c r="L41" s="3060" t="s">
        <v>3269</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8" t="e">
        <f>ROUND(D5*C22*C23*C44*C28*F42,0)</f>
        <v>#DIV/0!</v>
      </c>
      <c r="D42" s="1944"/>
      <c r="E42" s="178" t="e">
        <f t="shared" si="4"/>
        <v>#DIV/0!</v>
      </c>
      <c r="F42" s="722">
        <f>SUMIF(修正!A57:A68,G2,修正!G57:G68)</f>
        <v>0</v>
      </c>
      <c r="G42" s="178" t="e">
        <f>ROUND(IF(E2="工业",C42*$M$42,C42*$M$41),0)</f>
        <v>#DIV/0!</v>
      </c>
      <c r="H42" s="178">
        <f t="shared" si="5"/>
        <v>0</v>
      </c>
      <c r="I42" s="178" t="e">
        <f t="shared" si="6"/>
        <v>#DIV/0!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2122</v>
      </c>
      <c r="C44" s="332" t="e">
        <f>ROUND(POWER(1+E44,H44-G44)*(POWER(1+E44,G44)-1)/(POWER(1+E44,H44)-1),4)</f>
        <v>#DIV/0!</v>
      </c>
      <c r="D44" s="162" t="s">
        <v>1999</v>
      </c>
      <c r="E44" s="1990">
        <f>G24</f>
        <v>0</v>
      </c>
      <c r="F44" s="162" t="s">
        <v>2008</v>
      </c>
      <c r="G44" s="174"/>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2044</v>
      </c>
      <c r="B49" s="1261" t="s">
        <v>2045</v>
      </c>
      <c r="C49" s="1261" t="s">
        <v>2046</v>
      </c>
      <c r="D49" s="1261" t="s">
        <v>2047</v>
      </c>
      <c r="E49" s="700" t="s">
        <v>2048</v>
      </c>
      <c r="F49" s="1970" t="s">
        <v>2049</v>
      </c>
      <c r="G49" s="1261" t="s">
        <v>310</v>
      </c>
      <c r="H49" s="1971" t="s">
        <v>2050</v>
      </c>
      <c r="I49" s="1261" t="s">
        <v>2051</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38.25">
      <c r="A50" s="1969" t="s">
        <v>2052</v>
      </c>
      <c r="B50" s="1972" t="str">
        <f>估价对象房地状况!C4</f>
        <v>估价对象位于XX商圈，周边商业氛围成熟，人流量大，商业繁华度好</v>
      </c>
      <c r="C50" s="1886"/>
      <c r="D50" s="1001">
        <f t="shared" ref="D50:D58" si="7">SUMIF($J$49:$N$49,C50,J50:N50)</f>
        <v>0</v>
      </c>
      <c r="E50" s="701">
        <f>ROUND(SUM(D50:D58),4)</f>
        <v>0</v>
      </c>
      <c r="F50" s="1674" t="str">
        <f>IF(E2="商业",SUMIF(L1:L12,G2,N1:N12),"——")</f>
        <v>——</v>
      </c>
      <c r="G50" s="999"/>
      <c r="H50" s="1002" t="str">
        <f t="shared" ref="H50:H58" si="8">IFERROR(ROUNDDOWN($F$50*I50/2,4),"——")</f>
        <v>——</v>
      </c>
      <c r="I50" s="3066">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38.25">
      <c r="A51" s="1969" t="s">
        <v>2053</v>
      </c>
      <c r="B51" s="1261" t="str">
        <f>估价对象房地状况!C18</f>
        <v>估价对象周边道路状况、公共交通通达情况、停车便捷程度，综合评价交通便捷度较好</v>
      </c>
      <c r="C51" s="1886"/>
      <c r="D51" s="1001">
        <f t="shared" si="7"/>
        <v>0</v>
      </c>
      <c r="E51" s="702"/>
      <c r="F51" s="1674"/>
      <c r="G51" s="999"/>
      <c r="H51" s="1002" t="str">
        <f t="shared" si="8"/>
        <v>——</v>
      </c>
      <c r="I51" s="3066">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68" t="s">
        <v>3271</v>
      </c>
      <c r="B52" s="1261">
        <f>估价对象房地状况!C19</f>
        <v>0</v>
      </c>
      <c r="C52" s="1886"/>
      <c r="D52" s="1001">
        <f t="shared" si="7"/>
        <v>0</v>
      </c>
      <c r="E52" s="702"/>
      <c r="F52" s="1674"/>
      <c r="G52" s="999"/>
      <c r="H52" s="1002" t="str">
        <f t="shared" si="8"/>
        <v>——</v>
      </c>
      <c r="I52" s="3066">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9" t="s">
        <v>2054</v>
      </c>
      <c r="B53" s="1973" t="s">
        <v>2055</v>
      </c>
      <c r="C53" s="1886"/>
      <c r="D53" s="1001">
        <f t="shared" si="7"/>
        <v>0</v>
      </c>
      <c r="E53" s="702"/>
      <c r="F53" s="1674"/>
      <c r="G53" s="999"/>
      <c r="H53" s="1002" t="str">
        <f t="shared" si="8"/>
        <v>——</v>
      </c>
      <c r="I53" s="3066">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c r="D54" s="1001">
        <f t="shared" si="7"/>
        <v>0</v>
      </c>
      <c r="E54" s="702"/>
      <c r="F54" s="1674"/>
      <c r="G54" s="999"/>
      <c r="H54" s="1002" t="str">
        <f t="shared" si="8"/>
        <v>——</v>
      </c>
      <c r="I54" s="3066">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9" t="s">
        <v>2057</v>
      </c>
      <c r="B55" s="1974" t="s">
        <v>2058</v>
      </c>
      <c r="C55" s="1886"/>
      <c r="D55" s="1001">
        <f t="shared" si="7"/>
        <v>0</v>
      </c>
      <c r="E55" s="702"/>
      <c r="F55" s="1674"/>
      <c r="G55" s="999"/>
      <c r="H55" s="1002" t="str">
        <f t="shared" si="8"/>
        <v>——</v>
      </c>
      <c r="I55" s="3066">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5.5">
      <c r="A56" s="1975" t="s">
        <v>2059</v>
      </c>
      <c r="B56" s="1239" t="str">
        <f>估价对象房地状况!C21</f>
        <v>估价对象所在区域公共配套设施齐备情况</v>
      </c>
      <c r="C56" s="1886"/>
      <c r="D56" s="1001">
        <f t="shared" si="7"/>
        <v>0</v>
      </c>
      <c r="E56" s="702"/>
      <c r="F56" s="1674"/>
      <c r="G56" s="999"/>
      <c r="H56" s="1002" t="str">
        <f t="shared" si="8"/>
        <v>——</v>
      </c>
      <c r="I56" s="3066">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5.5">
      <c r="A57" s="1975" t="s">
        <v>2060</v>
      </c>
      <c r="B57" s="1261" t="str">
        <f>估价对象房地状况!C22</f>
        <v>估价对象所在区域基础设施水平</v>
      </c>
      <c r="C57" s="1886"/>
      <c r="D57" s="1001">
        <f t="shared" si="7"/>
        <v>0</v>
      </c>
      <c r="E57" s="702"/>
      <c r="F57" s="1674"/>
      <c r="G57" s="999"/>
      <c r="H57" s="1002" t="str">
        <f t="shared" si="8"/>
        <v>——</v>
      </c>
      <c r="I57" s="3066">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6.25" thickBot="1">
      <c r="A58" s="1976" t="s">
        <v>2061</v>
      </c>
      <c r="B58" s="1977" t="str">
        <f>估价对象房地状况!C20</f>
        <v>区域自然环境：；人文环境；综合评价环境状况一般</v>
      </c>
      <c r="C58" s="1886"/>
      <c r="D58" s="1001">
        <f t="shared" si="7"/>
        <v>0</v>
      </c>
      <c r="E58" s="703"/>
      <c r="F58" s="1674"/>
      <c r="G58" s="999"/>
      <c r="H58" s="1002" t="str">
        <f t="shared" si="8"/>
        <v>——</v>
      </c>
      <c r="I58" s="3067">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700" t="s">
        <v>2048</v>
      </c>
      <c r="F60" s="1970" t="s">
        <v>2063</v>
      </c>
      <c r="G60" s="1261" t="s">
        <v>310</v>
      </c>
      <c r="H60" s="1971" t="s">
        <v>2050</v>
      </c>
      <c r="I60" s="1261" t="s">
        <v>2051</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38.25">
      <c r="A61" s="1969" t="s">
        <v>2064</v>
      </c>
      <c r="B61" s="1972" t="str">
        <f>估价对象房地状况!C17</f>
        <v>估价对象位于XX商圈，周边办公楼项目较多，入驻率高，办公集聚程度较好</v>
      </c>
      <c r="C61" s="1886"/>
      <c r="D61" s="1001">
        <f t="shared" ref="D61:D69" si="12">SUMIF($J$60:$N$60,C61,J61:N61)</f>
        <v>0</v>
      </c>
      <c r="E61" s="701">
        <f>ROUND(SUM(D61:D69),4)</f>
        <v>0</v>
      </c>
      <c r="F61" s="1674" t="str">
        <f>IF(E2="办公",SUMIF(L1:L12,G2,N1:N12),"——")</f>
        <v>——</v>
      </c>
      <c r="G61" s="999"/>
      <c r="H61" s="1002" t="str">
        <f t="shared" ref="H61:H69" si="13">IFERROR(ROUNDDOWN($F$61*I61/2,4),"——")</f>
        <v>——</v>
      </c>
      <c r="I61" s="3066">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38.25">
      <c r="A62" s="1969" t="s">
        <v>2053</v>
      </c>
      <c r="B62" s="1261" t="str">
        <f>估价对象房地状况!C18</f>
        <v>估价对象周边道路状况、公共交通通达情况、停车便捷程度，综合评价交通便捷度较好</v>
      </c>
      <c r="C62" s="1886"/>
      <c r="D62" s="1001">
        <f t="shared" si="12"/>
        <v>0</v>
      </c>
      <c r="E62" s="702"/>
      <c r="F62" s="1674"/>
      <c r="G62" s="999"/>
      <c r="H62" s="1002" t="str">
        <f t="shared" si="13"/>
        <v>——</v>
      </c>
      <c r="I62" s="3066">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68" t="s">
        <v>3271</v>
      </c>
      <c r="B63" s="1261">
        <f>估价对象房地状况!C19</f>
        <v>0</v>
      </c>
      <c r="C63" s="1886"/>
      <c r="D63" s="1001">
        <f t="shared" si="12"/>
        <v>0</v>
      </c>
      <c r="E63" s="702"/>
      <c r="F63" s="1674"/>
      <c r="G63" s="999"/>
      <c r="H63" s="1002" t="str">
        <f t="shared" si="13"/>
        <v>——</v>
      </c>
      <c r="I63" s="3066">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9" t="s">
        <v>2054</v>
      </c>
      <c r="B64" s="1973" t="s">
        <v>2055</v>
      </c>
      <c r="C64" s="1886"/>
      <c r="D64" s="1001">
        <f t="shared" si="12"/>
        <v>0</v>
      </c>
      <c r="E64" s="702"/>
      <c r="F64" s="1674"/>
      <c r="G64" s="999"/>
      <c r="H64" s="1002" t="str">
        <f t="shared" si="13"/>
        <v>——</v>
      </c>
      <c r="I64" s="3066">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2"/>
        <v>0</v>
      </c>
      <c r="E65" s="702"/>
      <c r="F65" s="1674"/>
      <c r="G65" s="999"/>
      <c r="H65" s="1002" t="str">
        <f t="shared" si="13"/>
        <v>——</v>
      </c>
      <c r="I65" s="3066">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9" t="s">
        <v>2057</v>
      </c>
      <c r="B66" s="1974" t="s">
        <v>2058</v>
      </c>
      <c r="C66" s="1886"/>
      <c r="D66" s="1001">
        <f t="shared" si="12"/>
        <v>0</v>
      </c>
      <c r="E66" s="702"/>
      <c r="F66" s="1674"/>
      <c r="G66" s="999"/>
      <c r="H66" s="1002" t="str">
        <f t="shared" si="13"/>
        <v>——</v>
      </c>
      <c r="I66" s="3066">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5.5">
      <c r="A67" s="1969" t="s">
        <v>2059</v>
      </c>
      <c r="B67" s="1239" t="str">
        <f>估价对象房地状况!C21</f>
        <v>估价对象所在区域公共配套设施齐备情况</v>
      </c>
      <c r="C67" s="1886"/>
      <c r="D67" s="1001">
        <f t="shared" si="12"/>
        <v>0</v>
      </c>
      <c r="E67" s="702"/>
      <c r="F67" s="1674"/>
      <c r="G67" s="999"/>
      <c r="H67" s="1002" t="str">
        <f t="shared" si="13"/>
        <v>——</v>
      </c>
      <c r="I67" s="3066">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5.5">
      <c r="A68" s="1969" t="s">
        <v>2060</v>
      </c>
      <c r="B68" s="1239" t="str">
        <f>估价对象房地状况!C22</f>
        <v>估价对象所在区域基础设施水平</v>
      </c>
      <c r="C68" s="1886"/>
      <c r="D68" s="1001">
        <f t="shared" si="12"/>
        <v>0</v>
      </c>
      <c r="E68" s="702"/>
      <c r="F68" s="1674"/>
      <c r="G68" s="999"/>
      <c r="H68" s="1002" t="str">
        <f t="shared" si="13"/>
        <v>——</v>
      </c>
      <c r="I68" s="3066">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6.25" thickBot="1">
      <c r="A69" s="1976" t="s">
        <v>2061</v>
      </c>
      <c r="B69" s="1978" t="str">
        <f>估价对象房地状况!C20</f>
        <v>区域自然环境：；人文环境；综合评价环境状况一般</v>
      </c>
      <c r="C69" s="1886"/>
      <c r="D69" s="1001">
        <f t="shared" si="12"/>
        <v>0</v>
      </c>
      <c r="E69" s="703"/>
      <c r="F69" s="1674"/>
      <c r="G69" s="999"/>
      <c r="H69" s="1002" t="str">
        <f t="shared" si="13"/>
        <v>——</v>
      </c>
      <c r="I69" s="3067">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700" t="s">
        <v>2048</v>
      </c>
      <c r="F71" s="1970" t="s">
        <v>2063</v>
      </c>
      <c r="G71" s="1261" t="s">
        <v>310</v>
      </c>
      <c r="H71" s="1971" t="s">
        <v>2050</v>
      </c>
      <c r="I71" s="1261" t="s">
        <v>2051</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51">
      <c r="A72" s="1969" t="s">
        <v>2066</v>
      </c>
      <c r="B72" s="1972" t="str">
        <f>估价对象房地状况!C15</f>
        <v>估价对象周边居住用地比例、居住小区规模和社区发展完善程度，综合评价居住社区成熟度一般</v>
      </c>
      <c r="C72" s="1886"/>
      <c r="D72" s="1001">
        <f t="shared" ref="D72:D80" si="17">SUMIF($J$71:$N$71,C72,J72:N72)</f>
        <v>0</v>
      </c>
      <c r="E72" s="701">
        <f>ROUND(SUM(D72:D80),4)</f>
        <v>0</v>
      </c>
      <c r="F72" s="1674" t="str">
        <f>IF(E2="住宅",SUMIF(L1:L12,G2,N1:N12),"——")</f>
        <v>——</v>
      </c>
      <c r="G72" s="999"/>
      <c r="H72" s="1002" t="str">
        <f t="shared" ref="H72:H80" si="18">IFERROR(ROUNDDOWN($F$72*I72/2,4),"——")</f>
        <v>——</v>
      </c>
      <c r="I72" s="3066">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38.25">
      <c r="A73" s="1969" t="s">
        <v>2053</v>
      </c>
      <c r="B73" s="1261" t="str">
        <f>估价对象房地状况!C18</f>
        <v>估价对象周边道路状况、公共交通通达情况、停车便捷程度，综合评价交通便捷度较好</v>
      </c>
      <c r="C73" s="1886"/>
      <c r="D73" s="1001">
        <f t="shared" si="17"/>
        <v>0</v>
      </c>
      <c r="E73" s="704"/>
      <c r="F73" s="1674"/>
      <c r="G73" s="999"/>
      <c r="H73" s="1002" t="str">
        <f t="shared" si="18"/>
        <v>——</v>
      </c>
      <c r="I73" s="3066">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c r="A74" s="3068" t="s">
        <v>3271</v>
      </c>
      <c r="B74" s="1261">
        <f>估价对象房地状况!C19</f>
        <v>0</v>
      </c>
      <c r="C74" s="1886"/>
      <c r="D74" s="1001">
        <f t="shared" si="17"/>
        <v>0</v>
      </c>
      <c r="E74" s="704"/>
      <c r="F74" s="1674"/>
      <c r="G74" s="999"/>
      <c r="H74" s="1002" t="str">
        <f t="shared" si="18"/>
        <v>——</v>
      </c>
      <c r="I74" s="3066">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7"/>
        <v>0</v>
      </c>
      <c r="E75" s="704"/>
      <c r="F75" s="1674"/>
      <c r="G75" s="999"/>
      <c r="H75" s="1002" t="str">
        <f t="shared" si="18"/>
        <v>——</v>
      </c>
      <c r="I75" s="3066">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5.5">
      <c r="A76" s="1969" t="s">
        <v>2059</v>
      </c>
      <c r="B76" s="1239" t="str">
        <f>估价对象房地状况!C21</f>
        <v>估价对象所在区域公共配套设施齐备情况</v>
      </c>
      <c r="C76" s="1886"/>
      <c r="D76" s="1001">
        <f t="shared" si="17"/>
        <v>0</v>
      </c>
      <c r="E76" s="704"/>
      <c r="F76" s="1674"/>
      <c r="G76" s="999"/>
      <c r="H76" s="1002" t="str">
        <f t="shared" si="18"/>
        <v>——</v>
      </c>
      <c r="I76" s="3066">
        <v>0.08</v>
      </c>
      <c r="J76" s="1000">
        <f t="shared" si="19"/>
        <v>0</v>
      </c>
      <c r="K76" s="1000">
        <f t="shared" si="20"/>
        <v>0</v>
      </c>
      <c r="L76" s="1000">
        <v>0</v>
      </c>
      <c r="M76" s="1000">
        <f t="shared" si="21"/>
        <v>0</v>
      </c>
      <c r="N76" s="1000">
        <f t="shared" si="21"/>
        <v>0</v>
      </c>
      <c r="O76" s="1055"/>
      <c r="P76" s="1055"/>
      <c r="Z76" s="1844"/>
      <c r="AA76" s="1894"/>
      <c r="AG76" s="1057"/>
      <c r="AK76" s="1894"/>
    </row>
    <row r="77" spans="1:37" ht="25.5">
      <c r="A77" s="1969" t="s">
        <v>2060</v>
      </c>
      <c r="B77" s="1239" t="str">
        <f>估价对象房地状况!C22</f>
        <v>估价对象所在区域基础设施水平</v>
      </c>
      <c r="C77" s="1886"/>
      <c r="D77" s="1001">
        <f t="shared" si="17"/>
        <v>0</v>
      </c>
      <c r="E77" s="704"/>
      <c r="F77" s="1674"/>
      <c r="G77" s="999"/>
      <c r="H77" s="1002" t="str">
        <f t="shared" si="18"/>
        <v>——</v>
      </c>
      <c r="I77" s="3066">
        <v>0.09</v>
      </c>
      <c r="J77" s="1000">
        <f t="shared" si="19"/>
        <v>0</v>
      </c>
      <c r="K77" s="1000">
        <f t="shared" si="20"/>
        <v>0</v>
      </c>
      <c r="L77" s="1000">
        <v>0</v>
      </c>
      <c r="M77" s="1000">
        <f t="shared" si="21"/>
        <v>0</v>
      </c>
      <c r="N77" s="1000">
        <f t="shared" si="21"/>
        <v>0</v>
      </c>
      <c r="O77" s="1055"/>
      <c r="P77" s="1055"/>
      <c r="Z77" s="1844"/>
      <c r="AA77" s="1894"/>
      <c r="AG77" s="1057"/>
      <c r="AK77" s="1894"/>
    </row>
    <row r="78" spans="1:37" ht="24">
      <c r="A78" s="1969" t="s">
        <v>2057</v>
      </c>
      <c r="B78" s="1974" t="s">
        <v>2058</v>
      </c>
      <c r="C78" s="1886"/>
      <c r="D78" s="1001">
        <f t="shared" si="17"/>
        <v>0</v>
      </c>
      <c r="E78" s="704"/>
      <c r="F78" s="1674"/>
      <c r="G78" s="999"/>
      <c r="H78" s="1002" t="str">
        <f t="shared" si="18"/>
        <v>——</v>
      </c>
      <c r="I78" s="3066">
        <v>0.05</v>
      </c>
      <c r="J78" s="1000">
        <f t="shared" si="19"/>
        <v>0</v>
      </c>
      <c r="K78" s="1000">
        <f t="shared" si="20"/>
        <v>0</v>
      </c>
      <c r="L78" s="1000">
        <v>0</v>
      </c>
      <c r="M78" s="1000">
        <f t="shared" si="21"/>
        <v>0</v>
      </c>
      <c r="N78" s="1000">
        <f t="shared" si="21"/>
        <v>0</v>
      </c>
      <c r="O78" s="1843"/>
      <c r="P78" s="1843"/>
      <c r="Z78" s="1844"/>
      <c r="AA78" s="1894"/>
      <c r="AG78" s="1057"/>
      <c r="AK78" s="1894"/>
    </row>
    <row r="79" spans="1:37" ht="25.5">
      <c r="A79" s="1969" t="s">
        <v>2061</v>
      </c>
      <c r="B79" s="1972" t="str">
        <f>估价对象房地状况!C20</f>
        <v>区域自然环境：；人文环境；综合评价环境状况一般</v>
      </c>
      <c r="C79" s="1886"/>
      <c r="D79" s="1001">
        <f t="shared" si="17"/>
        <v>0</v>
      </c>
      <c r="E79" s="704"/>
      <c r="F79" s="1674"/>
      <c r="G79" s="999"/>
      <c r="H79" s="1002" t="str">
        <f t="shared" si="18"/>
        <v>——</v>
      </c>
      <c r="I79" s="3066">
        <v>0.12</v>
      </c>
      <c r="J79" s="1000">
        <f t="shared" si="19"/>
        <v>0</v>
      </c>
      <c r="K79" s="1000">
        <f t="shared" si="20"/>
        <v>0</v>
      </c>
      <c r="L79" s="1000">
        <v>0</v>
      </c>
      <c r="M79" s="1000">
        <f t="shared" si="21"/>
        <v>0</v>
      </c>
      <c r="N79" s="1000">
        <f t="shared" si="21"/>
        <v>0</v>
      </c>
      <c r="Z79" s="1844"/>
      <c r="AA79" s="1894"/>
      <c r="AG79" s="1057"/>
      <c r="AK79" s="1894"/>
    </row>
    <row r="80" spans="1:37" ht="24.75" thickBot="1">
      <c r="A80" s="1976" t="s">
        <v>2068</v>
      </c>
      <c r="B80" s="1980"/>
      <c r="C80" s="1886"/>
      <c r="D80" s="1001">
        <f t="shared" si="17"/>
        <v>0</v>
      </c>
      <c r="E80" s="705"/>
      <c r="F80" s="1674"/>
      <c r="G80" s="999"/>
      <c r="H80" s="1002" t="str">
        <f t="shared" si="18"/>
        <v>——</v>
      </c>
      <c r="I80" s="3067">
        <v>0.05</v>
      </c>
      <c r="J80" s="1000">
        <f t="shared" si="19"/>
        <v>0</v>
      </c>
      <c r="K80" s="1000">
        <f t="shared" si="20"/>
        <v>0</v>
      </c>
      <c r="L80" s="1000">
        <v>0</v>
      </c>
      <c r="M80" s="1000">
        <f t="shared" si="21"/>
        <v>0</v>
      </c>
      <c r="N80" s="1000">
        <f t="shared" si="21"/>
        <v>0</v>
      </c>
      <c r="Z80" s="1844"/>
      <c r="AA80" s="1894"/>
      <c r="AG80" s="1057"/>
      <c r="AK80" s="1894"/>
    </row>
    <row r="81" spans="1:37" ht="15">
      <c r="A81" s="1966" t="s">
        <v>2069</v>
      </c>
      <c r="B81" s="1967">
        <f>1+E83</f>
        <v>1</v>
      </c>
      <c r="C81" s="698"/>
      <c r="D81" s="698"/>
      <c r="E81" s="699"/>
      <c r="F81" s="1968"/>
      <c r="G81" s="3"/>
      <c r="H81" s="3"/>
      <c r="I81" s="3"/>
      <c r="J81" s="4"/>
      <c r="K81" s="4"/>
      <c r="L81" s="4"/>
      <c r="M81" s="4"/>
      <c r="N81" s="4"/>
      <c r="Z81" s="1844"/>
      <c r="AA81" s="1894"/>
      <c r="AG81" s="1057"/>
      <c r="AK81" s="1894"/>
    </row>
    <row r="82" spans="1:37" ht="24.75">
      <c r="A82" s="1969" t="s">
        <v>2044</v>
      </c>
      <c r="B82" s="1261"/>
      <c r="C82" s="1261" t="s">
        <v>2046</v>
      </c>
      <c r="D82" s="1261" t="s">
        <v>2047</v>
      </c>
      <c r="E82" s="700" t="s">
        <v>2048</v>
      </c>
      <c r="F82" s="1970" t="s">
        <v>2063</v>
      </c>
      <c r="G82" s="1261" t="s">
        <v>310</v>
      </c>
      <c r="H82" s="1971" t="s">
        <v>2050</v>
      </c>
      <c r="I82" s="1261" t="s">
        <v>2051</v>
      </c>
      <c r="J82" s="529" t="s">
        <v>1721</v>
      </c>
      <c r="K82" s="529" t="s">
        <v>1722</v>
      </c>
      <c r="L82" s="529" t="s">
        <v>1723</v>
      </c>
      <c r="M82" s="529" t="s">
        <v>1724</v>
      </c>
      <c r="N82" s="529" t="s">
        <v>1725</v>
      </c>
      <c r="Z82" s="1844"/>
      <c r="AA82" s="1894"/>
      <c r="AG82" s="1057"/>
      <c r="AK82" s="1894"/>
    </row>
    <row r="83" spans="1:37" ht="38.25">
      <c r="A83" s="1969" t="s">
        <v>2070</v>
      </c>
      <c r="B83" s="1261" t="str">
        <f>估价对象房地状况!G15</f>
        <v>估价对象位于XX开发区，园区建设成熟度XX，产业集聚程度XX</v>
      </c>
      <c r="C83" s="1886"/>
      <c r="D83" s="1001">
        <f t="shared" ref="D83:D90" si="22">SUMIF($J$82:$N$82,C83,J83:N83)</f>
        <v>0</v>
      </c>
      <c r="E83" s="701">
        <f>ROUND(SUM(D83:D90),4)</f>
        <v>0</v>
      </c>
      <c r="F83" s="1674" t="str">
        <f>IF(E2="工业",SUMIF(L1:L12,G2,N1:N12),"——")</f>
        <v>——</v>
      </c>
      <c r="G83" s="999"/>
      <c r="H83" s="1002" t="str">
        <f t="shared" ref="H83:H90" si="23">IFERROR(ROUNDDOWN($F$83*I83/2,4),"——")</f>
        <v>——</v>
      </c>
      <c r="I83" s="3066">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38.25">
      <c r="A84" s="1969" t="s">
        <v>2053</v>
      </c>
      <c r="B84" s="1261" t="str">
        <f>估价对象房地状况!G16</f>
        <v>估价对象周边道路状况、公共交通通达情况、停车便捷程度，综合评价交通便捷度较好</v>
      </c>
      <c r="C84" s="1886"/>
      <c r="D84" s="1001">
        <f t="shared" si="22"/>
        <v>0</v>
      </c>
      <c r="E84" s="704"/>
      <c r="F84" s="1674"/>
      <c r="G84" s="999"/>
      <c r="H84" s="1002" t="str">
        <f t="shared" si="23"/>
        <v>——</v>
      </c>
      <c r="I84" s="3066">
        <v>0.3</v>
      </c>
      <c r="J84" s="1000">
        <f t="shared" si="24"/>
        <v>0</v>
      </c>
      <c r="K84" s="1000">
        <f t="shared" si="25"/>
        <v>0</v>
      </c>
      <c r="L84" s="1000">
        <v>0</v>
      </c>
      <c r="M84" s="1000">
        <f t="shared" si="26"/>
        <v>0</v>
      </c>
      <c r="N84" s="1000">
        <f t="shared" si="26"/>
        <v>0</v>
      </c>
      <c r="Z84" s="1844"/>
      <c r="AA84" s="1894"/>
      <c r="AG84" s="1057"/>
      <c r="AK84" s="1894"/>
    </row>
    <row r="85" spans="1:37" ht="36">
      <c r="A85" s="3068" t="s">
        <v>3272</v>
      </c>
      <c r="B85" s="1261">
        <f>估价对象房地状况!G17</f>
        <v>0</v>
      </c>
      <c r="C85" s="1886"/>
      <c r="D85" s="1001">
        <f t="shared" si="22"/>
        <v>0</v>
      </c>
      <c r="E85" s="704"/>
      <c r="F85" s="1674"/>
      <c r="G85" s="999"/>
      <c r="H85" s="1002" t="str">
        <f t="shared" si="23"/>
        <v>——</v>
      </c>
      <c r="I85" s="3066">
        <v>0.1</v>
      </c>
      <c r="J85" s="1000">
        <f t="shared" si="24"/>
        <v>0</v>
      </c>
      <c r="K85" s="1000">
        <f t="shared" si="25"/>
        <v>0</v>
      </c>
      <c r="L85" s="1000">
        <v>0</v>
      </c>
      <c r="M85" s="1000">
        <f t="shared" si="26"/>
        <v>0</v>
      </c>
      <c r="N85" s="1000">
        <f t="shared" si="26"/>
        <v>0</v>
      </c>
      <c r="Z85" s="1844"/>
      <c r="AA85" s="1894"/>
      <c r="AG85" s="1057"/>
      <c r="AK85" s="1894"/>
    </row>
    <row r="86" spans="1:37" ht="14.25">
      <c r="A86" s="1969" t="s">
        <v>2067</v>
      </c>
      <c r="B86" s="1261">
        <f>估价对象房地状况!G22</f>
        <v>0</v>
      </c>
      <c r="C86" s="1886"/>
      <c r="D86" s="1001">
        <f t="shared" si="22"/>
        <v>0</v>
      </c>
      <c r="E86" s="704"/>
      <c r="F86" s="1674"/>
      <c r="G86" s="999"/>
      <c r="H86" s="1002" t="str">
        <f t="shared" si="23"/>
        <v>——</v>
      </c>
      <c r="I86" s="3066">
        <v>0.05</v>
      </c>
      <c r="J86" s="1000">
        <f t="shared" si="24"/>
        <v>0</v>
      </c>
      <c r="K86" s="1000">
        <f t="shared" si="25"/>
        <v>0</v>
      </c>
      <c r="L86" s="1000">
        <v>0</v>
      </c>
      <c r="M86" s="1000">
        <f t="shared" si="26"/>
        <v>0</v>
      </c>
      <c r="N86" s="1000">
        <f t="shared" si="26"/>
        <v>0</v>
      </c>
      <c r="Z86" s="1844"/>
      <c r="AA86" s="1894"/>
      <c r="AG86" s="1057"/>
      <c r="AK86" s="1894"/>
    </row>
    <row r="87" spans="1:37" ht="25.5">
      <c r="A87" s="1969" t="s">
        <v>2059</v>
      </c>
      <c r="B87" s="1239" t="str">
        <f>估价对象房地状况!G19</f>
        <v>估价对象所在区域公共配套设施齐备情况</v>
      </c>
      <c r="C87" s="1886"/>
      <c r="D87" s="1001">
        <f t="shared" si="22"/>
        <v>0</v>
      </c>
      <c r="E87" s="704"/>
      <c r="F87" s="1674"/>
      <c r="G87" s="999"/>
      <c r="H87" s="1002" t="str">
        <f t="shared" si="23"/>
        <v>——</v>
      </c>
      <c r="I87" s="3066">
        <v>0.06</v>
      </c>
      <c r="J87" s="1000">
        <f t="shared" si="24"/>
        <v>0</v>
      </c>
      <c r="K87" s="1000">
        <f t="shared" si="25"/>
        <v>0</v>
      </c>
      <c r="L87" s="1000">
        <v>0</v>
      </c>
      <c r="M87" s="1000">
        <f t="shared" si="26"/>
        <v>0</v>
      </c>
      <c r="N87" s="1000">
        <f t="shared" si="26"/>
        <v>0</v>
      </c>
    </row>
    <row r="88" spans="1:37" ht="25.5">
      <c r="A88" s="1969" t="s">
        <v>2060</v>
      </c>
      <c r="B88" s="1239" t="str">
        <f>估价对象房地状况!G20</f>
        <v>估价对象所在区域基础设施水平</v>
      </c>
      <c r="C88" s="1886"/>
      <c r="D88" s="1001">
        <f t="shared" si="22"/>
        <v>0</v>
      </c>
      <c r="E88" s="704"/>
      <c r="F88" s="1674"/>
      <c r="G88" s="999"/>
      <c r="H88" s="1002" t="str">
        <f t="shared" si="23"/>
        <v>——</v>
      </c>
      <c r="I88" s="3066">
        <v>0.12</v>
      </c>
      <c r="J88" s="1000">
        <f t="shared" si="24"/>
        <v>0</v>
      </c>
      <c r="K88" s="1000">
        <f t="shared" si="25"/>
        <v>0</v>
      </c>
      <c r="L88" s="1000">
        <v>0</v>
      </c>
      <c r="M88" s="1000">
        <f t="shared" si="26"/>
        <v>0</v>
      </c>
      <c r="N88" s="1000">
        <f t="shared" si="26"/>
        <v>0</v>
      </c>
    </row>
    <row r="89" spans="1:37" ht="24">
      <c r="A89" s="1969" t="s">
        <v>2057</v>
      </c>
      <c r="B89" s="1974" t="s">
        <v>2071</v>
      </c>
      <c r="C89" s="1886"/>
      <c r="D89" s="1001">
        <f t="shared" si="22"/>
        <v>0</v>
      </c>
      <c r="E89" s="704"/>
      <c r="F89" s="1674"/>
      <c r="G89" s="999"/>
      <c r="H89" s="1002" t="str">
        <f t="shared" si="23"/>
        <v>——</v>
      </c>
      <c r="I89" s="3066">
        <v>0.06</v>
      </c>
      <c r="J89" s="1000">
        <f t="shared" si="24"/>
        <v>0</v>
      </c>
      <c r="K89" s="1000">
        <f t="shared" si="25"/>
        <v>0</v>
      </c>
      <c r="L89" s="1000">
        <v>0</v>
      </c>
      <c r="M89" s="1000">
        <f t="shared" si="26"/>
        <v>0</v>
      </c>
      <c r="N89" s="1000">
        <f t="shared" si="26"/>
        <v>0</v>
      </c>
    </row>
    <row r="90" spans="1:37" ht="39" thickBot="1">
      <c r="A90" s="1976" t="s">
        <v>2072</v>
      </c>
      <c r="B90" s="1981" t="str">
        <f>估价对象房地状况!G18</f>
        <v>该园区内是否有污染型企业，绿化情况，卫生条件，整体环境状况判断</v>
      </c>
      <c r="C90" s="1886"/>
      <c r="D90" s="1001">
        <f t="shared" si="22"/>
        <v>0</v>
      </c>
      <c r="E90" s="705"/>
      <c r="F90" s="1674"/>
      <c r="G90" s="999"/>
      <c r="H90" s="1002" t="str">
        <f t="shared" si="23"/>
        <v>——</v>
      </c>
      <c r="I90" s="3067">
        <v>0.05</v>
      </c>
      <c r="J90" s="1000">
        <f t="shared" si="24"/>
        <v>0</v>
      </c>
      <c r="K90" s="1000">
        <f t="shared" si="25"/>
        <v>0</v>
      </c>
      <c r="L90" s="1000">
        <v>0</v>
      </c>
      <c r="M90" s="1000">
        <f t="shared" si="26"/>
        <v>0</v>
      </c>
      <c r="N90" s="1000">
        <f t="shared" si="26"/>
        <v>0</v>
      </c>
    </row>
    <row r="91" spans="1:37" ht="15">
      <c r="A91" s="3076" t="s">
        <v>2614</v>
      </c>
      <c r="B91" s="3077">
        <f>1+E93</f>
        <v>1</v>
      </c>
      <c r="C91" s="3070"/>
      <c r="D91" s="3071"/>
      <c r="E91" s="1674"/>
      <c r="F91" s="1674"/>
      <c r="G91" s="3072"/>
      <c r="H91" s="3073"/>
      <c r="I91" s="3074"/>
      <c r="J91" s="3075"/>
      <c r="K91" s="3075"/>
      <c r="L91" s="3075"/>
      <c r="M91" s="3075"/>
      <c r="N91" s="3075"/>
    </row>
    <row r="92" spans="1:37" ht="24.75">
      <c r="A92" s="3078" t="s">
        <v>3273</v>
      </c>
      <c r="B92" s="2308"/>
      <c r="C92" s="2308" t="s">
        <v>3282</v>
      </c>
      <c r="D92" s="2308" t="s">
        <v>3283</v>
      </c>
      <c r="E92" s="3050" t="s">
        <v>3284</v>
      </c>
      <c r="F92" s="3080" t="s">
        <v>3285</v>
      </c>
      <c r="G92" s="2308" t="s">
        <v>3286</v>
      </c>
      <c r="H92" s="3087" t="s">
        <v>3289</v>
      </c>
      <c r="I92" s="2308" t="s">
        <v>3290</v>
      </c>
      <c r="J92" s="2149" t="s">
        <v>3291</v>
      </c>
      <c r="K92" s="2149" t="s">
        <v>3292</v>
      </c>
      <c r="L92" s="2149" t="s">
        <v>3293</v>
      </c>
      <c r="M92" s="2149" t="s">
        <v>3294</v>
      </c>
      <c r="N92" s="2149" t="s">
        <v>3295</v>
      </c>
    </row>
    <row r="93" spans="1:37" ht="24">
      <c r="A93" s="3068" t="s">
        <v>3274</v>
      </c>
      <c r="B93" s="1220"/>
      <c r="C93" s="1886"/>
      <c r="D93" s="2308">
        <f>SUMIF($J$92:$N$92,C93,J93:N93)</f>
        <v>0</v>
      </c>
      <c r="E93" s="3081">
        <f>ROUND(SUM(D93:D101),4)</f>
        <v>0</v>
      </c>
      <c r="F93" s="1674" t="str">
        <f>IF(E2="公共服务",SUMIF(L1:L12,G2,N1:N12),"——")</f>
        <v>——</v>
      </c>
      <c r="G93" s="3072"/>
      <c r="H93" s="3117" t="str">
        <f>IFERROR(ROUNDDOWN($F$93*I93/2,4),"——")</f>
        <v>——</v>
      </c>
      <c r="I93" s="3066">
        <v>0.25</v>
      </c>
      <c r="J93" s="1911">
        <f t="shared" ref="J93:J101" si="27">K93+$G93</f>
        <v>0</v>
      </c>
      <c r="K93" s="1911">
        <f t="shared" ref="K93:K101" si="28">$L93+$G93</f>
        <v>0</v>
      </c>
      <c r="L93" s="1911">
        <v>0</v>
      </c>
      <c r="M93" s="1911">
        <f t="shared" ref="M93:N101" si="29">L93-$G93</f>
        <v>0</v>
      </c>
      <c r="N93" s="1911">
        <f t="shared" si="29"/>
        <v>0</v>
      </c>
    </row>
    <row r="94" spans="1:37" ht="38.25">
      <c r="A94" s="3078" t="s">
        <v>3275</v>
      </c>
      <c r="B94" s="3069" t="str">
        <f>估价对象房地状况!C18</f>
        <v>估价对象周边道路状况、公共交通通达情况、停车便捷程度，综合评价交通便捷度较好</v>
      </c>
      <c r="C94" s="1886"/>
      <c r="D94" s="2308">
        <f t="shared" ref="D94:D101" si="30">SUMIF($J$60:$N$60,C94,J94:N94)</f>
        <v>0</v>
      </c>
      <c r="E94" s="3082"/>
      <c r="F94" s="1674"/>
      <c r="G94" s="3072"/>
      <c r="H94" s="3117" t="str">
        <f>IFERROR(ROUNDDOWN($F$93*I94/2,4),"——")</f>
        <v>——</v>
      </c>
      <c r="I94" s="3066">
        <v>0.26</v>
      </c>
      <c r="J94" s="1911">
        <f t="shared" si="27"/>
        <v>0</v>
      </c>
      <c r="K94" s="1911">
        <f t="shared" si="28"/>
        <v>0</v>
      </c>
      <c r="L94" s="1911">
        <v>0</v>
      </c>
      <c r="M94" s="1911">
        <f t="shared" si="29"/>
        <v>0</v>
      </c>
      <c r="N94" s="1911">
        <f t="shared" si="29"/>
        <v>0</v>
      </c>
    </row>
    <row r="95" spans="1:37" ht="36">
      <c r="A95" s="3068" t="s">
        <v>3271</v>
      </c>
      <c r="B95" s="3069">
        <f>估价对象房地状况!C19</f>
        <v>0</v>
      </c>
      <c r="C95" s="1886"/>
      <c r="D95" s="2308">
        <f t="shared" si="30"/>
        <v>0</v>
      </c>
      <c r="E95" s="3082"/>
      <c r="F95" s="1674"/>
      <c r="G95" s="3072"/>
      <c r="H95" s="3117" t="str">
        <f t="shared" ref="H95:H101" si="31">IFERROR(ROUNDDOWN($F$93*I95/2,4),"——")</f>
        <v>——</v>
      </c>
      <c r="I95" s="3066">
        <v>0.11</v>
      </c>
      <c r="J95" s="1911">
        <f t="shared" si="27"/>
        <v>0</v>
      </c>
      <c r="K95" s="1911">
        <f t="shared" si="28"/>
        <v>0</v>
      </c>
      <c r="L95" s="1911">
        <v>0</v>
      </c>
      <c r="M95" s="1911">
        <f t="shared" si="29"/>
        <v>0</v>
      </c>
      <c r="N95" s="1911">
        <f t="shared" si="29"/>
        <v>0</v>
      </c>
    </row>
    <row r="96" spans="1:37" ht="36.75">
      <c r="A96" s="3078" t="s">
        <v>3276</v>
      </c>
      <c r="B96" s="3084" t="s">
        <v>3287</v>
      </c>
      <c r="C96" s="1886"/>
      <c r="D96" s="2308">
        <f t="shared" si="30"/>
        <v>0</v>
      </c>
      <c r="E96" s="3082"/>
      <c r="F96" s="1674"/>
      <c r="G96" s="3072"/>
      <c r="H96" s="3117" t="str">
        <f t="shared" si="31"/>
        <v>——</v>
      </c>
      <c r="I96" s="3066">
        <v>0.05</v>
      </c>
      <c r="J96" s="1911">
        <f t="shared" si="27"/>
        <v>0</v>
      </c>
      <c r="K96" s="1911">
        <f t="shared" si="28"/>
        <v>0</v>
      </c>
      <c r="L96" s="1911">
        <v>0</v>
      </c>
      <c r="M96" s="1911">
        <f t="shared" si="29"/>
        <v>0</v>
      </c>
      <c r="N96" s="1911">
        <f t="shared" si="29"/>
        <v>0</v>
      </c>
    </row>
    <row r="97" spans="1:14" ht="24">
      <c r="A97" s="3078" t="s">
        <v>3277</v>
      </c>
      <c r="B97" s="3069">
        <f>估价对象房地状况!C24</f>
        <v>0</v>
      </c>
      <c r="C97" s="1886"/>
      <c r="D97" s="2308">
        <f t="shared" si="30"/>
        <v>0</v>
      </c>
      <c r="E97" s="3082"/>
      <c r="F97" s="1674"/>
      <c r="G97" s="3072"/>
      <c r="H97" s="3117" t="str">
        <f t="shared" si="31"/>
        <v>——</v>
      </c>
      <c r="I97" s="3066">
        <v>0.05</v>
      </c>
      <c r="J97" s="1911">
        <f t="shared" si="27"/>
        <v>0</v>
      </c>
      <c r="K97" s="1911">
        <f t="shared" si="28"/>
        <v>0</v>
      </c>
      <c r="L97" s="1911">
        <v>0</v>
      </c>
      <c r="M97" s="1911">
        <f t="shared" si="29"/>
        <v>0</v>
      </c>
      <c r="N97" s="1911">
        <f t="shared" si="29"/>
        <v>0</v>
      </c>
    </row>
    <row r="98" spans="1:14" ht="24">
      <c r="A98" s="3078" t="s">
        <v>3278</v>
      </c>
      <c r="B98" s="3085" t="s">
        <v>3288</v>
      </c>
      <c r="C98" s="1886"/>
      <c r="D98" s="2308">
        <f t="shared" si="30"/>
        <v>0</v>
      </c>
      <c r="E98" s="3082"/>
      <c r="F98" s="1674"/>
      <c r="G98" s="3072"/>
      <c r="H98" s="3117" t="str">
        <f t="shared" si="31"/>
        <v>——</v>
      </c>
      <c r="I98" s="3066">
        <v>0.06</v>
      </c>
      <c r="J98" s="1911">
        <f t="shared" si="27"/>
        <v>0</v>
      </c>
      <c r="K98" s="1911">
        <f t="shared" si="28"/>
        <v>0</v>
      </c>
      <c r="L98" s="1911">
        <v>0</v>
      </c>
      <c r="M98" s="1911">
        <f t="shared" si="29"/>
        <v>0</v>
      </c>
      <c r="N98" s="1911">
        <f t="shared" si="29"/>
        <v>0</v>
      </c>
    </row>
    <row r="99" spans="1:14" ht="25.5">
      <c r="A99" s="3078" t="s">
        <v>3279</v>
      </c>
      <c r="B99" s="3069" t="str">
        <f>估价对象房地状况!C21</f>
        <v>估价对象所在区域公共配套设施齐备情况</v>
      </c>
      <c r="C99" s="1886"/>
      <c r="D99" s="2308">
        <f t="shared" si="30"/>
        <v>0</v>
      </c>
      <c r="E99" s="3082"/>
      <c r="F99" s="1674"/>
      <c r="G99" s="3072"/>
      <c r="H99" s="3117" t="str">
        <f t="shared" si="31"/>
        <v>——</v>
      </c>
      <c r="I99" s="3066">
        <v>0.06</v>
      </c>
      <c r="J99" s="1911">
        <f t="shared" si="27"/>
        <v>0</v>
      </c>
      <c r="K99" s="1911">
        <f t="shared" si="28"/>
        <v>0</v>
      </c>
      <c r="L99" s="1911">
        <v>0</v>
      </c>
      <c r="M99" s="1911">
        <f t="shared" si="29"/>
        <v>0</v>
      </c>
      <c r="N99" s="1911">
        <f t="shared" si="29"/>
        <v>0</v>
      </c>
    </row>
    <row r="100" spans="1:14" ht="25.5">
      <c r="A100" s="3078" t="s">
        <v>3280</v>
      </c>
      <c r="B100" s="3069" t="str">
        <f>估价对象房地状况!C22</f>
        <v>估价对象所在区域基础设施水平</v>
      </c>
      <c r="C100" s="1886"/>
      <c r="D100" s="2308">
        <f t="shared" si="30"/>
        <v>0</v>
      </c>
      <c r="E100" s="3082"/>
      <c r="F100" s="1674"/>
      <c r="G100" s="3072"/>
      <c r="H100" s="3117" t="str">
        <f t="shared" si="31"/>
        <v>——</v>
      </c>
      <c r="I100" s="3066">
        <v>0.09</v>
      </c>
      <c r="J100" s="1911">
        <f t="shared" si="27"/>
        <v>0</v>
      </c>
      <c r="K100" s="1911">
        <f t="shared" si="28"/>
        <v>0</v>
      </c>
      <c r="L100" s="1911">
        <v>0</v>
      </c>
      <c r="M100" s="1911">
        <f t="shared" si="29"/>
        <v>0</v>
      </c>
      <c r="N100" s="1911">
        <f t="shared" si="29"/>
        <v>0</v>
      </c>
    </row>
    <row r="101" spans="1:14" ht="26.25" thickBot="1">
      <c r="A101" s="3079" t="s">
        <v>3281</v>
      </c>
      <c r="B101" s="3086" t="str">
        <f>估价对象房地状况!C20</f>
        <v>区域自然环境：；人文环境；综合评价环境状况一般</v>
      </c>
      <c r="C101" s="1886"/>
      <c r="D101" s="2308">
        <f t="shared" si="30"/>
        <v>0</v>
      </c>
      <c r="E101" s="3083"/>
      <c r="F101" s="1674"/>
      <c r="G101" s="3072"/>
      <c r="H101" s="3117" t="str">
        <f t="shared" si="31"/>
        <v>——</v>
      </c>
      <c r="I101" s="3067">
        <v>7.0000000000000007E-2</v>
      </c>
      <c r="J101" s="1911">
        <f t="shared" si="27"/>
        <v>0</v>
      </c>
      <c r="K101" s="1911">
        <f t="shared" si="28"/>
        <v>0</v>
      </c>
      <c r="L101" s="1911">
        <v>0</v>
      </c>
      <c r="M101" s="1911">
        <f t="shared" si="29"/>
        <v>0</v>
      </c>
      <c r="N101" s="1911">
        <f t="shared" si="29"/>
        <v>0</v>
      </c>
    </row>
    <row r="103" spans="1:14">
      <c r="A103" s="3458" t="s">
        <v>3296</v>
      </c>
      <c r="B103" s="3458"/>
      <c r="C103" s="3458"/>
      <c r="D103" s="3458"/>
      <c r="E103" s="3458"/>
      <c r="F103" s="3458"/>
      <c r="G103" s="3458"/>
      <c r="H103" s="3458"/>
      <c r="I103" s="3458"/>
      <c r="J103" s="3458"/>
      <c r="K103" s="1666"/>
      <c r="L103" s="1666"/>
      <c r="M103" s="1666"/>
      <c r="N103" s="1666"/>
    </row>
    <row r="104" spans="1:14">
      <c r="A104" s="3459" t="s">
        <v>3297</v>
      </c>
      <c r="B104" s="3459" t="s">
        <v>3298</v>
      </c>
      <c r="C104" s="3088" t="s">
        <v>3299</v>
      </c>
      <c r="D104" s="3089"/>
      <c r="E104" s="3089"/>
      <c r="F104" s="3089"/>
      <c r="G104" s="3089"/>
      <c r="H104" s="3089"/>
      <c r="I104" s="3089"/>
      <c r="J104" s="3090"/>
      <c r="K104" s="3091"/>
      <c r="L104" s="3091"/>
      <c r="M104" s="3091"/>
      <c r="N104" s="3091"/>
    </row>
    <row r="105" spans="1:14">
      <c r="A105" s="3459"/>
      <c r="B105" s="3459"/>
      <c r="C105" s="3092" t="s">
        <v>3300</v>
      </c>
      <c r="D105" s="3092" t="s">
        <v>3301</v>
      </c>
      <c r="E105" s="3092" t="s">
        <v>3302</v>
      </c>
      <c r="F105" s="3092" t="s">
        <v>3303</v>
      </c>
      <c r="G105" s="3092" t="s">
        <v>3304</v>
      </c>
      <c r="H105" s="3092" t="s">
        <v>3305</v>
      </c>
      <c r="I105" s="3092" t="s">
        <v>3306</v>
      </c>
      <c r="J105" s="3092" t="s">
        <v>3307</v>
      </c>
      <c r="K105" s="3092" t="s">
        <v>3308</v>
      </c>
      <c r="L105" s="3092" t="s">
        <v>3309</v>
      </c>
      <c r="M105" s="3092" t="s">
        <v>3310</v>
      </c>
      <c r="N105" s="3092" t="s">
        <v>3311</v>
      </c>
    </row>
    <row r="106" spans="1:14">
      <c r="A106" s="3445" t="s">
        <v>3312</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46"/>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46"/>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46"/>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46"/>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46"/>
      <c r="B111" s="3092" t="s">
        <v>3270</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47"/>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48" t="s">
        <v>3313</v>
      </c>
      <c r="B113" s="3448"/>
      <c r="C113" s="3448"/>
      <c r="D113" s="3448"/>
      <c r="E113" s="3448"/>
      <c r="F113" s="3448"/>
      <c r="G113" s="3448"/>
      <c r="H113" s="3448"/>
      <c r="I113" s="3448"/>
      <c r="J113" s="3448"/>
      <c r="K113" s="3094"/>
      <c r="L113" s="3094"/>
      <c r="M113" s="3094"/>
      <c r="N113" s="3094"/>
    </row>
    <row r="114" spans="1:14">
      <c r="A114" s="3095"/>
      <c r="B114" s="3095"/>
      <c r="C114" s="3095"/>
      <c r="D114" s="3095"/>
      <c r="E114" s="3095"/>
      <c r="F114" s="3095"/>
      <c r="G114" s="3095"/>
      <c r="H114" s="3095"/>
      <c r="I114" s="3095"/>
      <c r="J114" s="3095"/>
      <c r="K114" s="1963"/>
      <c r="L114" s="3095"/>
      <c r="M114" s="3095"/>
      <c r="N114" s="3095"/>
    </row>
    <row r="115" spans="1:14" ht="13.5" thickBot="1">
      <c r="A115" s="3095"/>
      <c r="B115" s="3095"/>
      <c r="C115" s="3095"/>
      <c r="D115" s="3095"/>
      <c r="E115" s="3095"/>
      <c r="F115" s="3095"/>
      <c r="G115" s="3095"/>
      <c r="H115" s="3095"/>
      <c r="I115" s="3095"/>
      <c r="J115" s="3095"/>
      <c r="K115" s="1963"/>
      <c r="L115" s="3095"/>
      <c r="M115" s="3095"/>
      <c r="N115" s="3095"/>
    </row>
    <row r="116" spans="1:14" ht="25.5" thickBot="1">
      <c r="A116" s="3096" t="s">
        <v>3314</v>
      </c>
      <c r="B116" s="3112">
        <f>G3</f>
        <v>0</v>
      </c>
      <c r="C116" s="3097" t="s">
        <v>3315</v>
      </c>
      <c r="D116" s="3098">
        <f>SUMPRODUCT((A118:A122=F116)*(B117:M117=H116)*B118:M122)</f>
        <v>0</v>
      </c>
      <c r="E116" s="161" t="s">
        <v>3316</v>
      </c>
      <c r="F116" s="3099">
        <f>E2</f>
        <v>0</v>
      </c>
      <c r="G116" s="161" t="s">
        <v>3317</v>
      </c>
      <c r="H116" s="3099">
        <f>G2</f>
        <v>0</v>
      </c>
      <c r="I116" s="161"/>
      <c r="J116" s="3100"/>
      <c r="K116" s="3100"/>
      <c r="L116" s="3100"/>
      <c r="M116" s="3100"/>
      <c r="N116" s="3095"/>
    </row>
    <row r="117" spans="1:14">
      <c r="A117" s="3101"/>
      <c r="B117" s="3102" t="s">
        <v>3318</v>
      </c>
      <c r="C117" s="3102" t="s">
        <v>3319</v>
      </c>
      <c r="D117" s="3102" t="s">
        <v>3320</v>
      </c>
      <c r="E117" s="3103" t="s">
        <v>3321</v>
      </c>
      <c r="F117" s="3103" t="s">
        <v>3322</v>
      </c>
      <c r="G117" s="3103" t="s">
        <v>3323</v>
      </c>
      <c r="H117" s="3104" t="s">
        <v>3324</v>
      </c>
      <c r="I117" s="3104" t="s">
        <v>3325</v>
      </c>
      <c r="J117" s="3105" t="s">
        <v>3326</v>
      </c>
      <c r="K117" s="3105" t="s">
        <v>3327</v>
      </c>
      <c r="L117" s="3105" t="s">
        <v>3328</v>
      </c>
      <c r="M117" s="3106" t="s">
        <v>3329</v>
      </c>
      <c r="N117" s="3095"/>
    </row>
    <row r="118" spans="1:14">
      <c r="A118" s="3055" t="s">
        <v>3330</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3331</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3332</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5" thickBot="1">
      <c r="A121" s="3108" t="s">
        <v>3333</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2614</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2"/>
      <c r="C2" s="3162"/>
      <c r="D2" s="3162"/>
      <c r="E2" s="3162"/>
    </row>
    <row r="3" spans="1:5" ht="18">
      <c r="A3" s="3163" t="str">
        <f>IF(项目基本情况!B9="房地产市场价值","估价结果一览表（市场价值不需“结果表-1”）","估价结果一览表")</f>
        <v>估价结果一览表</v>
      </c>
      <c r="B3" s="3163"/>
      <c r="C3" s="3163"/>
      <c r="D3" s="3163"/>
      <c r="E3" s="3163"/>
    </row>
    <row r="4" spans="1:5" ht="19.5" thickBot="1">
      <c r="A4" s="1390"/>
      <c r="B4" s="3161" t="s">
        <v>917</v>
      </c>
      <c r="C4" s="3161"/>
      <c r="D4" s="3161"/>
      <c r="E4" s="1390"/>
    </row>
    <row r="5" spans="1:5" ht="16.5" thickTop="1">
      <c r="B5" s="3159" t="s">
        <v>909</v>
      </c>
      <c r="C5" s="1391" t="s">
        <v>910</v>
      </c>
      <c r="D5" s="796">
        <f ca="1">结果表!H101</f>
        <v>464.52170000000001</v>
      </c>
    </row>
    <row r="6" spans="1:5" ht="15.75">
      <c r="B6" s="3159"/>
      <c r="C6" s="1391" t="s">
        <v>911</v>
      </c>
      <c r="D6" s="796" t="str">
        <f ca="1">NUMBERSTRING(INT(D5*10000),2)&amp;"元整"</f>
        <v>肆佰陆拾肆万伍仟贰佰壹拾柒元整</v>
      </c>
    </row>
    <row r="7" spans="1:5" ht="15.75">
      <c r="B7" s="3164"/>
      <c r="C7" s="1392" t="s">
        <v>912</v>
      </c>
      <c r="D7" s="797">
        <f ca="1">结果表!H102</f>
        <v>20441</v>
      </c>
    </row>
    <row r="8" spans="1:5" ht="15.75">
      <c r="B8" s="3165" t="str">
        <f>结果表!E103</f>
        <v>2.估价师知悉的法定优先受偿款</v>
      </c>
      <c r="C8" s="1393" t="s">
        <v>913</v>
      </c>
      <c r="D8" s="797">
        <f>结果表!H103</f>
        <v>0</v>
      </c>
    </row>
    <row r="9" spans="1:5" ht="15.75">
      <c r="B9" s="3167"/>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58" t="str">
        <f>结果表!E107</f>
        <v>3.房地产抵押价值</v>
      </c>
      <c r="C13" s="1396" t="s">
        <v>910</v>
      </c>
      <c r="D13" s="799">
        <f ca="1">结果表!H107</f>
        <v>464.52170000000001</v>
      </c>
    </row>
    <row r="14" spans="1:5" ht="15.75">
      <c r="B14" s="3159"/>
      <c r="C14" s="1391" t="s">
        <v>911</v>
      </c>
      <c r="D14" s="796" t="str">
        <f ca="1">NUMBERSTRING(INT(D13*10000),2)&amp;"元整"</f>
        <v>肆佰陆拾肆万伍仟贰佰壹拾柒元整</v>
      </c>
    </row>
    <row r="15" spans="1:5" ht="15">
      <c r="B15" s="3164"/>
      <c r="C15" s="1392" t="s">
        <v>921</v>
      </c>
      <c r="D15" s="805">
        <f ca="1">结果表!H108</f>
        <v>20441</v>
      </c>
    </row>
    <row r="16" spans="1:5" ht="15">
      <c r="B16" s="3165" t="str">
        <f>结果表!E109</f>
        <v>——</v>
      </c>
      <c r="C16" s="1396" t="s">
        <v>922</v>
      </c>
      <c r="D16" s="1397" t="str">
        <f>结果表!H109</f>
        <v>——</v>
      </c>
    </row>
    <row r="17" spans="1:5" ht="15.75">
      <c r="B17" s="3166"/>
      <c r="C17" s="1391" t="s">
        <v>923</v>
      </c>
      <c r="D17" s="796" t="e">
        <f>NUMBERSTRING(INT(D16*10000),2)&amp;"元整"</f>
        <v>#VALUE!</v>
      </c>
    </row>
    <row r="18" spans="1:5" ht="15">
      <c r="B18" s="3167"/>
      <c r="C18" s="1392" t="s">
        <v>912</v>
      </c>
      <c r="D18" s="805" t="str">
        <f>结果表!H110</f>
        <v>——</v>
      </c>
    </row>
    <row r="19" spans="1:5" ht="15.75">
      <c r="B19" s="3158" t="str">
        <f>结果表!E111</f>
        <v>——</v>
      </c>
      <c r="C19" s="1396" t="s">
        <v>910</v>
      </c>
      <c r="D19" s="797" t="str">
        <f>结果表!H111</f>
        <v>——</v>
      </c>
    </row>
    <row r="20" spans="1:5" ht="15.75">
      <c r="B20" s="3159"/>
      <c r="C20" s="1391" t="s">
        <v>923</v>
      </c>
      <c r="D20" s="796" t="e">
        <f>NUMBERSTRING(INT(D19*10000),2)&amp;"元整"</f>
        <v>#VALUE!</v>
      </c>
    </row>
    <row r="21" spans="1:5" ht="15.75" thickBot="1">
      <c r="B21" s="3160"/>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2596</v>
      </c>
      <c r="B1" s="2809" t="s">
        <v>2597</v>
      </c>
      <c r="C1" s="2809" t="s">
        <v>2598</v>
      </c>
      <c r="D1" s="2809" t="s">
        <v>2599</v>
      </c>
      <c r="E1" s="2809" t="s">
        <v>2600</v>
      </c>
      <c r="F1" s="2809" t="s">
        <v>2601</v>
      </c>
      <c r="G1" s="2809" t="s">
        <v>2602</v>
      </c>
      <c r="H1" s="2809" t="s">
        <v>2603</v>
      </c>
      <c r="I1" s="2809" t="s">
        <v>2604</v>
      </c>
      <c r="J1" s="2809" t="s">
        <v>2605</v>
      </c>
      <c r="K1" s="2809" t="s">
        <v>2606</v>
      </c>
      <c r="L1" s="2809" t="s">
        <v>2607</v>
      </c>
      <c r="M1" s="2810" t="s">
        <v>2608</v>
      </c>
    </row>
    <row r="2" spans="1:13" ht="19.5" customHeight="1">
      <c r="A2" s="2812" t="s">
        <v>2609</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2610</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2611</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2612</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2613</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2614</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2615</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2616</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2617</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2618</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2619</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2620</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2621</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2622</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2623</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2624</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2625</v>
      </c>
      <c r="B18" s="2834"/>
      <c r="C18" s="2835"/>
      <c r="D18" s="2835"/>
      <c r="E18" s="2834"/>
      <c r="F18" s="2835"/>
      <c r="G18" s="2835"/>
    </row>
    <row r="19" spans="1:13" ht="19.5" customHeight="1" thickBot="1">
      <c r="A19" s="2832" t="s">
        <v>2626</v>
      </c>
      <c r="B19" s="2837" t="s">
        <v>2627</v>
      </c>
      <c r="C19" s="2837" t="s">
        <v>2628</v>
      </c>
      <c r="D19" s="2838"/>
      <c r="E19" s="2832" t="s">
        <v>2629</v>
      </c>
      <c r="F19" s="2839"/>
      <c r="G19" s="2839"/>
    </row>
    <row r="20" spans="1:13" ht="19.5" customHeight="1">
      <c r="A20" s="3473" t="s">
        <v>2609</v>
      </c>
      <c r="B20" s="3468" t="s">
        <v>2630</v>
      </c>
      <c r="C20" s="2840" t="s">
        <v>2441</v>
      </c>
      <c r="D20" s="2841"/>
      <c r="E20" s="2842">
        <v>1</v>
      </c>
      <c r="F20" s="2843" t="s">
        <v>2442</v>
      </c>
      <c r="G20" s="2843"/>
    </row>
    <row r="21" spans="1:13" ht="19.5" customHeight="1">
      <c r="A21" s="3474"/>
      <c r="B21" s="3467"/>
      <c r="C21" s="2844" t="s">
        <v>2443</v>
      </c>
      <c r="D21" s="2845"/>
      <c r="E21" s="2846">
        <v>1</v>
      </c>
      <c r="F21" s="2843" t="s">
        <v>2444</v>
      </c>
      <c r="G21" s="2843"/>
    </row>
    <row r="22" spans="1:13" ht="19.5" customHeight="1">
      <c r="A22" s="3474"/>
      <c r="B22" s="3467"/>
      <c r="C22" s="2844" t="s">
        <v>2445</v>
      </c>
      <c r="D22" s="2845"/>
      <c r="E22" s="2846">
        <v>0.9</v>
      </c>
      <c r="F22" s="2843" t="s">
        <v>2446</v>
      </c>
      <c r="G22" s="2843"/>
    </row>
    <row r="23" spans="1:13" ht="19.5" customHeight="1">
      <c r="A23" s="3474"/>
      <c r="B23" s="3467"/>
      <c r="C23" s="2844" t="s">
        <v>2447</v>
      </c>
      <c r="D23" s="2845"/>
      <c r="E23" s="2846">
        <v>0.9</v>
      </c>
      <c r="F23" s="2843" t="s">
        <v>2448</v>
      </c>
      <c r="G23" s="2843"/>
    </row>
    <row r="24" spans="1:13" ht="19.5" customHeight="1">
      <c r="A24" s="3474"/>
      <c r="B24" s="3467"/>
      <c r="C24" s="2844" t="s">
        <v>2449</v>
      </c>
      <c r="D24" s="2845"/>
      <c r="E24" s="2846">
        <v>0.8</v>
      </c>
      <c r="F24" s="2843" t="s">
        <v>2450</v>
      </c>
      <c r="G24" s="2843"/>
    </row>
    <row r="25" spans="1:13" ht="19.5" customHeight="1" thickBot="1">
      <c r="A25" s="3475"/>
      <c r="B25" s="3469"/>
      <c r="C25" s="2847" t="s">
        <v>2451</v>
      </c>
      <c r="D25" s="2848"/>
      <c r="E25" s="2849">
        <v>0.8</v>
      </c>
      <c r="F25" s="2843" t="s">
        <v>2452</v>
      </c>
      <c r="G25" s="2843"/>
    </row>
    <row r="26" spans="1:13" ht="19.5" customHeight="1" thickBot="1">
      <c r="A26" s="2850" t="s">
        <v>2631</v>
      </c>
      <c r="B26" s="2851" t="s">
        <v>2630</v>
      </c>
      <c r="C26" s="2852" t="s">
        <v>2632</v>
      </c>
      <c r="D26" s="2853"/>
      <c r="E26" s="2854">
        <v>1</v>
      </c>
      <c r="F26" s="2843" t="s">
        <v>2453</v>
      </c>
      <c r="G26" s="2843"/>
    </row>
    <row r="27" spans="1:13" ht="19.5" customHeight="1">
      <c r="A27" s="3470" t="s">
        <v>2633</v>
      </c>
      <c r="B27" s="3468" t="s">
        <v>2614</v>
      </c>
      <c r="C27" s="2840" t="s">
        <v>2454</v>
      </c>
      <c r="D27" s="2841"/>
      <c r="E27" s="2842">
        <v>1</v>
      </c>
      <c r="F27" s="2843" t="s">
        <v>2455</v>
      </c>
      <c r="G27" s="2843"/>
    </row>
    <row r="28" spans="1:13" ht="19.5" customHeight="1">
      <c r="A28" s="3471"/>
      <c r="B28" s="3467"/>
      <c r="C28" s="2844" t="s">
        <v>2456</v>
      </c>
      <c r="D28" s="2845"/>
      <c r="E28" s="2846">
        <v>1</v>
      </c>
      <c r="F28" s="2843" t="s">
        <v>2457</v>
      </c>
      <c r="G28" s="2843"/>
    </row>
    <row r="29" spans="1:13" ht="19.5" customHeight="1">
      <c r="A29" s="3471"/>
      <c r="B29" s="3467"/>
      <c r="C29" s="2844" t="s">
        <v>2458</v>
      </c>
      <c r="D29" s="2845"/>
      <c r="E29" s="2846">
        <v>0.8</v>
      </c>
      <c r="F29" s="2843" t="s">
        <v>2459</v>
      </c>
      <c r="G29" s="2843"/>
    </row>
    <row r="30" spans="1:13" ht="19.5" customHeight="1">
      <c r="A30" s="3471"/>
      <c r="B30" s="3467"/>
      <c r="C30" s="2844" t="s">
        <v>2460</v>
      </c>
      <c r="D30" s="2845"/>
      <c r="E30" s="2846">
        <v>0.8</v>
      </c>
      <c r="F30" s="2843" t="s">
        <v>2461</v>
      </c>
      <c r="G30" s="2843"/>
    </row>
    <row r="31" spans="1:13" ht="19.5" customHeight="1">
      <c r="A31" s="3471"/>
      <c r="B31" s="3467"/>
      <c r="C31" s="2844" t="s">
        <v>2462</v>
      </c>
      <c r="D31" s="2845"/>
      <c r="E31" s="2846">
        <v>0.8</v>
      </c>
      <c r="F31" s="2843" t="s">
        <v>2463</v>
      </c>
      <c r="G31" s="2843"/>
    </row>
    <row r="32" spans="1:13" ht="19.5" customHeight="1">
      <c r="A32" s="3471"/>
      <c r="B32" s="3467"/>
      <c r="C32" s="2844" t="s">
        <v>2464</v>
      </c>
      <c r="D32" s="2845"/>
      <c r="E32" s="2846">
        <v>0.7</v>
      </c>
      <c r="F32" s="2843" t="s">
        <v>2465</v>
      </c>
      <c r="G32" s="2843"/>
    </row>
    <row r="33" spans="1:7" ht="19.5" customHeight="1">
      <c r="A33" s="3471"/>
      <c r="B33" s="3467"/>
      <c r="C33" s="2844" t="s">
        <v>2466</v>
      </c>
      <c r="D33" s="2845"/>
      <c r="E33" s="2846">
        <v>0.8</v>
      </c>
      <c r="F33" s="2843" t="s">
        <v>2467</v>
      </c>
      <c r="G33" s="2843"/>
    </row>
    <row r="34" spans="1:7" ht="19.5" customHeight="1">
      <c r="A34" s="3471"/>
      <c r="B34" s="3467"/>
      <c r="C34" s="2844" t="s">
        <v>2468</v>
      </c>
      <c r="D34" s="2845"/>
      <c r="E34" s="2846">
        <v>0.6</v>
      </c>
      <c r="F34" s="2843" t="s">
        <v>2469</v>
      </c>
      <c r="G34" s="2843"/>
    </row>
    <row r="35" spans="1:7" ht="19.5" customHeight="1">
      <c r="A35" s="3471"/>
      <c r="B35" s="3467"/>
      <c r="C35" s="2844" t="s">
        <v>2470</v>
      </c>
      <c r="D35" s="2845"/>
      <c r="E35" s="2846">
        <v>0.2</v>
      </c>
      <c r="F35" s="2843" t="s">
        <v>2471</v>
      </c>
      <c r="G35" s="2843"/>
    </row>
    <row r="36" spans="1:7" ht="19.5" customHeight="1">
      <c r="A36" s="3471"/>
      <c r="B36" s="3467"/>
      <c r="C36" s="2844" t="s">
        <v>2472</v>
      </c>
      <c r="D36" s="2845"/>
      <c r="E36" s="2846">
        <v>0.2</v>
      </c>
      <c r="F36" s="2843" t="s">
        <v>2473</v>
      </c>
      <c r="G36" s="2843"/>
    </row>
    <row r="37" spans="1:7" ht="19.5" customHeight="1">
      <c r="A37" s="3471"/>
      <c r="B37" s="3465" t="s">
        <v>2634</v>
      </c>
      <c r="C37" s="2844" t="s">
        <v>2474</v>
      </c>
      <c r="D37" s="2845"/>
      <c r="E37" s="2846">
        <v>0.6</v>
      </c>
      <c r="F37" s="2843" t="s">
        <v>2475</v>
      </c>
      <c r="G37" s="2843"/>
    </row>
    <row r="38" spans="1:7" ht="19.5" customHeight="1">
      <c r="A38" s="3471"/>
      <c r="B38" s="3467"/>
      <c r="C38" s="2844" t="s">
        <v>2476</v>
      </c>
      <c r="D38" s="2845"/>
      <c r="E38" s="2846">
        <v>0.6</v>
      </c>
      <c r="F38" s="2843" t="s">
        <v>2477</v>
      </c>
      <c r="G38" s="2843"/>
    </row>
    <row r="39" spans="1:7" ht="19.5" customHeight="1" thickBot="1">
      <c r="A39" s="3472"/>
      <c r="B39" s="3469"/>
      <c r="C39" s="2847" t="s">
        <v>2478</v>
      </c>
      <c r="D39" s="2848"/>
      <c r="E39" s="2849">
        <v>0.6</v>
      </c>
      <c r="F39" s="2843" t="s">
        <v>2479</v>
      </c>
      <c r="G39" s="2843"/>
    </row>
    <row r="40" spans="1:7" ht="19.5" customHeight="1" thickBot="1">
      <c r="A40" s="2850" t="s">
        <v>2611</v>
      </c>
      <c r="B40" s="2851" t="s">
        <v>2611</v>
      </c>
      <c r="C40" s="2852" t="s">
        <v>2635</v>
      </c>
      <c r="D40" s="2853"/>
      <c r="E40" s="2854">
        <v>1</v>
      </c>
      <c r="F40" s="2843" t="s">
        <v>2480</v>
      </c>
      <c r="G40" s="2843"/>
    </row>
    <row r="41" spans="1:7" ht="19.5" customHeight="1">
      <c r="A41" s="3473" t="s">
        <v>2612</v>
      </c>
      <c r="B41" s="3468" t="s">
        <v>2636</v>
      </c>
      <c r="C41" s="2840" t="s">
        <v>2481</v>
      </c>
      <c r="D41" s="2841"/>
      <c r="E41" s="2842">
        <v>1</v>
      </c>
      <c r="F41" s="2843" t="s">
        <v>2482</v>
      </c>
      <c r="G41" s="2843"/>
    </row>
    <row r="42" spans="1:7" ht="19.5" customHeight="1">
      <c r="A42" s="3474"/>
      <c r="B42" s="3467"/>
      <c r="C42" s="2844" t="s">
        <v>2483</v>
      </c>
      <c r="D42" s="2845"/>
      <c r="E42" s="2846">
        <v>1</v>
      </c>
      <c r="F42" s="2843" t="s">
        <v>2484</v>
      </c>
      <c r="G42" s="2843"/>
    </row>
    <row r="43" spans="1:7" ht="19.5" customHeight="1">
      <c r="A43" s="3474"/>
      <c r="B43" s="3466"/>
      <c r="C43" s="2844" t="s">
        <v>2485</v>
      </c>
      <c r="D43" s="2845"/>
      <c r="E43" s="2846">
        <v>1.5</v>
      </c>
      <c r="F43" s="2843" t="s">
        <v>2486</v>
      </c>
      <c r="G43" s="2843"/>
    </row>
    <row r="44" spans="1:7" ht="19.5" customHeight="1">
      <c r="A44" s="3474"/>
      <c r="B44" s="2855" t="s">
        <v>2637</v>
      </c>
      <c r="C44" s="2844" t="s">
        <v>2638</v>
      </c>
      <c r="D44" s="2845"/>
      <c r="E44" s="2846">
        <v>2</v>
      </c>
      <c r="F44" s="2843" t="s">
        <v>2487</v>
      </c>
      <c r="G44" s="2843"/>
    </row>
    <row r="45" spans="1:7" ht="19.5" customHeight="1">
      <c r="A45" s="3474"/>
      <c r="B45" s="3465" t="s">
        <v>2639</v>
      </c>
      <c r="C45" s="2844" t="s">
        <v>2488</v>
      </c>
      <c r="D45" s="2845"/>
      <c r="E45" s="2846">
        <v>1</v>
      </c>
      <c r="F45" s="2843" t="s">
        <v>2489</v>
      </c>
      <c r="G45" s="2843"/>
    </row>
    <row r="46" spans="1:7" ht="19.5" customHeight="1">
      <c r="A46" s="3474"/>
      <c r="B46" s="3467"/>
      <c r="C46" s="2844" t="s">
        <v>2490</v>
      </c>
      <c r="D46" s="2845"/>
      <c r="E46" s="2846">
        <v>1</v>
      </c>
      <c r="F46" s="2843" t="s">
        <v>2491</v>
      </c>
      <c r="G46" s="2843"/>
    </row>
    <row r="47" spans="1:7" ht="19.5" customHeight="1">
      <c r="A47" s="3474"/>
      <c r="B47" s="3467"/>
      <c r="C47" s="2844" t="s">
        <v>2492</v>
      </c>
      <c r="D47" s="2845"/>
      <c r="E47" s="2846">
        <v>1</v>
      </c>
      <c r="F47" s="2843" t="s">
        <v>2493</v>
      </c>
      <c r="G47" s="2843"/>
    </row>
    <row r="48" spans="1:7" ht="19.5" customHeight="1">
      <c r="A48" s="3474"/>
      <c r="B48" s="3467"/>
      <c r="C48" s="2844" t="s">
        <v>2494</v>
      </c>
      <c r="D48" s="2845"/>
      <c r="E48" s="2846">
        <v>1</v>
      </c>
      <c r="F48" s="2843" t="s">
        <v>2495</v>
      </c>
      <c r="G48" s="2843"/>
    </row>
    <row r="49" spans="1:7" ht="19.5" customHeight="1">
      <c r="A49" s="3474"/>
      <c r="B49" s="3467"/>
      <c r="C49" s="2844" t="s">
        <v>2496</v>
      </c>
      <c r="D49" s="2845"/>
      <c r="E49" s="2846">
        <v>1</v>
      </c>
      <c r="F49" s="2843" t="s">
        <v>2497</v>
      </c>
      <c r="G49" s="2843"/>
    </row>
    <row r="50" spans="1:7" ht="19.5" customHeight="1">
      <c r="A50" s="3474"/>
      <c r="B50" s="3467"/>
      <c r="C50" s="2844" t="s">
        <v>2498</v>
      </c>
      <c r="D50" s="2845"/>
      <c r="E50" s="2846">
        <v>1</v>
      </c>
      <c r="F50" s="2843" t="s">
        <v>2499</v>
      </c>
      <c r="G50" s="2843"/>
    </row>
    <row r="51" spans="1:7" ht="19.5" customHeight="1" thickBot="1">
      <c r="A51" s="3475"/>
      <c r="B51" s="3469"/>
      <c r="C51" s="2847" t="s">
        <v>2500</v>
      </c>
      <c r="D51" s="2848"/>
      <c r="E51" s="2849">
        <v>1</v>
      </c>
      <c r="F51" s="2843" t="s">
        <v>2501</v>
      </c>
      <c r="G51" s="2843"/>
    </row>
    <row r="52" spans="1:7" ht="19.5" customHeight="1">
      <c r="A52" s="2856"/>
      <c r="B52" s="2856"/>
      <c r="C52" s="2856"/>
      <c r="D52" s="2856"/>
      <c r="E52" s="2856"/>
      <c r="F52" s="2856"/>
      <c r="G52" s="2856"/>
    </row>
    <row r="54" spans="1:7" ht="19.5" customHeight="1">
      <c r="A54" s="2857"/>
      <c r="B54" s="2829" t="s">
        <v>2640</v>
      </c>
      <c r="C54" s="2829" t="s">
        <v>2640</v>
      </c>
      <c r="D54" s="2829" t="s">
        <v>2640</v>
      </c>
      <c r="E54" s="2832" t="s">
        <v>2640</v>
      </c>
      <c r="F54" s="2832" t="s">
        <v>2641</v>
      </c>
      <c r="G54" s="2832" t="s">
        <v>2642</v>
      </c>
    </row>
    <row r="55" spans="1:7" ht="19.5" customHeight="1">
      <c r="A55" s="2858"/>
      <c r="B55" s="2832" t="s">
        <v>2609</v>
      </c>
      <c r="C55" s="2832" t="s">
        <v>2609</v>
      </c>
      <c r="D55" s="2832" t="s">
        <v>2609</v>
      </c>
      <c r="E55" s="2829" t="s">
        <v>2610</v>
      </c>
      <c r="F55" s="2829" t="s">
        <v>2612</v>
      </c>
      <c r="G55" s="2829" t="s">
        <v>2643</v>
      </c>
    </row>
    <row r="56" spans="1:7" ht="19.5" customHeight="1">
      <c r="A56" s="2859"/>
      <c r="B56" s="2829">
        <v>1</v>
      </c>
      <c r="C56" s="2829">
        <v>2</v>
      </c>
      <c r="D56" s="2829">
        <v>3</v>
      </c>
      <c r="E56" s="2860" t="s">
        <v>2644</v>
      </c>
      <c r="F56" s="2860" t="s">
        <v>2644</v>
      </c>
      <c r="G56" s="2860" t="s">
        <v>2644</v>
      </c>
    </row>
    <row r="57" spans="1:7" ht="19.5" customHeight="1">
      <c r="A57" s="2861" t="s">
        <v>2597</v>
      </c>
      <c r="B57" s="2829">
        <v>0.7</v>
      </c>
      <c r="C57" s="2829">
        <v>0.4</v>
      </c>
      <c r="D57" s="2829">
        <v>0.3</v>
      </c>
      <c r="E57" s="2860">
        <v>0.3</v>
      </c>
      <c r="F57" s="2829">
        <v>0.3</v>
      </c>
      <c r="G57" s="2829">
        <v>0.2</v>
      </c>
    </row>
    <row r="58" spans="1:7" ht="19.5" customHeight="1">
      <c r="A58" s="2861" t="s">
        <v>2598</v>
      </c>
      <c r="B58" s="2829">
        <v>0.7</v>
      </c>
      <c r="C58" s="2829">
        <v>0.4</v>
      </c>
      <c r="D58" s="2829">
        <v>0.3</v>
      </c>
      <c r="E58" s="2829">
        <v>0.3</v>
      </c>
      <c r="F58" s="2829">
        <v>0.3</v>
      </c>
      <c r="G58" s="2829">
        <v>0.2</v>
      </c>
    </row>
    <row r="59" spans="1:7" ht="19.5" customHeight="1">
      <c r="A59" s="2861" t="s">
        <v>2599</v>
      </c>
      <c r="B59" s="2829">
        <v>0.6</v>
      </c>
      <c r="C59" s="2829">
        <v>0.3</v>
      </c>
      <c r="D59" s="2829">
        <v>0.25</v>
      </c>
      <c r="E59" s="2829">
        <v>0.25</v>
      </c>
      <c r="F59" s="2829">
        <v>0.25</v>
      </c>
      <c r="G59" s="2829">
        <v>0.15</v>
      </c>
    </row>
    <row r="60" spans="1:7" ht="19.5" customHeight="1">
      <c r="A60" s="2861" t="s">
        <v>2600</v>
      </c>
      <c r="B60" s="2829">
        <v>0.6</v>
      </c>
      <c r="C60" s="2829">
        <v>0.3</v>
      </c>
      <c r="D60" s="2829">
        <v>0.25</v>
      </c>
      <c r="E60" s="2829">
        <v>0.25</v>
      </c>
      <c r="F60" s="2829">
        <v>0.25</v>
      </c>
      <c r="G60" s="2829">
        <v>0.15</v>
      </c>
    </row>
    <row r="61" spans="1:7" ht="19.5" customHeight="1">
      <c r="A61" s="2861" t="s">
        <v>2601</v>
      </c>
      <c r="B61" s="2829">
        <v>0.6</v>
      </c>
      <c r="C61" s="2829">
        <v>0.3</v>
      </c>
      <c r="D61" s="2829">
        <v>0.25</v>
      </c>
      <c r="E61" s="2829">
        <v>0.25</v>
      </c>
      <c r="F61" s="2829">
        <v>0.25</v>
      </c>
      <c r="G61" s="2829">
        <v>0.15</v>
      </c>
    </row>
    <row r="62" spans="1:7" ht="19.5" customHeight="1">
      <c r="A62" s="2861" t="s">
        <v>2602</v>
      </c>
      <c r="B62" s="2829">
        <v>0.6</v>
      </c>
      <c r="C62" s="2829">
        <v>0.3</v>
      </c>
      <c r="D62" s="2829">
        <v>0.25</v>
      </c>
      <c r="E62" s="2829">
        <v>0.25</v>
      </c>
      <c r="F62" s="2829">
        <v>0.25</v>
      </c>
      <c r="G62" s="2829">
        <v>0.15</v>
      </c>
    </row>
    <row r="63" spans="1:7" ht="19.5" customHeight="1">
      <c r="A63" s="2861" t="s">
        <v>2603</v>
      </c>
      <c r="B63" s="2829">
        <v>0.6</v>
      </c>
      <c r="C63" s="2829">
        <v>0.3</v>
      </c>
      <c r="D63" s="2829">
        <v>0.25</v>
      </c>
      <c r="E63" s="2829">
        <v>0.25</v>
      </c>
      <c r="F63" s="2829">
        <v>0.25</v>
      </c>
      <c r="G63" s="2829">
        <v>0.15</v>
      </c>
    </row>
    <row r="64" spans="1:7" ht="19.5" customHeight="1">
      <c r="A64" s="2861" t="s">
        <v>2604</v>
      </c>
      <c r="B64" s="2829">
        <v>0.5</v>
      </c>
      <c r="C64" s="2829">
        <v>0.2</v>
      </c>
      <c r="D64" s="2829">
        <v>0.2</v>
      </c>
      <c r="E64" s="2829">
        <v>0.2</v>
      </c>
      <c r="F64" s="2829">
        <v>0.2</v>
      </c>
      <c r="G64" s="2829">
        <v>0.1</v>
      </c>
    </row>
    <row r="65" spans="1:7" ht="19.5" customHeight="1">
      <c r="A65" s="2861" t="s">
        <v>2605</v>
      </c>
      <c r="B65" s="2829">
        <v>0.5</v>
      </c>
      <c r="C65" s="2829">
        <v>0.2</v>
      </c>
      <c r="D65" s="2829">
        <v>0.2</v>
      </c>
      <c r="E65" s="2829">
        <v>0.2</v>
      </c>
      <c r="F65" s="2829">
        <v>0.2</v>
      </c>
      <c r="G65" s="2829">
        <v>0.1</v>
      </c>
    </row>
    <row r="66" spans="1:7" ht="19.5" customHeight="1">
      <c r="A66" s="2861" t="s">
        <v>2606</v>
      </c>
      <c r="B66" s="2829">
        <v>0.5</v>
      </c>
      <c r="C66" s="2829">
        <v>0.2</v>
      </c>
      <c r="D66" s="2829">
        <v>0.2</v>
      </c>
      <c r="E66" s="2829">
        <v>0.2</v>
      </c>
      <c r="F66" s="2829">
        <v>0.2</v>
      </c>
      <c r="G66" s="2829">
        <v>0.1</v>
      </c>
    </row>
    <row r="67" spans="1:7" ht="19.5" customHeight="1">
      <c r="A67" s="2861" t="s">
        <v>2607</v>
      </c>
      <c r="B67" s="2829">
        <v>0.5</v>
      </c>
      <c r="C67" s="2829">
        <v>0.2</v>
      </c>
      <c r="D67" s="2829">
        <v>0.2</v>
      </c>
      <c r="E67" s="2829">
        <v>0.2</v>
      </c>
      <c r="F67" s="2829">
        <v>0.2</v>
      </c>
      <c r="G67" s="2829">
        <v>0.1</v>
      </c>
    </row>
    <row r="68" spans="1:7" ht="19.5" customHeight="1">
      <c r="A68" s="2861" t="s">
        <v>2608</v>
      </c>
      <c r="B68" s="2829">
        <v>0.5</v>
      </c>
      <c r="C68" s="2829">
        <v>0.2</v>
      </c>
      <c r="D68" s="2829">
        <v>0.2</v>
      </c>
      <c r="E68" s="2829">
        <v>0.2</v>
      </c>
      <c r="F68" s="2829">
        <v>0.2</v>
      </c>
      <c r="G68" s="2829">
        <v>0.1</v>
      </c>
    </row>
    <row r="70" spans="1:7" ht="19.5" customHeight="1">
      <c r="A70" s="2843"/>
      <c r="B70" s="2862"/>
      <c r="C70" s="2862"/>
      <c r="D70" s="2862" t="s">
        <v>2645</v>
      </c>
      <c r="E70" s="2862"/>
      <c r="F70" s="2862"/>
    </row>
    <row r="71" spans="1:7" ht="19.5" customHeight="1">
      <c r="A71" s="2855" t="s">
        <v>2646</v>
      </c>
      <c r="B71" s="2855" t="s">
        <v>2647</v>
      </c>
      <c r="C71" s="2855" t="s">
        <v>2648</v>
      </c>
      <c r="D71" s="2855" t="s">
        <v>2649</v>
      </c>
      <c r="E71" s="2855" t="s">
        <v>2650</v>
      </c>
      <c r="F71" s="2855" t="s">
        <v>2651</v>
      </c>
    </row>
    <row r="72" spans="1:7" ht="13.5">
      <c r="A72" s="2855"/>
      <c r="B72" s="2855"/>
      <c r="C72" s="2855" t="s">
        <v>2652</v>
      </c>
      <c r="D72" s="2855"/>
      <c r="E72" s="2855" t="s">
        <v>2623</v>
      </c>
      <c r="F72" s="2855" t="s">
        <v>2623</v>
      </c>
    </row>
    <row r="73" spans="1:7" ht="13.5">
      <c r="A73" s="2855">
        <v>1</v>
      </c>
      <c r="B73" s="3465" t="s">
        <v>2653</v>
      </c>
      <c r="C73" s="2829" t="s">
        <v>2654</v>
      </c>
      <c r="D73" s="2829" t="s">
        <v>2655</v>
      </c>
      <c r="E73" s="2855">
        <v>0.2</v>
      </c>
      <c r="F73" s="2855">
        <v>25</v>
      </c>
    </row>
    <row r="74" spans="1:7" ht="24">
      <c r="A74" s="2855">
        <v>2</v>
      </c>
      <c r="B74" s="3467"/>
      <c r="C74" s="2829" t="s">
        <v>2656</v>
      </c>
      <c r="D74" s="2829" t="s">
        <v>2657</v>
      </c>
      <c r="E74" s="2855">
        <v>0.2</v>
      </c>
      <c r="F74" s="2855">
        <v>25</v>
      </c>
    </row>
    <row r="75" spans="1:7" ht="24">
      <c r="A75" s="2855">
        <v>3</v>
      </c>
      <c r="B75" s="3467"/>
      <c r="C75" s="2829" t="s">
        <v>2658</v>
      </c>
      <c r="D75" s="2829" t="s">
        <v>2659</v>
      </c>
      <c r="E75" s="2855">
        <v>0.2</v>
      </c>
      <c r="F75" s="2855">
        <v>25</v>
      </c>
    </row>
    <row r="76" spans="1:7" ht="13.5">
      <c r="A76" s="2855">
        <v>4</v>
      </c>
      <c r="B76" s="3467"/>
      <c r="C76" s="2829" t="s">
        <v>2660</v>
      </c>
      <c r="D76" s="2829" t="s">
        <v>2661</v>
      </c>
      <c r="E76" s="2855">
        <v>0.15</v>
      </c>
      <c r="F76" s="2855">
        <v>20</v>
      </c>
    </row>
    <row r="77" spans="1:7" ht="24">
      <c r="A77" s="2855">
        <v>5</v>
      </c>
      <c r="B77" s="3467"/>
      <c r="C77" s="2829" t="s">
        <v>2662</v>
      </c>
      <c r="D77" s="2829" t="s">
        <v>2663</v>
      </c>
      <c r="E77" s="2855">
        <v>0.15</v>
      </c>
      <c r="F77" s="2855">
        <v>20</v>
      </c>
    </row>
    <row r="78" spans="1:7" ht="24">
      <c r="A78" s="2855">
        <v>6</v>
      </c>
      <c r="B78" s="3467"/>
      <c r="C78" s="2829" t="s">
        <v>2664</v>
      </c>
      <c r="D78" s="2829" t="s">
        <v>2665</v>
      </c>
      <c r="E78" s="2855">
        <v>0.15</v>
      </c>
      <c r="F78" s="2855">
        <v>20</v>
      </c>
    </row>
    <row r="79" spans="1:7" ht="24">
      <c r="A79" s="2855">
        <v>7</v>
      </c>
      <c r="B79" s="3467"/>
      <c r="C79" s="2829" t="s">
        <v>2666</v>
      </c>
      <c r="D79" s="2829" t="s">
        <v>2667</v>
      </c>
      <c r="E79" s="2855">
        <v>0.15</v>
      </c>
      <c r="F79" s="2855">
        <v>20</v>
      </c>
    </row>
    <row r="80" spans="1:7" ht="24">
      <c r="A80" s="2855">
        <v>8</v>
      </c>
      <c r="B80" s="3467"/>
      <c r="C80" s="2829" t="s">
        <v>2668</v>
      </c>
      <c r="D80" s="2829" t="s">
        <v>2669</v>
      </c>
      <c r="E80" s="2855">
        <v>0.1</v>
      </c>
      <c r="F80" s="2855">
        <v>15</v>
      </c>
    </row>
    <row r="81" spans="1:6" ht="24">
      <c r="A81" s="2855">
        <v>9</v>
      </c>
      <c r="B81" s="3467"/>
      <c r="C81" s="2829" t="s">
        <v>2670</v>
      </c>
      <c r="D81" s="2829" t="s">
        <v>2671</v>
      </c>
      <c r="E81" s="2855">
        <v>0.1</v>
      </c>
      <c r="F81" s="2855">
        <v>15</v>
      </c>
    </row>
    <row r="82" spans="1:6" ht="24">
      <c r="A82" s="2855">
        <v>10</v>
      </c>
      <c r="B82" s="3467"/>
      <c r="C82" s="2829" t="s">
        <v>2672</v>
      </c>
      <c r="D82" s="2829" t="s">
        <v>2673</v>
      </c>
      <c r="E82" s="2855">
        <v>0.1</v>
      </c>
      <c r="F82" s="2855">
        <v>15</v>
      </c>
    </row>
    <row r="83" spans="1:6" ht="24">
      <c r="A83" s="2855">
        <v>11</v>
      </c>
      <c r="B83" s="3467"/>
      <c r="C83" s="2829" t="s">
        <v>2674</v>
      </c>
      <c r="D83" s="2829" t="s">
        <v>2675</v>
      </c>
      <c r="E83" s="2855">
        <v>0.1</v>
      </c>
      <c r="F83" s="2855">
        <v>15</v>
      </c>
    </row>
    <row r="84" spans="1:6" ht="24">
      <c r="A84" s="2855">
        <v>12</v>
      </c>
      <c r="B84" s="3467"/>
      <c r="C84" s="2829" t="s">
        <v>2676</v>
      </c>
      <c r="D84" s="2829" t="s">
        <v>2677</v>
      </c>
      <c r="E84" s="2855">
        <v>0.1</v>
      </c>
      <c r="F84" s="2855">
        <v>15</v>
      </c>
    </row>
    <row r="85" spans="1:6" ht="13.5">
      <c r="A85" s="2855">
        <v>13</v>
      </c>
      <c r="B85" s="3467"/>
      <c r="C85" s="2829" t="s">
        <v>2678</v>
      </c>
      <c r="D85" s="2829" t="s">
        <v>2679</v>
      </c>
      <c r="E85" s="2855">
        <v>0.1</v>
      </c>
      <c r="F85" s="2855">
        <v>15</v>
      </c>
    </row>
    <row r="86" spans="1:6" ht="13.5">
      <c r="A86" s="2855">
        <v>14</v>
      </c>
      <c r="B86" s="3467"/>
      <c r="C86" s="2829" t="s">
        <v>2680</v>
      </c>
      <c r="D86" s="2829" t="s">
        <v>2681</v>
      </c>
      <c r="E86" s="2855">
        <v>0.1</v>
      </c>
      <c r="F86" s="2855">
        <v>15</v>
      </c>
    </row>
    <row r="87" spans="1:6" ht="13.5">
      <c r="A87" s="2855">
        <v>15</v>
      </c>
      <c r="B87" s="3467"/>
      <c r="C87" s="2829" t="s">
        <v>2682</v>
      </c>
      <c r="D87" s="2829" t="s">
        <v>2683</v>
      </c>
      <c r="E87" s="2855">
        <v>0.1</v>
      </c>
      <c r="F87" s="2855">
        <v>15</v>
      </c>
    </row>
    <row r="88" spans="1:6" ht="24">
      <c r="A88" s="2855">
        <v>16</v>
      </c>
      <c r="B88" s="3467"/>
      <c r="C88" s="2829" t="s">
        <v>2684</v>
      </c>
      <c r="D88" s="2829" t="s">
        <v>2685</v>
      </c>
      <c r="E88" s="2855">
        <v>0.1</v>
      </c>
      <c r="F88" s="2855">
        <v>15</v>
      </c>
    </row>
    <row r="89" spans="1:6" ht="24">
      <c r="A89" s="2855">
        <v>17</v>
      </c>
      <c r="B89" s="3466"/>
      <c r="C89" s="2829" t="s">
        <v>2686</v>
      </c>
      <c r="D89" s="2829" t="s">
        <v>2687</v>
      </c>
      <c r="E89" s="2855">
        <v>0.1</v>
      </c>
      <c r="F89" s="2855">
        <v>15</v>
      </c>
    </row>
    <row r="90" spans="1:6" ht="13.5">
      <c r="A90" s="2855">
        <v>18</v>
      </c>
      <c r="B90" s="3465" t="s">
        <v>2688</v>
      </c>
      <c r="C90" s="2829" t="s">
        <v>2689</v>
      </c>
      <c r="D90" s="2829" t="s">
        <v>2690</v>
      </c>
      <c r="E90" s="2855">
        <v>0.2</v>
      </c>
      <c r="F90" s="2855">
        <v>25</v>
      </c>
    </row>
    <row r="91" spans="1:6" ht="24">
      <c r="A91" s="2855">
        <v>19</v>
      </c>
      <c r="B91" s="3467"/>
      <c r="C91" s="2829" t="s">
        <v>2691</v>
      </c>
      <c r="D91" s="2829" t="s">
        <v>2692</v>
      </c>
      <c r="E91" s="2855">
        <v>0.2</v>
      </c>
      <c r="F91" s="2855">
        <v>25</v>
      </c>
    </row>
    <row r="92" spans="1:6" ht="13.5">
      <c r="A92" s="2855">
        <v>20</v>
      </c>
      <c r="B92" s="3467"/>
      <c r="C92" s="2829" t="s">
        <v>2693</v>
      </c>
      <c r="D92" s="2829" t="s">
        <v>2694</v>
      </c>
      <c r="E92" s="2855">
        <v>0.15</v>
      </c>
      <c r="F92" s="2855">
        <v>20</v>
      </c>
    </row>
    <row r="93" spans="1:6" ht="13.5">
      <c r="A93" s="2855">
        <v>21</v>
      </c>
      <c r="B93" s="3467"/>
      <c r="C93" s="2829" t="s">
        <v>2695</v>
      </c>
      <c r="D93" s="2829" t="s">
        <v>2696</v>
      </c>
      <c r="E93" s="2855">
        <v>0.15</v>
      </c>
      <c r="F93" s="2855">
        <v>20</v>
      </c>
    </row>
    <row r="94" spans="1:6" ht="13.5">
      <c r="A94" s="2855">
        <v>22</v>
      </c>
      <c r="B94" s="3467"/>
      <c r="C94" s="2829" t="s">
        <v>2697</v>
      </c>
      <c r="D94" s="2829" t="s">
        <v>2698</v>
      </c>
      <c r="E94" s="2855">
        <v>0.15</v>
      </c>
      <c r="F94" s="2855">
        <v>20</v>
      </c>
    </row>
    <row r="95" spans="1:6" ht="36">
      <c r="A95" s="2855">
        <v>23</v>
      </c>
      <c r="B95" s="3467"/>
      <c r="C95" s="2829" t="s">
        <v>2699</v>
      </c>
      <c r="D95" s="2829" t="s">
        <v>2700</v>
      </c>
      <c r="E95" s="2855">
        <v>0.15</v>
      </c>
      <c r="F95" s="2855">
        <v>20</v>
      </c>
    </row>
    <row r="96" spans="1:6" ht="13.5">
      <c r="A96" s="2855">
        <v>24</v>
      </c>
      <c r="B96" s="3467"/>
      <c r="C96" s="2829" t="s">
        <v>2701</v>
      </c>
      <c r="D96" s="2829" t="s">
        <v>2702</v>
      </c>
      <c r="E96" s="2855">
        <v>0.1</v>
      </c>
      <c r="F96" s="2855">
        <v>15</v>
      </c>
    </row>
    <row r="97" spans="1:6" ht="13.5">
      <c r="A97" s="2855">
        <v>25</v>
      </c>
      <c r="B97" s="3467"/>
      <c r="C97" s="2829" t="s">
        <v>2703</v>
      </c>
      <c r="D97" s="2829" t="s">
        <v>2704</v>
      </c>
      <c r="E97" s="2855">
        <v>0.1</v>
      </c>
      <c r="F97" s="2855">
        <v>15</v>
      </c>
    </row>
    <row r="98" spans="1:6" ht="24">
      <c r="A98" s="2855">
        <v>26</v>
      </c>
      <c r="B98" s="3467"/>
      <c r="C98" s="2829" t="s">
        <v>2705</v>
      </c>
      <c r="D98" s="2829" t="s">
        <v>2706</v>
      </c>
      <c r="E98" s="2855">
        <v>0.1</v>
      </c>
      <c r="F98" s="2855">
        <v>15</v>
      </c>
    </row>
    <row r="99" spans="1:6" ht="24">
      <c r="A99" s="2855">
        <v>27</v>
      </c>
      <c r="B99" s="3467"/>
      <c r="C99" s="2829" t="s">
        <v>2707</v>
      </c>
      <c r="D99" s="2829" t="s">
        <v>2708</v>
      </c>
      <c r="E99" s="2855">
        <v>0.1</v>
      </c>
      <c r="F99" s="2855">
        <v>15</v>
      </c>
    </row>
    <row r="100" spans="1:6" ht="13.5">
      <c r="A100" s="2855">
        <v>28</v>
      </c>
      <c r="B100" s="3467"/>
      <c r="C100" s="2829" t="s">
        <v>2709</v>
      </c>
      <c r="D100" s="2829" t="s">
        <v>2710</v>
      </c>
      <c r="E100" s="2855">
        <v>0.1</v>
      </c>
      <c r="F100" s="2855">
        <v>15</v>
      </c>
    </row>
    <row r="101" spans="1:6" ht="13.5">
      <c r="A101" s="2855">
        <v>29</v>
      </c>
      <c r="B101" s="3467"/>
      <c r="C101" s="2829" t="s">
        <v>2711</v>
      </c>
      <c r="D101" s="2829" t="s">
        <v>2712</v>
      </c>
      <c r="E101" s="2855">
        <v>0.1</v>
      </c>
      <c r="F101" s="2855">
        <v>15</v>
      </c>
    </row>
    <row r="102" spans="1:6" ht="13.5">
      <c r="A102" s="2855">
        <v>30</v>
      </c>
      <c r="B102" s="3467"/>
      <c r="C102" s="2829" t="s">
        <v>2713</v>
      </c>
      <c r="D102" s="2829" t="s">
        <v>2714</v>
      </c>
      <c r="E102" s="2855">
        <v>0.1</v>
      </c>
      <c r="F102" s="2855">
        <v>15</v>
      </c>
    </row>
    <row r="103" spans="1:6" ht="24">
      <c r="A103" s="2855">
        <v>31</v>
      </c>
      <c r="B103" s="3467"/>
      <c r="C103" s="2829" t="s">
        <v>2715</v>
      </c>
      <c r="D103" s="2829" t="s">
        <v>2716</v>
      </c>
      <c r="E103" s="2855">
        <v>0.1</v>
      </c>
      <c r="F103" s="2855">
        <v>15</v>
      </c>
    </row>
    <row r="104" spans="1:6" ht="24">
      <c r="A104" s="2855">
        <v>32</v>
      </c>
      <c r="B104" s="3467"/>
      <c r="C104" s="2829" t="s">
        <v>2717</v>
      </c>
      <c r="D104" s="2829" t="s">
        <v>2718</v>
      </c>
      <c r="E104" s="2855">
        <v>0.1</v>
      </c>
      <c r="F104" s="2855">
        <v>15</v>
      </c>
    </row>
    <row r="105" spans="1:6" ht="24">
      <c r="A105" s="2855">
        <v>33</v>
      </c>
      <c r="B105" s="3467"/>
      <c r="C105" s="2829" t="s">
        <v>2719</v>
      </c>
      <c r="D105" s="2829" t="s">
        <v>2720</v>
      </c>
      <c r="E105" s="2855">
        <v>0.1</v>
      </c>
      <c r="F105" s="2855">
        <v>15</v>
      </c>
    </row>
    <row r="106" spans="1:6" ht="24">
      <c r="A106" s="2855">
        <v>34</v>
      </c>
      <c r="B106" s="3466"/>
      <c r="C106" s="2829" t="s">
        <v>2721</v>
      </c>
      <c r="D106" s="2829" t="s">
        <v>2722</v>
      </c>
      <c r="E106" s="2855">
        <v>0.1</v>
      </c>
      <c r="F106" s="2855">
        <v>15</v>
      </c>
    </row>
    <row r="107" spans="1:6" ht="24">
      <c r="A107" s="2855">
        <v>35</v>
      </c>
      <c r="B107" s="3465" t="s">
        <v>2723</v>
      </c>
      <c r="C107" s="2855" t="s">
        <v>2724</v>
      </c>
      <c r="D107" s="2829" t="s">
        <v>2725</v>
      </c>
      <c r="E107" s="2855">
        <v>0.15</v>
      </c>
      <c r="F107" s="2855">
        <v>20</v>
      </c>
    </row>
    <row r="108" spans="1:6" ht="13.5">
      <c r="A108" s="2855">
        <v>36</v>
      </c>
      <c r="B108" s="3467"/>
      <c r="C108" s="2855" t="s">
        <v>2726</v>
      </c>
      <c r="D108" s="2829" t="s">
        <v>2727</v>
      </c>
      <c r="E108" s="2855">
        <v>0.15</v>
      </c>
      <c r="F108" s="2855">
        <v>20</v>
      </c>
    </row>
    <row r="109" spans="1:6" ht="13.5">
      <c r="A109" s="2855">
        <v>37</v>
      </c>
      <c r="B109" s="3467"/>
      <c r="C109" s="2855" t="s">
        <v>2728</v>
      </c>
      <c r="D109" s="2829" t="s">
        <v>2729</v>
      </c>
      <c r="E109" s="2855">
        <v>0.15</v>
      </c>
      <c r="F109" s="2855">
        <v>20</v>
      </c>
    </row>
    <row r="110" spans="1:6" ht="13.5">
      <c r="A110" s="2855">
        <v>38</v>
      </c>
      <c r="B110" s="3467"/>
      <c r="C110" s="2855" t="s">
        <v>2730</v>
      </c>
      <c r="D110" s="2829" t="s">
        <v>2731</v>
      </c>
      <c r="E110" s="2855">
        <v>0.1</v>
      </c>
      <c r="F110" s="2855">
        <v>15</v>
      </c>
    </row>
    <row r="111" spans="1:6" ht="24">
      <c r="A111" s="2855">
        <v>39</v>
      </c>
      <c r="B111" s="3467"/>
      <c r="C111" s="2855" t="s">
        <v>2732</v>
      </c>
      <c r="D111" s="2829" t="s">
        <v>2733</v>
      </c>
      <c r="E111" s="2855">
        <v>0.1</v>
      </c>
      <c r="F111" s="2855">
        <v>15</v>
      </c>
    </row>
    <row r="112" spans="1:6" ht="24">
      <c r="A112" s="2855">
        <v>40</v>
      </c>
      <c r="B112" s="3466"/>
      <c r="C112" s="2855" t="s">
        <v>2734</v>
      </c>
      <c r="D112" s="2829" t="s">
        <v>2735</v>
      </c>
      <c r="E112" s="2855">
        <v>0.1</v>
      </c>
      <c r="F112" s="2855">
        <v>15</v>
      </c>
    </row>
    <row r="113" spans="1:6" ht="13.5">
      <c r="A113" s="2855">
        <v>41</v>
      </c>
      <c r="B113" s="3464" t="s">
        <v>2736</v>
      </c>
      <c r="C113" s="2855" t="s">
        <v>2737</v>
      </c>
      <c r="D113" s="2829" t="s">
        <v>2738</v>
      </c>
      <c r="E113" s="2855">
        <v>0.1</v>
      </c>
      <c r="F113" s="2855">
        <v>15</v>
      </c>
    </row>
    <row r="114" spans="1:6" ht="13.5">
      <c r="A114" s="2855">
        <v>42</v>
      </c>
      <c r="B114" s="3464"/>
      <c r="C114" s="2855" t="s">
        <v>2739</v>
      </c>
      <c r="D114" s="2829" t="s">
        <v>2740</v>
      </c>
      <c r="E114" s="2855">
        <v>0.1</v>
      </c>
      <c r="F114" s="2855">
        <v>15</v>
      </c>
    </row>
    <row r="115" spans="1:6" ht="24">
      <c r="A115" s="2855">
        <v>43</v>
      </c>
      <c r="B115" s="3464"/>
      <c r="C115" s="2855" t="s">
        <v>2741</v>
      </c>
      <c r="D115" s="2829" t="s">
        <v>2742</v>
      </c>
      <c r="E115" s="2855">
        <v>0.1</v>
      </c>
      <c r="F115" s="2855">
        <v>15</v>
      </c>
    </row>
    <row r="116" spans="1:6" ht="13.5">
      <c r="A116" s="2855">
        <v>44</v>
      </c>
      <c r="B116" s="3465" t="s">
        <v>2743</v>
      </c>
      <c r="C116" s="2855" t="s">
        <v>2744</v>
      </c>
      <c r="D116" s="2829" t="s">
        <v>2745</v>
      </c>
      <c r="E116" s="2855">
        <v>0.1</v>
      </c>
      <c r="F116" s="2855">
        <v>15</v>
      </c>
    </row>
    <row r="117" spans="1:6" ht="24">
      <c r="A117" s="2855">
        <v>45</v>
      </c>
      <c r="B117" s="3466"/>
      <c r="C117" s="2829" t="s">
        <v>2746</v>
      </c>
      <c r="D117" s="2829" t="s">
        <v>2747</v>
      </c>
      <c r="E117" s="2855">
        <v>0.1</v>
      </c>
      <c r="F117" s="2855">
        <v>15</v>
      </c>
    </row>
    <row r="118" spans="1:6" ht="24">
      <c r="A118" s="2855">
        <v>46</v>
      </c>
      <c r="B118" s="3465" t="s">
        <v>2748</v>
      </c>
      <c r="C118" s="2855" t="s">
        <v>2749</v>
      </c>
      <c r="D118" s="2829" t="s">
        <v>2750</v>
      </c>
      <c r="E118" s="2855">
        <v>0.1</v>
      </c>
      <c r="F118" s="2855">
        <v>15</v>
      </c>
    </row>
    <row r="119" spans="1:6" ht="24">
      <c r="A119" s="2855">
        <v>47</v>
      </c>
      <c r="B119" s="3466"/>
      <c r="C119" s="2855" t="s">
        <v>2751</v>
      </c>
      <c r="D119" s="2829" t="s">
        <v>2752</v>
      </c>
      <c r="E119" s="2855">
        <v>0.1</v>
      </c>
      <c r="F119" s="2855">
        <v>15</v>
      </c>
    </row>
    <row r="120" spans="1:6" ht="13.5">
      <c r="A120" s="2855">
        <v>48</v>
      </c>
      <c r="B120" s="3465" t="s">
        <v>2753</v>
      </c>
      <c r="C120" s="2855" t="s">
        <v>2754</v>
      </c>
      <c r="D120" s="2829" t="s">
        <v>2755</v>
      </c>
      <c r="E120" s="2855">
        <v>0.1</v>
      </c>
      <c r="F120" s="2855">
        <v>15</v>
      </c>
    </row>
    <row r="121" spans="1:6" ht="13.5">
      <c r="A121" s="2855">
        <v>49</v>
      </c>
      <c r="B121" s="3466"/>
      <c r="C121" s="2855" t="s">
        <v>2756</v>
      </c>
      <c r="D121" s="2829" t="s">
        <v>2757</v>
      </c>
      <c r="E121" s="2855">
        <v>0.1</v>
      </c>
      <c r="F121" s="2855">
        <v>15</v>
      </c>
    </row>
    <row r="122" spans="1:6" ht="24">
      <c r="A122" s="2855">
        <v>50</v>
      </c>
      <c r="B122" s="3464" t="s">
        <v>2758</v>
      </c>
      <c r="C122" s="2855" t="s">
        <v>2759</v>
      </c>
      <c r="D122" s="2829" t="s">
        <v>2760</v>
      </c>
      <c r="E122" s="2855">
        <v>0.1</v>
      </c>
      <c r="F122" s="2855">
        <v>15</v>
      </c>
    </row>
    <row r="123" spans="1:6" ht="24">
      <c r="A123" s="2855">
        <v>51</v>
      </c>
      <c r="B123" s="3464"/>
      <c r="C123" s="2855" t="s">
        <v>2761</v>
      </c>
      <c r="D123" s="2829" t="s">
        <v>2762</v>
      </c>
      <c r="E123" s="2855">
        <v>0.1</v>
      </c>
      <c r="F123" s="2855">
        <v>15</v>
      </c>
    </row>
    <row r="124" spans="1:6" ht="24">
      <c r="A124" s="2855">
        <v>52</v>
      </c>
      <c r="B124" s="3464" t="s">
        <v>2763</v>
      </c>
      <c r="C124" s="2855" t="s">
        <v>2764</v>
      </c>
      <c r="D124" s="2829" t="s">
        <v>2765</v>
      </c>
      <c r="E124" s="2855">
        <v>0.1</v>
      </c>
      <c r="F124" s="2855">
        <v>15</v>
      </c>
    </row>
    <row r="125" spans="1:6" ht="24">
      <c r="A125" s="2855">
        <v>53</v>
      </c>
      <c r="B125" s="3464"/>
      <c r="C125" s="2855" t="s">
        <v>2766</v>
      </c>
      <c r="D125" s="2829" t="s">
        <v>2767</v>
      </c>
      <c r="E125" s="2855">
        <v>0.1</v>
      </c>
      <c r="F125" s="2855">
        <v>15</v>
      </c>
    </row>
    <row r="126" spans="1:6" ht="13.5">
      <c r="A126" s="2855">
        <v>54</v>
      </c>
      <c r="B126" s="2855" t="s">
        <v>2768</v>
      </c>
      <c r="C126" s="2855" t="s">
        <v>2769</v>
      </c>
      <c r="D126" s="2829" t="s">
        <v>2770</v>
      </c>
      <c r="E126" s="2855">
        <v>0.1</v>
      </c>
      <c r="F126" s="2855">
        <v>15</v>
      </c>
    </row>
    <row r="127" spans="1:6" ht="13.5">
      <c r="A127" s="2855">
        <v>55</v>
      </c>
      <c r="B127" s="3464" t="s">
        <v>2771</v>
      </c>
      <c r="C127" s="2855" t="s">
        <v>2772</v>
      </c>
      <c r="D127" s="2829" t="s">
        <v>2773</v>
      </c>
      <c r="E127" s="2855">
        <v>0.1</v>
      </c>
      <c r="F127" s="2855">
        <v>15</v>
      </c>
    </row>
    <row r="128" spans="1:6" ht="13.5">
      <c r="A128" s="2855">
        <v>56</v>
      </c>
      <c r="B128" s="3464"/>
      <c r="C128" s="2855" t="s">
        <v>2774</v>
      </c>
      <c r="D128" s="2829" t="s">
        <v>2775</v>
      </c>
      <c r="E128" s="2855">
        <v>0.1</v>
      </c>
      <c r="F128" s="2855">
        <v>15</v>
      </c>
    </row>
    <row r="129" spans="1:6" ht="24">
      <c r="A129" s="2855">
        <v>57</v>
      </c>
      <c r="B129" s="3464"/>
      <c r="C129" s="2855" t="s">
        <v>2776</v>
      </c>
      <c r="D129" s="2829" t="s">
        <v>2777</v>
      </c>
      <c r="E129" s="2855">
        <v>0.1</v>
      </c>
      <c r="F129" s="2855">
        <v>15</v>
      </c>
    </row>
    <row r="130" spans="1:6" ht="24">
      <c r="A130" s="2855">
        <v>58</v>
      </c>
      <c r="B130" s="3464" t="s">
        <v>2778</v>
      </c>
      <c r="C130" s="2855" t="s">
        <v>2779</v>
      </c>
      <c r="D130" s="2829" t="s">
        <v>2780</v>
      </c>
      <c r="E130" s="2855">
        <v>0.1</v>
      </c>
      <c r="F130" s="2855">
        <v>15</v>
      </c>
    </row>
    <row r="131" spans="1:6" ht="13.5">
      <c r="A131" s="2855">
        <v>59</v>
      </c>
      <c r="B131" s="3464"/>
      <c r="C131" s="2855" t="s">
        <v>2781</v>
      </c>
      <c r="D131" s="2829" t="s">
        <v>2782</v>
      </c>
      <c r="E131" s="2855">
        <v>0.1</v>
      </c>
      <c r="F131" s="2855">
        <v>15</v>
      </c>
    </row>
    <row r="132" spans="1:6" ht="13.5">
      <c r="A132" s="2855">
        <v>60</v>
      </c>
      <c r="B132" s="3465" t="s">
        <v>2783</v>
      </c>
      <c r="C132" s="2855" t="s">
        <v>2784</v>
      </c>
      <c r="D132" s="2829" t="s">
        <v>2785</v>
      </c>
      <c r="E132" s="2855">
        <v>0.1</v>
      </c>
      <c r="F132" s="2855">
        <v>15</v>
      </c>
    </row>
    <row r="133" spans="1:6" ht="13.5">
      <c r="A133" s="2855">
        <v>61</v>
      </c>
      <c r="B133" s="3466"/>
      <c r="C133" s="2855" t="s">
        <v>2786</v>
      </c>
      <c r="D133" s="2829" t="s">
        <v>2787</v>
      </c>
      <c r="E133" s="2855">
        <v>0.1</v>
      </c>
      <c r="F133" s="2855">
        <v>15</v>
      </c>
    </row>
    <row r="134" spans="1:6" ht="24">
      <c r="A134" s="2855">
        <v>62</v>
      </c>
      <c r="B134" s="2855" t="s">
        <v>2788</v>
      </c>
      <c r="C134" s="2855" t="s">
        <v>2789</v>
      </c>
      <c r="D134" s="2829" t="s">
        <v>2790</v>
      </c>
      <c r="E134" s="2855">
        <v>0.1</v>
      </c>
      <c r="F134" s="2855">
        <v>15</v>
      </c>
    </row>
    <row r="135" spans="1:6" ht="13.5">
      <c r="A135" s="2855">
        <v>63</v>
      </c>
      <c r="B135" s="3464" t="s">
        <v>2791</v>
      </c>
      <c r="C135" s="2855" t="s">
        <v>2792</v>
      </c>
      <c r="D135" s="2829" t="s">
        <v>2793</v>
      </c>
      <c r="E135" s="2855">
        <v>0.1</v>
      </c>
      <c r="F135" s="2855">
        <v>15</v>
      </c>
    </row>
    <row r="136" spans="1:6" ht="13.5">
      <c r="A136" s="2855">
        <v>64</v>
      </c>
      <c r="B136" s="3464"/>
      <c r="C136" s="2855" t="s">
        <v>2794</v>
      </c>
      <c r="D136" s="2829" t="s">
        <v>2795</v>
      </c>
      <c r="E136" s="2855">
        <v>0.1</v>
      </c>
      <c r="F136" s="2855">
        <v>15</v>
      </c>
    </row>
    <row r="137" spans="1:6" ht="13.5">
      <c r="A137" s="2855">
        <v>65</v>
      </c>
      <c r="B137" s="2855" t="s">
        <v>2796</v>
      </c>
      <c r="C137" s="2855" t="s">
        <v>2797</v>
      </c>
      <c r="D137" s="2829" t="s">
        <v>2798</v>
      </c>
      <c r="E137" s="2855">
        <v>0.1</v>
      </c>
      <c r="F137" s="2855">
        <v>15</v>
      </c>
    </row>
    <row r="138" spans="1:6" ht="13.5">
      <c r="A138" s="2855"/>
      <c r="B138" s="2855"/>
      <c r="C138" s="2855"/>
      <c r="D138" s="2855"/>
      <c r="E138" s="2855" t="s">
        <v>2799</v>
      </c>
      <c r="F138" s="2855"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2800</v>
      </c>
      <c r="B1" s="2863"/>
      <c r="C1" s="2863"/>
      <c r="D1" s="2863"/>
      <c r="E1" s="2863"/>
      <c r="F1" s="2863"/>
      <c r="G1" s="2863"/>
      <c r="H1" s="2863"/>
      <c r="I1" s="2863"/>
      <c r="J1" s="2863"/>
      <c r="K1" s="2863"/>
      <c r="L1" s="2863"/>
      <c r="M1" s="2863"/>
      <c r="N1" s="706"/>
    </row>
    <row r="2" spans="1:20">
      <c r="A2" s="2864" t="s">
        <v>2801</v>
      </c>
      <c r="B2" s="2865" t="s">
        <v>2597</v>
      </c>
      <c r="C2" s="2865" t="s">
        <v>2598</v>
      </c>
      <c r="D2" s="2865" t="s">
        <v>2599</v>
      </c>
      <c r="E2" s="2865" t="s">
        <v>2600</v>
      </c>
      <c r="F2" s="2865" t="s">
        <v>2601</v>
      </c>
      <c r="G2" s="2865" t="s">
        <v>2602</v>
      </c>
      <c r="H2" s="2866" t="s">
        <v>2603</v>
      </c>
      <c r="I2" s="2866" t="s">
        <v>2604</v>
      </c>
      <c r="J2" s="2867" t="s">
        <v>2605</v>
      </c>
      <c r="K2" s="2867" t="s">
        <v>2606</v>
      </c>
      <c r="L2" s="2867" t="s">
        <v>2607</v>
      </c>
      <c r="M2" s="2868" t="s">
        <v>2608</v>
      </c>
      <c r="Q2" s="2878" t="s">
        <v>2806</v>
      </c>
      <c r="R2" s="2878" t="s">
        <v>2807</v>
      </c>
      <c r="S2" s="2878" t="s">
        <v>2808</v>
      </c>
      <c r="T2" s="2878" t="s">
        <v>2809</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2802</v>
      </c>
      <c r="B93" s="2863"/>
      <c r="C93" s="2863"/>
      <c r="D93" s="2863"/>
      <c r="E93" s="2863"/>
      <c r="F93" s="2863"/>
      <c r="G93" s="2863"/>
      <c r="H93" s="2863"/>
      <c r="I93" s="2863"/>
      <c r="J93" s="2863"/>
      <c r="K93" s="2863"/>
      <c r="L93" s="2863"/>
      <c r="M93" s="2863"/>
    </row>
    <row r="94" spans="1:20">
      <c r="A94" s="2864" t="s">
        <v>2801</v>
      </c>
      <c r="B94" s="2865" t="s">
        <v>2597</v>
      </c>
      <c r="C94" s="2865" t="s">
        <v>2598</v>
      </c>
      <c r="D94" s="2865" t="s">
        <v>2599</v>
      </c>
      <c r="E94" s="2865" t="s">
        <v>2600</v>
      </c>
      <c r="F94" s="2865" t="s">
        <v>2601</v>
      </c>
      <c r="G94" s="2865" t="s">
        <v>2602</v>
      </c>
      <c r="H94" s="2866" t="s">
        <v>2603</v>
      </c>
      <c r="I94" s="2866" t="s">
        <v>2604</v>
      </c>
      <c r="J94" s="2867" t="s">
        <v>2605</v>
      </c>
      <c r="K94" s="2867" t="s">
        <v>2606</v>
      </c>
      <c r="L94" s="2867" t="s">
        <v>2607</v>
      </c>
      <c r="M94" s="2868" t="s">
        <v>2608</v>
      </c>
      <c r="N94">
        <f>SUMPRODUCT((A95:A184=ROUNDDOWN(基准地价修正!G3,1))*(B94:M94=基准地价修正!G2)*(B95:M184))</f>
        <v>0</v>
      </c>
      <c r="Q94" s="2878" t="s">
        <v>2806</v>
      </c>
      <c r="R94" s="2878" t="s">
        <v>2807</v>
      </c>
      <c r="S94" s="2878" t="s">
        <v>2808</v>
      </c>
      <c r="T94" s="2878" t="s">
        <v>2809</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6"/>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6"/>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2803</v>
      </c>
      <c r="B185" s="2863"/>
      <c r="C185" s="2863"/>
      <c r="D185" s="2863"/>
      <c r="E185" s="2863"/>
      <c r="F185" s="2863"/>
      <c r="G185" s="2863"/>
      <c r="H185" s="2863"/>
      <c r="I185" s="2863"/>
      <c r="J185" s="2863"/>
      <c r="K185" s="2863"/>
      <c r="L185" s="2863"/>
      <c r="M185" s="2863"/>
    </row>
    <row r="186" spans="1:20">
      <c r="A186" s="2864" t="s">
        <v>2801</v>
      </c>
      <c r="B186" s="2865" t="s">
        <v>2597</v>
      </c>
      <c r="C186" s="2865" t="s">
        <v>2598</v>
      </c>
      <c r="D186" s="2865" t="s">
        <v>2599</v>
      </c>
      <c r="E186" s="2865" t="s">
        <v>2600</v>
      </c>
      <c r="F186" s="2865" t="s">
        <v>2601</v>
      </c>
      <c r="G186" s="2865" t="s">
        <v>2602</v>
      </c>
      <c r="H186" s="2866" t="s">
        <v>2603</v>
      </c>
      <c r="I186" s="2866" t="s">
        <v>2604</v>
      </c>
      <c r="J186" s="2867" t="s">
        <v>2605</v>
      </c>
      <c r="K186" s="2867" t="s">
        <v>2606</v>
      </c>
      <c r="L186" s="2867" t="s">
        <v>2607</v>
      </c>
      <c r="M186" s="2868" t="s">
        <v>2608</v>
      </c>
      <c r="Q186" s="2878" t="s">
        <v>2806</v>
      </c>
      <c r="R186" s="2878" t="s">
        <v>2807</v>
      </c>
      <c r="S186" s="2878" t="s">
        <v>2808</v>
      </c>
      <c r="T186" s="2878" t="s">
        <v>2809</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2804</v>
      </c>
      <c r="B277" s="2863"/>
      <c r="C277" s="2863"/>
      <c r="D277" s="2863"/>
      <c r="E277" s="2863"/>
      <c r="F277" s="2863"/>
      <c r="G277" s="2863"/>
      <c r="H277" s="2863"/>
      <c r="I277" s="2863"/>
      <c r="J277" s="2863"/>
      <c r="K277" s="2863"/>
      <c r="L277" s="2863"/>
      <c r="M277" s="2863"/>
    </row>
    <row r="278" spans="1:21">
      <c r="A278" s="2864" t="s">
        <v>2801</v>
      </c>
      <c r="B278" s="2865" t="s">
        <v>2597</v>
      </c>
      <c r="C278" s="2865" t="s">
        <v>2598</v>
      </c>
      <c r="D278" s="2865" t="s">
        <v>2599</v>
      </c>
      <c r="E278" s="2865" t="s">
        <v>2600</v>
      </c>
      <c r="F278" s="2865" t="s">
        <v>2601</v>
      </c>
      <c r="G278" s="2865" t="s">
        <v>2602</v>
      </c>
      <c r="H278" s="2866" t="s">
        <v>2603</v>
      </c>
      <c r="I278" s="2866" t="s">
        <v>2604</v>
      </c>
      <c r="J278" s="2867" t="s">
        <v>2605</v>
      </c>
      <c r="K278" s="2867" t="s">
        <v>2606</v>
      </c>
      <c r="L278" s="2867" t="s">
        <v>2607</v>
      </c>
      <c r="M278" s="2868" t="s">
        <v>2608</v>
      </c>
      <c r="Q278" s="2878" t="s">
        <v>2806</v>
      </c>
      <c r="R278" s="2878" t="s">
        <v>2807</v>
      </c>
      <c r="S278" s="2878" t="s">
        <v>2810</v>
      </c>
      <c r="T278" s="2878" t="s">
        <v>2811</v>
      </c>
      <c r="U278" s="2878" t="s">
        <v>2809</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2805</v>
      </c>
      <c r="B369" s="2876"/>
      <c r="C369" s="2876"/>
      <c r="D369" s="2876"/>
      <c r="E369" s="2876"/>
      <c r="F369" s="2876"/>
      <c r="G369" s="2876"/>
      <c r="H369" s="2876"/>
      <c r="I369" s="2876"/>
      <c r="J369" s="2876"/>
      <c r="K369" s="2876"/>
      <c r="L369" s="2876"/>
      <c r="M369" s="2876"/>
    </row>
    <row r="370" spans="1:20">
      <c r="A370" s="2864" t="s">
        <v>2801</v>
      </c>
      <c r="B370" s="2865" t="s">
        <v>2597</v>
      </c>
      <c r="C370" s="2865" t="s">
        <v>2598</v>
      </c>
      <c r="D370" s="2865" t="s">
        <v>2599</v>
      </c>
      <c r="E370" s="2865" t="s">
        <v>2600</v>
      </c>
      <c r="F370" s="2865" t="s">
        <v>2601</v>
      </c>
      <c r="G370" s="2865" t="s">
        <v>2602</v>
      </c>
      <c r="H370" s="2866" t="s">
        <v>2603</v>
      </c>
      <c r="I370" s="2866" t="s">
        <v>2604</v>
      </c>
      <c r="J370" s="2867" t="s">
        <v>2605</v>
      </c>
      <c r="K370" s="2867" t="s">
        <v>2606</v>
      </c>
      <c r="L370" s="2867" t="s">
        <v>2607</v>
      </c>
      <c r="M370" s="2868" t="s">
        <v>2608</v>
      </c>
      <c r="N370">
        <f>SUMPRODUCT((A371:A460=ROUNDDOWN(基准地价修正!G3,1))*(B370:M370=基准地价修正!G2)*(B371:M460))</f>
        <v>0</v>
      </c>
      <c r="Q370" s="2878" t="s">
        <v>2806</v>
      </c>
      <c r="R370" s="2878" t="s">
        <v>2807</v>
      </c>
      <c r="S370" s="2878" t="s">
        <v>2808</v>
      </c>
      <c r="T370" s="2878" t="s">
        <v>2809</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27769</v>
      </c>
      <c r="C2" s="2" t="s">
        <v>106</v>
      </c>
      <c r="D2" s="190"/>
      <c r="E2" s="190"/>
      <c r="F2" s="190"/>
      <c r="G2" s="190"/>
    </row>
    <row r="3" spans="1:7" s="191" customFormat="1" ht="18" customHeight="1" thickBot="1">
      <c r="A3" s="194" t="s">
        <v>58</v>
      </c>
      <c r="B3" s="195">
        <f ca="1">ROUND(B2*10000/'数据-汇总表'!E3,0)</f>
        <v>1221958</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20601</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601</v>
      </c>
      <c r="D7" s="211"/>
      <c r="E7" s="209"/>
      <c r="F7" s="212">
        <f>'数据-取费表'!B48+'数据-取费表'!B49</f>
        <v>3.005E-2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120</v>
      </c>
      <c r="F9" s="212"/>
      <c r="G9" s="217"/>
    </row>
    <row r="10" spans="1:7" s="205" customFormat="1" ht="13.5" customHeight="1">
      <c r="A10" s="732" t="s">
        <v>356</v>
      </c>
      <c r="B10" s="215" t="s">
        <v>67</v>
      </c>
      <c r="C10" s="216">
        <f>ROUND(D10*E10/10000,0)</f>
        <v>4</v>
      </c>
      <c r="D10" s="794">
        <f>'数据-汇总表'!E6</f>
        <v>227.25</v>
      </c>
      <c r="E10" s="216">
        <f>'数据-取费表'!B28</f>
        <v>160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5</v>
      </c>
      <c r="D19" s="203">
        <f>'数据-汇总表'!E3</f>
        <v>227.25</v>
      </c>
      <c r="E19" s="202">
        <f>'数据-取费表'!B31</f>
        <v>200</v>
      </c>
      <c r="F19" s="222"/>
      <c r="G19" s="1" t="s">
        <v>436</v>
      </c>
    </row>
    <row r="20" spans="1:7" s="205" customFormat="1" ht="13.5" customHeight="1">
      <c r="A20" s="730" t="s">
        <v>419</v>
      </c>
      <c r="B20" s="201" t="s">
        <v>77</v>
      </c>
      <c r="C20" s="223">
        <f>ROUND((C5+C19)*F20,0)</f>
        <v>412</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1417</v>
      </c>
      <c r="D22" s="226">
        <f ca="1">C26</f>
        <v>6.9999999999999999E-4</v>
      </c>
      <c r="E22" s="227" t="s">
        <v>99</v>
      </c>
      <c r="F22" s="228">
        <f ca="1">'数据-取费表'!B40</f>
        <v>3.3500000000000002E-2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1403</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0</v>
      </c>
      <c r="D24" s="229"/>
      <c r="E24" s="229"/>
      <c r="F24" s="230"/>
      <c r="G24" s="231" t="s">
        <v>82</v>
      </c>
    </row>
    <row r="25" spans="1:7" s="205" customFormat="1" ht="24">
      <c r="A25" s="733" t="s">
        <v>348</v>
      </c>
      <c r="B25" s="206" t="s">
        <v>420</v>
      </c>
      <c r="C25" s="1041">
        <f ca="1">ROUND(IF('数据-取费表'!B22&lt;=1,C20*F22*'数据-取费表'!B23/2,C20*(POWER((1+F22),'数据-取费表'!B23/2)-1)),0)</f>
        <v>14</v>
      </c>
      <c r="D25" s="229"/>
      <c r="E25" s="232"/>
      <c r="F25" s="230"/>
      <c r="G25" s="233" t="s">
        <v>83</v>
      </c>
    </row>
    <row r="26" spans="1:7" s="205" customFormat="1">
      <c r="A26" s="733" t="s">
        <v>350</v>
      </c>
      <c r="B26" s="206" t="s">
        <v>422</v>
      </c>
      <c r="C26" s="229">
        <f ca="1">ROUND(IF('数据-取费表'!B22&lt;=1,F21*F22*'数据-取费表'!B23/2,F21*(POWER((1+F22),'数据-取费表'!B23/2)-1)),4)</f>
        <v>6.9999999999999999E-4</v>
      </c>
      <c r="D26" s="229"/>
      <c r="E26" s="232"/>
      <c r="F26" s="230"/>
      <c r="G26" s="234"/>
    </row>
    <row r="27" spans="1:7" s="205" customFormat="1" ht="24.75">
      <c r="A27" s="730" t="s">
        <v>342</v>
      </c>
      <c r="B27" s="235" t="s">
        <v>85</v>
      </c>
      <c r="C27" s="236">
        <f>C28</f>
        <v>3153</v>
      </c>
      <c r="D27" s="226">
        <f>C29</f>
        <v>3.0000000000000001E-3</v>
      </c>
      <c r="E27" s="227" t="s">
        <v>99</v>
      </c>
      <c r="F27" s="237">
        <f>'数据-取费表'!Q16</f>
        <v>0.15</v>
      </c>
      <c r="G27" s="238" t="s">
        <v>431</v>
      </c>
    </row>
    <row r="28" spans="1:7" s="205" customFormat="1" ht="13.5" customHeight="1">
      <c r="A28" s="733" t="s">
        <v>349</v>
      </c>
      <c r="B28" s="239" t="s">
        <v>424</v>
      </c>
      <c r="C28" s="240">
        <f>ROUND((C5+C19+C20)*F27*'数据-取费表'!B21/'数据-取费表'!B20,0)</f>
        <v>3153</v>
      </c>
      <c r="D28" s="226"/>
      <c r="E28" s="227"/>
      <c r="F28" s="237"/>
      <c r="G28" s="238"/>
    </row>
    <row r="29" spans="1:7" s="205" customFormat="1" ht="13.5" customHeight="1">
      <c r="A29" s="733" t="s">
        <v>347</v>
      </c>
      <c r="B29" s="239" t="s">
        <v>425</v>
      </c>
      <c r="C29" s="229">
        <f>ROUND(C21*F27*'数据-取费表'!B21/'数据-取费表'!B20,4)</f>
        <v>3.0000000000000001E-3</v>
      </c>
      <c r="D29" s="226"/>
      <c r="E29" s="227"/>
      <c r="F29" s="237"/>
      <c r="G29" s="238"/>
    </row>
    <row r="30" spans="1:7" s="205" customFormat="1" ht="13.5" customHeight="1">
      <c r="A30" s="730"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27695</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76</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68</v>
      </c>
      <c r="D34" s="208"/>
      <c r="E34" s="211"/>
      <c r="F34" s="248">
        <f>IF('数据-取费表'!B24=0,1,'数据-取费表'!N16)</f>
        <v>1</v>
      </c>
      <c r="G34" s="210" t="s">
        <v>89</v>
      </c>
    </row>
    <row r="35" spans="1:7" ht="13.5" customHeight="1">
      <c r="A35" s="733" t="s">
        <v>351</v>
      </c>
      <c r="B35" s="206" t="s">
        <v>33</v>
      </c>
      <c r="C35" s="211">
        <f>ROUND(C34*F35,0)</f>
        <v>2</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5</v>
      </c>
      <c r="D37" s="208">
        <f>'数据-汇总表'!E3</f>
        <v>227.25</v>
      </c>
      <c r="E37" s="240">
        <f>'数据-取费表'!B35</f>
        <v>200</v>
      </c>
      <c r="F37" s="250"/>
      <c r="G37" s="252" t="s">
        <v>92</v>
      </c>
    </row>
    <row r="38" spans="1:7" ht="13.5" customHeight="1">
      <c r="A38" s="733" t="s">
        <v>354</v>
      </c>
      <c r="B38" s="206" t="s">
        <v>36</v>
      </c>
      <c r="C38" s="211">
        <f>ROUND(C34*F38,0)</f>
        <v>1</v>
      </c>
      <c r="D38" s="211"/>
      <c r="E38" s="211"/>
      <c r="F38" s="250">
        <f>'数据-取费表'!B36</f>
        <v>0.02</v>
      </c>
      <c r="G38" s="210" t="s">
        <v>90</v>
      </c>
    </row>
    <row r="39" spans="1:7" s="205" customFormat="1" ht="13.5" customHeight="1">
      <c r="A39" s="730" t="s">
        <v>338</v>
      </c>
      <c r="B39" s="201" t="s">
        <v>77</v>
      </c>
      <c r="C39" s="223">
        <f>ROUND(C33*F20,0)</f>
        <v>2</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3</v>
      </c>
      <c r="D41" s="226">
        <f ca="1">C44</f>
        <v>6.9999999999999999E-4</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3</v>
      </c>
      <c r="D42" s="229"/>
      <c r="E42" s="229"/>
      <c r="F42" s="230"/>
      <c r="G42" s="3339" t="s">
        <v>94</v>
      </c>
    </row>
    <row r="43" spans="1:7" ht="13.5" customHeight="1">
      <c r="A43" s="733" t="s">
        <v>347</v>
      </c>
      <c r="B43" s="206" t="s">
        <v>426</v>
      </c>
      <c r="C43" s="229">
        <f ca="1">ROUND(IF('数据-取费表'!B22&lt;=1,C39*F22*'数据-取费表'!B21/2,C39*(POWER((1+F22),'数据-取费表'!B21/2)-1)),0)</f>
        <v>0</v>
      </c>
      <c r="D43" s="229"/>
      <c r="E43" s="229"/>
      <c r="F43" s="230"/>
      <c r="G43" s="3340"/>
    </row>
    <row r="44" spans="1:7" ht="13.5" customHeight="1">
      <c r="A44" s="733" t="s">
        <v>348</v>
      </c>
      <c r="B44" s="206" t="s">
        <v>428</v>
      </c>
      <c r="C44" s="229">
        <f ca="1">ROUND(IF('数据-取费表'!B22&lt;=1,C40*F22*'数据-取费表'!B21/2,C40*(POWER((1+F22),'数据-取费表'!B21/2)-1)),4)</f>
        <v>6.9999999999999999E-4</v>
      </c>
      <c r="D44" s="229"/>
      <c r="E44" s="229"/>
      <c r="F44" s="230"/>
      <c r="G44" s="3341"/>
    </row>
    <row r="45" spans="1:7" s="205" customFormat="1" ht="13.5" customHeight="1">
      <c r="A45" s="730" t="s">
        <v>341</v>
      </c>
      <c r="B45" s="235" t="s">
        <v>85</v>
      </c>
      <c r="C45" s="236">
        <f>C46</f>
        <v>12</v>
      </c>
      <c r="D45" s="226">
        <f>C47</f>
        <v>3.0000000000000001E-3</v>
      </c>
      <c r="E45" s="227" t="s">
        <v>102</v>
      </c>
      <c r="F45" s="237"/>
      <c r="G45" s="238" t="s">
        <v>434</v>
      </c>
    </row>
    <row r="46" spans="1:7" s="205" customFormat="1" ht="13.5" customHeight="1">
      <c r="A46" s="733" t="s">
        <v>349</v>
      </c>
      <c r="B46" s="239" t="s">
        <v>427</v>
      </c>
      <c r="C46" s="240">
        <f>ROUND((C33+C39)*F27,0)</f>
        <v>12</v>
      </c>
      <c r="D46" s="254"/>
      <c r="E46" s="227"/>
      <c r="F46" s="237"/>
      <c r="G46" s="238"/>
    </row>
    <row r="47" spans="1:7" s="205" customFormat="1" ht="13.5" customHeight="1">
      <c r="A47" s="733" t="s">
        <v>347</v>
      </c>
      <c r="B47" s="239" t="s">
        <v>429</v>
      </c>
      <c r="C47" s="229">
        <f>ROUND(C40*F27,4)</f>
        <v>3.0000000000000001E-3</v>
      </c>
      <c r="D47" s="254"/>
      <c r="E47" s="227"/>
      <c r="F47" s="237"/>
      <c r="G47" s="238"/>
    </row>
    <row r="48" spans="1:7" s="205" customFormat="1" ht="13.5" customHeight="1">
      <c r="A48" s="730" t="s">
        <v>342</v>
      </c>
      <c r="B48" s="201" t="s">
        <v>95</v>
      </c>
      <c r="C48" s="253">
        <f>F30</f>
        <v>5.5000000000000007E-2</v>
      </c>
      <c r="D48" s="227" t="s">
        <v>103</v>
      </c>
      <c r="E48" s="223"/>
      <c r="F48" s="228"/>
      <c r="G48" s="225" t="s">
        <v>96</v>
      </c>
    </row>
    <row r="49" spans="1:7" ht="16.5" customHeight="1">
      <c r="A49" s="730" t="s">
        <v>343</v>
      </c>
      <c r="B49" s="201" t="s">
        <v>104</v>
      </c>
      <c r="C49" s="223">
        <f ca="1">ROUND((C33+C39+C41+C45)/(1-C40-D41-D45-C48/(1+'数据-取费表'!B42)),0)</f>
        <v>101</v>
      </c>
      <c r="D49" s="223"/>
      <c r="E49" s="223"/>
      <c r="F49" s="255"/>
      <c r="G49" s="225" t="s">
        <v>435</v>
      </c>
    </row>
    <row r="50" spans="1:7" s="249" customFormat="1" ht="24">
      <c r="A50" s="730" t="s">
        <v>344</v>
      </c>
      <c r="B50" s="201" t="s">
        <v>97</v>
      </c>
      <c r="C50" s="223"/>
      <c r="D50" s="223"/>
      <c r="E50" s="223"/>
      <c r="F50" s="255">
        <f>IF('数据-取费表'!B24=0,'数据-取费表'!N16,1)</f>
        <v>0.73</v>
      </c>
      <c r="G50" s="238" t="s">
        <v>98</v>
      </c>
    </row>
    <row r="51" spans="1:7" ht="16.5" customHeight="1">
      <c r="A51" s="730" t="s">
        <v>345</v>
      </c>
      <c r="B51" s="201" t="s">
        <v>105</v>
      </c>
      <c r="C51" s="223">
        <f ca="1">ROUND(C49*F50,0)</f>
        <v>74</v>
      </c>
      <c r="D51" s="223"/>
      <c r="E51" s="223"/>
      <c r="F51" s="255"/>
      <c r="G51" s="225" t="s">
        <v>37</v>
      </c>
    </row>
    <row r="52" spans="1:7" s="199" customFormat="1" ht="16.5" thickBot="1">
      <c r="A52" s="256" t="s">
        <v>38</v>
      </c>
      <c r="B52" s="257"/>
      <c r="C52" s="258">
        <f ca="1">C31+C51</f>
        <v>27769</v>
      </c>
      <c r="D52" s="257"/>
      <c r="E52" s="257"/>
      <c r="F52" s="257"/>
      <c r="G52" s="259"/>
    </row>
    <row r="55" spans="1:7" ht="15">
      <c r="B55" s="261" t="s">
        <v>39</v>
      </c>
      <c r="C55" s="262"/>
    </row>
    <row r="56" spans="1:7">
      <c r="B56" s="264" t="s">
        <v>40</v>
      </c>
      <c r="C56" s="265">
        <f ca="1">ROUND(C51/C52,3)</f>
        <v>3.0000000000000001E-3</v>
      </c>
    </row>
    <row r="57" spans="1:7">
      <c r="B57" s="264" t="s">
        <v>41</v>
      </c>
      <c r="C57" s="266">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478" t="s">
        <v>2841</v>
      </c>
      <c r="B1" s="3478"/>
      <c r="C1" s="3478"/>
      <c r="D1" s="3478"/>
      <c r="E1" s="3478"/>
      <c r="F1" s="3478"/>
      <c r="G1" s="3479"/>
      <c r="I1" s="2936" t="s">
        <v>2842</v>
      </c>
      <c r="J1" s="2937" t="s">
        <v>2843</v>
      </c>
      <c r="K1" s="2937" t="s">
        <v>2844</v>
      </c>
      <c r="L1" s="2937" t="s">
        <v>2845</v>
      </c>
      <c r="M1" s="2937" t="s">
        <v>2846</v>
      </c>
      <c r="N1" s="2937" t="s">
        <v>2847</v>
      </c>
      <c r="O1" s="2937" t="s">
        <v>2848</v>
      </c>
      <c r="P1" s="2937" t="s">
        <v>2849</v>
      </c>
      <c r="Q1" s="2937" t="s">
        <v>2850</v>
      </c>
      <c r="R1" s="2937" t="s">
        <v>2851</v>
      </c>
      <c r="S1" s="2937" t="s">
        <v>2852</v>
      </c>
      <c r="T1" s="2938" t="s">
        <v>2853</v>
      </c>
    </row>
    <row r="2" spans="1:20" ht="12" thickBot="1">
      <c r="A2" s="2939" t="s">
        <v>2854</v>
      </c>
      <c r="B2" s="2939"/>
      <c r="C2" s="2939"/>
      <c r="D2" s="2939"/>
      <c r="E2" s="2939"/>
      <c r="F2" s="2939"/>
      <c r="G2" s="2940" t="s">
        <v>2855</v>
      </c>
      <c r="I2" s="2941" t="s">
        <v>2856</v>
      </c>
      <c r="J2" s="2941" t="s">
        <v>2857</v>
      </c>
      <c r="K2" s="2941" t="s">
        <v>2858</v>
      </c>
      <c r="L2" s="2941" t="s">
        <v>2859</v>
      </c>
      <c r="M2" s="2941" t="s">
        <v>2860</v>
      </c>
      <c r="N2" s="2941" t="s">
        <v>2861</v>
      </c>
      <c r="O2" s="2941" t="s">
        <v>2862</v>
      </c>
      <c r="P2" s="2941" t="s">
        <v>2863</v>
      </c>
      <c r="Q2" s="2941" t="s">
        <v>2864</v>
      </c>
      <c r="R2" s="2941" t="s">
        <v>2865</v>
      </c>
      <c r="S2" s="2941" t="s">
        <v>2866</v>
      </c>
      <c r="T2" s="2941" t="s">
        <v>2867</v>
      </c>
    </row>
    <row r="3" spans="1:20" s="2947" customFormat="1">
      <c r="A3" s="3476" t="s">
        <v>2868</v>
      </c>
      <c r="B3" s="2942"/>
      <c r="C3" s="2943" t="s">
        <v>2813</v>
      </c>
      <c r="D3" s="2943" t="s">
        <v>2869</v>
      </c>
      <c r="E3" s="2943" t="s">
        <v>2815</v>
      </c>
      <c r="F3" s="2943" t="s">
        <v>2870</v>
      </c>
      <c r="G3" s="2943" t="s">
        <v>2633</v>
      </c>
      <c r="H3" s="2944"/>
      <c r="I3" s="2945" t="s">
        <v>2871</v>
      </c>
      <c r="J3" s="2946" t="s">
        <v>128</v>
      </c>
      <c r="K3" s="2946" t="s">
        <v>129</v>
      </c>
      <c r="L3" s="2945" t="s">
        <v>130</v>
      </c>
      <c r="M3" s="2945" t="s">
        <v>131</v>
      </c>
      <c r="N3" s="2945" t="s">
        <v>132</v>
      </c>
      <c r="O3" s="2945" t="s">
        <v>133</v>
      </c>
      <c r="P3" s="2945" t="s">
        <v>134</v>
      </c>
      <c r="Q3" s="2945" t="s">
        <v>135</v>
      </c>
      <c r="R3" s="2945" t="s">
        <v>136</v>
      </c>
      <c r="S3" s="2945" t="s">
        <v>2872</v>
      </c>
      <c r="T3" s="2945" t="s">
        <v>2873</v>
      </c>
    </row>
    <row r="4" spans="1:20" s="2947" customFormat="1" ht="12" thickBot="1">
      <c r="A4" s="3477"/>
      <c r="B4" s="2948" t="s">
        <v>2874</v>
      </c>
      <c r="C4" s="2948" t="s">
        <v>2875</v>
      </c>
      <c r="D4" s="2948" t="s">
        <v>2875</v>
      </c>
      <c r="E4" s="2948" t="s">
        <v>2875</v>
      </c>
      <c r="F4" s="2949" t="s">
        <v>2875</v>
      </c>
      <c r="G4" s="2949" t="s">
        <v>2875</v>
      </c>
      <c r="H4" s="2944"/>
      <c r="I4" s="2946" t="s">
        <v>137</v>
      </c>
      <c r="J4" s="2946" t="s">
        <v>111</v>
      </c>
      <c r="K4" s="2946" t="s">
        <v>138</v>
      </c>
      <c r="L4" s="2945" t="s">
        <v>139</v>
      </c>
      <c r="M4" s="2945" t="s">
        <v>140</v>
      </c>
      <c r="N4" s="2945" t="s">
        <v>141</v>
      </c>
      <c r="O4" s="2945" t="s">
        <v>142</v>
      </c>
      <c r="P4" s="2945" t="s">
        <v>143</v>
      </c>
      <c r="Q4" s="2945" t="s">
        <v>2876</v>
      </c>
      <c r="R4" s="2945" t="s">
        <v>2877</v>
      </c>
      <c r="S4" s="2945" t="s">
        <v>2878</v>
      </c>
      <c r="T4" s="2945" t="s">
        <v>2879</v>
      </c>
    </row>
    <row r="5" spans="1:20">
      <c r="A5" s="2950" t="s">
        <v>2842</v>
      </c>
      <c r="B5" s="2941" t="s">
        <v>2856</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2880</v>
      </c>
      <c r="R5" s="2945" t="s">
        <v>2881</v>
      </c>
      <c r="S5" s="2945" t="s">
        <v>153</v>
      </c>
      <c r="T5" s="2945" t="s">
        <v>2882</v>
      </c>
    </row>
    <row r="6" spans="1:20" ht="12" thickBot="1">
      <c r="A6" s="2945" t="s">
        <v>144</v>
      </c>
      <c r="B6" s="2945" t="s">
        <v>2871</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2883</v>
      </c>
      <c r="Q6" s="2945" t="s">
        <v>2884</v>
      </c>
      <c r="R6" s="2945" t="s">
        <v>161</v>
      </c>
      <c r="S6" s="2945" t="s">
        <v>2885</v>
      </c>
      <c r="T6" s="2945" t="s">
        <v>2886</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2887</v>
      </c>
      <c r="Q7" s="2945" t="s">
        <v>2888</v>
      </c>
      <c r="R7" s="2945" t="s">
        <v>2889</v>
      </c>
      <c r="S7" s="2945" t="s">
        <v>2890</v>
      </c>
      <c r="T7" s="2945" t="s">
        <v>2891</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2892</v>
      </c>
      <c r="Q8" s="2945" t="s">
        <v>174</v>
      </c>
      <c r="R8" s="2945" t="s">
        <v>2893</v>
      </c>
      <c r="S8" s="2945" t="s">
        <v>2894</v>
      </c>
      <c r="T8" s="2952" t="s">
        <v>2895</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2896</v>
      </c>
      <c r="Q9" s="2945" t="s">
        <v>182</v>
      </c>
      <c r="R9" s="2945" t="s">
        <v>183</v>
      </c>
      <c r="S9" s="2945" t="s">
        <v>200</v>
      </c>
    </row>
    <row r="10" spans="1:20">
      <c r="A10" s="2950" t="s">
        <v>184</v>
      </c>
      <c r="B10" s="2941" t="s">
        <v>2857</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2897</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2898</v>
      </c>
      <c r="P11" s="2945" t="s">
        <v>191</v>
      </c>
      <c r="Q11" s="2945" t="s">
        <v>199</v>
      </c>
      <c r="R11" s="2945" t="s">
        <v>2899</v>
      </c>
      <c r="S11" s="2945" t="s">
        <v>2900</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2901</v>
      </c>
      <c r="P12" s="2945" t="s">
        <v>2902</v>
      </c>
      <c r="Q12" s="2945" t="s">
        <v>2903</v>
      </c>
      <c r="R12" s="2945" t="s">
        <v>2904</v>
      </c>
      <c r="S12" s="2945" t="s">
        <v>2905</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2906</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2907</v>
      </c>
      <c r="K14" s="2946" t="s">
        <v>215</v>
      </c>
      <c r="L14" s="2945" t="s">
        <v>216</v>
      </c>
      <c r="M14" s="2945" t="s">
        <v>217</v>
      </c>
      <c r="N14" s="2945" t="s">
        <v>218</v>
      </c>
      <c r="O14" s="2945" t="s">
        <v>240</v>
      </c>
      <c r="P14" s="2945" t="s">
        <v>213</v>
      </c>
      <c r="Q14" s="2945" t="s">
        <v>2908</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2909</v>
      </c>
      <c r="P15" s="2945" t="s">
        <v>2910</v>
      </c>
      <c r="Q15" s="2945" t="s">
        <v>242</v>
      </c>
      <c r="R15" s="2945" t="s">
        <v>2911</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2912</v>
      </c>
      <c r="P16" s="2945" t="s">
        <v>227</v>
      </c>
      <c r="Q16" s="2945" t="s">
        <v>250</v>
      </c>
      <c r="R16" s="2945" t="s">
        <v>207</v>
      </c>
      <c r="S16" s="2945" t="s">
        <v>2913</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2914</v>
      </c>
      <c r="P17" s="2945" t="s">
        <v>2915</v>
      </c>
      <c r="Q17" s="2945" t="s">
        <v>256</v>
      </c>
      <c r="R17" s="2945" t="s">
        <v>2916</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2917</v>
      </c>
      <c r="P18" s="2945" t="s">
        <v>241</v>
      </c>
      <c r="Q18" s="2945" t="s">
        <v>2918</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2919</v>
      </c>
      <c r="P19" s="2945" t="s">
        <v>249</v>
      </c>
      <c r="Q19" s="2945" t="s">
        <v>2920</v>
      </c>
      <c r="R19" s="2945" t="s">
        <v>265</v>
      </c>
      <c r="S19" s="2945" t="s">
        <v>2921</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2922</v>
      </c>
      <c r="P20" s="2945" t="s">
        <v>2923</v>
      </c>
      <c r="Q20" s="2945" t="s">
        <v>290</v>
      </c>
      <c r="R20" s="2945" t="s">
        <v>2924</v>
      </c>
      <c r="S20" s="2945" t="s">
        <v>277</v>
      </c>
    </row>
    <row r="21" spans="1:19" ht="14.25" customHeight="1" thickBot="1">
      <c r="A21" s="2945" t="s">
        <v>184</v>
      </c>
      <c r="B21" s="2946" t="s">
        <v>208</v>
      </c>
      <c r="C21" s="2945">
        <v>32370</v>
      </c>
      <c r="D21" s="2945">
        <v>26730</v>
      </c>
      <c r="E21" s="2945">
        <v>26640</v>
      </c>
      <c r="F21" s="2945"/>
      <c r="G21" s="2945">
        <v>19440</v>
      </c>
      <c r="J21" s="2952" t="s">
        <v>2925</v>
      </c>
      <c r="K21" s="2946" t="s">
        <v>267</v>
      </c>
      <c r="L21" s="2945" t="s">
        <v>268</v>
      </c>
      <c r="M21" s="2945" t="s">
        <v>269</v>
      </c>
      <c r="N21" s="2945" t="s">
        <v>270</v>
      </c>
      <c r="O21" s="2945" t="s">
        <v>264</v>
      </c>
      <c r="P21" s="2945" t="s">
        <v>283</v>
      </c>
      <c r="Q21" s="2945" t="s">
        <v>293</v>
      </c>
      <c r="R21" s="2945" t="s">
        <v>2926</v>
      </c>
      <c r="S21" s="2952" t="s">
        <v>2927</v>
      </c>
    </row>
    <row r="22" spans="1:19" ht="14.25" customHeight="1">
      <c r="A22" s="2945" t="s">
        <v>184</v>
      </c>
      <c r="B22" s="2946" t="s">
        <v>2907</v>
      </c>
      <c r="C22" s="2945">
        <v>29830</v>
      </c>
      <c r="D22" s="2945">
        <v>27600</v>
      </c>
      <c r="E22" s="2945">
        <v>28150</v>
      </c>
      <c r="F22" s="2945"/>
      <c r="G22" s="2945">
        <v>20080</v>
      </c>
      <c r="K22" s="2946" t="s">
        <v>2928</v>
      </c>
      <c r="L22" s="2945" t="s">
        <v>272</v>
      </c>
      <c r="M22" s="2945" t="s">
        <v>273</v>
      </c>
      <c r="N22" s="2945" t="s">
        <v>274</v>
      </c>
      <c r="O22" s="2945" t="s">
        <v>2929</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2930</v>
      </c>
      <c r="L23" s="2945" t="s">
        <v>278</v>
      </c>
      <c r="M23" s="2945" t="s">
        <v>279</v>
      </c>
      <c r="N23" s="2945" t="s">
        <v>2931</v>
      </c>
      <c r="O23" s="2945" t="s">
        <v>2932</v>
      </c>
      <c r="P23" s="2945" t="s">
        <v>289</v>
      </c>
      <c r="Q23" s="2945" t="s">
        <v>298</v>
      </c>
      <c r="R23" s="2945" t="s">
        <v>2933</v>
      </c>
    </row>
    <row r="24" spans="1:19" ht="14.25" customHeight="1">
      <c r="A24" s="2945" t="s">
        <v>184</v>
      </c>
      <c r="B24" s="2946" t="s">
        <v>230</v>
      </c>
      <c r="C24" s="2945">
        <v>27930</v>
      </c>
      <c r="D24" s="2945">
        <v>32260</v>
      </c>
      <c r="E24" s="2945">
        <v>32120</v>
      </c>
      <c r="F24" s="2945"/>
      <c r="G24" s="2945">
        <v>23470</v>
      </c>
      <c r="K24" s="2946" t="s">
        <v>2934</v>
      </c>
      <c r="L24" s="2945" t="s">
        <v>281</v>
      </c>
      <c r="M24" s="2945" t="s">
        <v>282</v>
      </c>
      <c r="N24" s="2945" t="s">
        <v>2935</v>
      </c>
      <c r="O24" s="2945" t="s">
        <v>285</v>
      </c>
      <c r="P24" s="2945" t="s">
        <v>2936</v>
      </c>
      <c r="Q24" s="2954" t="s">
        <v>2937</v>
      </c>
      <c r="R24" s="2945" t="s">
        <v>2938</v>
      </c>
    </row>
    <row r="25" spans="1:19" ht="14.25" customHeight="1">
      <c r="A25" s="2945" t="s">
        <v>184</v>
      </c>
      <c r="B25" s="2946" t="s">
        <v>235</v>
      </c>
      <c r="C25" s="2945">
        <v>32230</v>
      </c>
      <c r="D25" s="2945">
        <v>29640</v>
      </c>
      <c r="E25" s="2945">
        <v>29510</v>
      </c>
      <c r="F25" s="2945"/>
      <c r="G25" s="2945">
        <v>21560</v>
      </c>
      <c r="K25" s="2946" t="s">
        <v>2939</v>
      </c>
      <c r="L25" s="2945" t="s">
        <v>2940</v>
      </c>
      <c r="M25" s="2945" t="s">
        <v>284</v>
      </c>
      <c r="N25" s="2945" t="s">
        <v>292</v>
      </c>
      <c r="O25" s="2945" t="s">
        <v>288</v>
      </c>
      <c r="P25" s="2945" t="s">
        <v>275</v>
      </c>
      <c r="Q25" s="2954" t="s">
        <v>271</v>
      </c>
      <c r="R25" s="2945" t="s">
        <v>2941</v>
      </c>
    </row>
    <row r="26" spans="1:19" ht="14.25" customHeight="1" thickBot="1">
      <c r="A26" s="2945" t="s">
        <v>184</v>
      </c>
      <c r="B26" s="2946" t="s">
        <v>244</v>
      </c>
      <c r="C26" s="2945">
        <v>31690</v>
      </c>
      <c r="D26" s="2945">
        <v>27650</v>
      </c>
      <c r="E26" s="2945">
        <v>28200</v>
      </c>
      <c r="F26" s="2945"/>
      <c r="G26" s="2945">
        <v>20110</v>
      </c>
      <c r="K26" s="2951" t="s">
        <v>2942</v>
      </c>
      <c r="L26" s="2945" t="s">
        <v>2943</v>
      </c>
      <c r="M26" s="2945" t="s">
        <v>287</v>
      </c>
      <c r="N26" s="2945" t="s">
        <v>294</v>
      </c>
      <c r="O26" s="2945" t="s">
        <v>2944</v>
      </c>
      <c r="P26" s="2945" t="s">
        <v>2945</v>
      </c>
      <c r="Q26" s="2954" t="s">
        <v>276</v>
      </c>
      <c r="R26" s="2945" t="s">
        <v>2946</v>
      </c>
    </row>
    <row r="27" spans="1:19" ht="14.25" customHeight="1">
      <c r="A27" s="2945" t="s">
        <v>184</v>
      </c>
      <c r="B27" s="2946" t="s">
        <v>251</v>
      </c>
      <c r="C27" s="2945">
        <v>29610</v>
      </c>
      <c r="D27" s="2945">
        <v>27770</v>
      </c>
      <c r="E27" s="2945">
        <v>28300</v>
      </c>
      <c r="F27" s="2945"/>
      <c r="G27" s="2945">
        <v>20210</v>
      </c>
      <c r="L27" s="2945" t="s">
        <v>2947</v>
      </c>
      <c r="M27" s="2945" t="s">
        <v>291</v>
      </c>
      <c r="N27" s="2945" t="s">
        <v>297</v>
      </c>
      <c r="O27" s="2945" t="s">
        <v>2948</v>
      </c>
      <c r="P27" s="2945" t="s">
        <v>2949</v>
      </c>
      <c r="Q27" s="2945" t="s">
        <v>2950</v>
      </c>
      <c r="R27" s="2945" t="s">
        <v>2951</v>
      </c>
    </row>
    <row r="28" spans="1:19" ht="14.25" customHeight="1">
      <c r="A28" s="2945" t="s">
        <v>184</v>
      </c>
      <c r="B28" s="2946" t="s">
        <v>259</v>
      </c>
      <c r="C28" s="2945"/>
      <c r="D28" s="2945">
        <v>31520</v>
      </c>
      <c r="E28" s="2945">
        <v>31410</v>
      </c>
      <c r="F28" s="2945"/>
      <c r="G28" s="2945">
        <v>22940</v>
      </c>
      <c r="L28" s="2945" t="s">
        <v>2952</v>
      </c>
      <c r="M28" s="2945" t="s">
        <v>2953</v>
      </c>
      <c r="N28" s="2945" t="s">
        <v>2954</v>
      </c>
      <c r="O28" s="2945" t="s">
        <v>2955</v>
      </c>
      <c r="P28" s="2945" t="s">
        <v>2956</v>
      </c>
      <c r="Q28" s="2945" t="s">
        <v>2957</v>
      </c>
      <c r="R28" s="2945" t="s">
        <v>2958</v>
      </c>
    </row>
    <row r="29" spans="1:19" ht="14.25" customHeight="1" thickBot="1">
      <c r="A29" s="2953" t="s">
        <v>184</v>
      </c>
      <c r="B29" s="2955" t="s">
        <v>2925</v>
      </c>
      <c r="C29" s="2956"/>
      <c r="D29" s="2956">
        <v>29460</v>
      </c>
      <c r="E29" s="2956">
        <v>28640</v>
      </c>
      <c r="F29" s="2956"/>
      <c r="G29" s="2956">
        <v>21430</v>
      </c>
      <c r="L29" s="2945" t="s">
        <v>2959</v>
      </c>
      <c r="M29" s="2945" t="s">
        <v>2960</v>
      </c>
      <c r="N29" s="2945" t="s">
        <v>2961</v>
      </c>
      <c r="O29" s="2945" t="s">
        <v>2962</v>
      </c>
      <c r="P29" s="2945" t="s">
        <v>2963</v>
      </c>
      <c r="Q29" s="2945" t="s">
        <v>2964</v>
      </c>
      <c r="R29" s="2945" t="s">
        <v>280</v>
      </c>
    </row>
    <row r="30" spans="1:19" ht="14.25" customHeight="1">
      <c r="A30" s="2950" t="s">
        <v>296</v>
      </c>
      <c r="B30" s="2941" t="s">
        <v>2858</v>
      </c>
      <c r="C30" s="2941">
        <v>26890</v>
      </c>
      <c r="D30" s="2941">
        <v>26770</v>
      </c>
      <c r="E30" s="2941">
        <v>25700</v>
      </c>
      <c r="F30" s="2941">
        <v>8180</v>
      </c>
      <c r="G30" s="2957">
        <v>18740</v>
      </c>
      <c r="L30" s="2945" t="s">
        <v>2965</v>
      </c>
      <c r="M30" s="2945" t="s">
        <v>2966</v>
      </c>
      <c r="N30" s="2945" t="s">
        <v>2967</v>
      </c>
      <c r="O30" s="2945" t="s">
        <v>2968</v>
      </c>
      <c r="P30" s="2945" t="s">
        <v>2969</v>
      </c>
      <c r="Q30" s="2945" t="s">
        <v>2970</v>
      </c>
      <c r="R30" s="2945" t="s">
        <v>2971</v>
      </c>
    </row>
    <row r="31" spans="1:19" ht="14.25" customHeight="1">
      <c r="A31" s="2945" t="s">
        <v>296</v>
      </c>
      <c r="B31" s="2946" t="s">
        <v>129</v>
      </c>
      <c r="C31" s="2945">
        <v>24550</v>
      </c>
      <c r="D31" s="2945">
        <v>23990</v>
      </c>
      <c r="E31" s="2945">
        <v>22930</v>
      </c>
      <c r="F31" s="2945">
        <v>7470</v>
      </c>
      <c r="G31" s="2958">
        <v>16790</v>
      </c>
      <c r="L31" s="2945" t="s">
        <v>2972</v>
      </c>
      <c r="M31" s="2945" t="s">
        <v>2973</v>
      </c>
      <c r="N31" s="2945" t="s">
        <v>2974</v>
      </c>
      <c r="O31" s="2945" t="s">
        <v>2975</v>
      </c>
      <c r="P31" s="2945" t="s">
        <v>2976</v>
      </c>
      <c r="Q31" s="2945" t="s">
        <v>2977</v>
      </c>
      <c r="R31" s="2945" t="s">
        <v>2978</v>
      </c>
    </row>
    <row r="32" spans="1:19" ht="14.25" customHeight="1" thickBot="1">
      <c r="A32" s="2945" t="s">
        <v>296</v>
      </c>
      <c r="B32" s="2946" t="s">
        <v>138</v>
      </c>
      <c r="C32" s="2945">
        <v>27210</v>
      </c>
      <c r="D32" s="2945">
        <v>23240</v>
      </c>
      <c r="E32" s="2945">
        <v>23260</v>
      </c>
      <c r="F32" s="2945">
        <v>7130</v>
      </c>
      <c r="G32" s="2958">
        <v>16270</v>
      </c>
      <c r="L32" s="2945" t="s">
        <v>2979</v>
      </c>
      <c r="M32" s="2945" t="s">
        <v>2980</v>
      </c>
      <c r="N32" s="2945" t="s">
        <v>300</v>
      </c>
      <c r="O32" s="2945" t="s">
        <v>2981</v>
      </c>
      <c r="P32" s="2945" t="s">
        <v>299</v>
      </c>
      <c r="Q32" s="2945" t="s">
        <v>2982</v>
      </c>
      <c r="R32" s="2952" t="s">
        <v>2983</v>
      </c>
    </row>
    <row r="33" spans="1:17" ht="14.25" customHeight="1" thickBot="1">
      <c r="A33" s="2945" t="s">
        <v>296</v>
      </c>
      <c r="B33" s="2946" t="s">
        <v>147</v>
      </c>
      <c r="C33" s="2945">
        <v>27300</v>
      </c>
      <c r="D33" s="2945">
        <v>22980</v>
      </c>
      <c r="E33" s="2945">
        <v>24260</v>
      </c>
      <c r="F33" s="2945">
        <v>5860</v>
      </c>
      <c r="G33" s="2958">
        <v>16090</v>
      </c>
      <c r="L33" s="2952" t="s">
        <v>2984</v>
      </c>
      <c r="M33" s="2945" t="s">
        <v>2985</v>
      </c>
      <c r="N33" s="2945" t="s">
        <v>301</v>
      </c>
      <c r="O33" s="2945" t="s">
        <v>2986</v>
      </c>
      <c r="P33" s="2945" t="s">
        <v>2987</v>
      </c>
      <c r="Q33" s="2945" t="s">
        <v>2988</v>
      </c>
    </row>
    <row r="34" spans="1:17" ht="14.25" customHeight="1">
      <c r="A34" s="2945" t="s">
        <v>296</v>
      </c>
      <c r="B34" s="2946" t="s">
        <v>156</v>
      </c>
      <c r="C34" s="2945">
        <v>23090</v>
      </c>
      <c r="D34" s="2945">
        <v>23390</v>
      </c>
      <c r="E34" s="2945">
        <v>23510</v>
      </c>
      <c r="F34" s="2945">
        <v>6700</v>
      </c>
      <c r="G34" s="2958">
        <v>16370</v>
      </c>
      <c r="M34" s="2945" t="s">
        <v>2989</v>
      </c>
      <c r="N34" s="2945" t="s">
        <v>302</v>
      </c>
      <c r="O34" s="2945" t="s">
        <v>2990</v>
      </c>
      <c r="P34" s="2945" t="s">
        <v>2991</v>
      </c>
      <c r="Q34" s="2945" t="s">
        <v>2992</v>
      </c>
    </row>
    <row r="35" spans="1:17" ht="14.25" customHeight="1">
      <c r="A35" s="2945" t="s">
        <v>296</v>
      </c>
      <c r="B35" s="2946" t="s">
        <v>163</v>
      </c>
      <c r="C35" s="2945">
        <v>27270</v>
      </c>
      <c r="D35" s="2945">
        <v>24270</v>
      </c>
      <c r="E35" s="2945">
        <v>24950</v>
      </c>
      <c r="F35" s="2945">
        <v>6600</v>
      </c>
      <c r="G35" s="2958">
        <v>16990</v>
      </c>
      <c r="M35" s="2945" t="s">
        <v>2993</v>
      </c>
      <c r="N35" s="2945" t="s">
        <v>2994</v>
      </c>
      <c r="O35" s="2945" t="s">
        <v>2995</v>
      </c>
      <c r="P35" s="2945" t="s">
        <v>2996</v>
      </c>
      <c r="Q35" s="2945" t="s">
        <v>2997</v>
      </c>
    </row>
    <row r="36" spans="1:17" ht="14.25" customHeight="1">
      <c r="A36" s="2945" t="s">
        <v>296</v>
      </c>
      <c r="B36" s="2946" t="s">
        <v>169</v>
      </c>
      <c r="C36" s="2945">
        <v>23490</v>
      </c>
      <c r="D36" s="2945">
        <v>23020</v>
      </c>
      <c r="E36" s="2945">
        <v>25230</v>
      </c>
      <c r="F36" s="2945">
        <v>6780</v>
      </c>
      <c r="G36" s="2958">
        <v>16120</v>
      </c>
      <c r="M36" s="2945" t="s">
        <v>2998</v>
      </c>
      <c r="N36" s="2945" t="s">
        <v>2999</v>
      </c>
      <c r="O36" s="2945" t="s">
        <v>3000</v>
      </c>
      <c r="P36" s="2945" t="s">
        <v>3001</v>
      </c>
      <c r="Q36" s="2945" t="s">
        <v>3002</v>
      </c>
    </row>
    <row r="37" spans="1:17" ht="14.25" customHeight="1">
      <c r="A37" s="2945" t="s">
        <v>296</v>
      </c>
      <c r="B37" s="2946" t="s">
        <v>176</v>
      </c>
      <c r="C37" s="2945">
        <v>24380</v>
      </c>
      <c r="D37" s="2945">
        <v>22240</v>
      </c>
      <c r="E37" s="2945">
        <v>25980</v>
      </c>
      <c r="F37" s="2945">
        <v>8160</v>
      </c>
      <c r="G37" s="2958">
        <v>15570</v>
      </c>
      <c r="M37" s="2945" t="s">
        <v>3003</v>
      </c>
      <c r="N37" s="2945" t="s">
        <v>3004</v>
      </c>
      <c r="O37" s="2945" t="s">
        <v>3005</v>
      </c>
      <c r="P37" s="2945" t="s">
        <v>3006</v>
      </c>
      <c r="Q37" s="2945" t="s">
        <v>3007</v>
      </c>
    </row>
    <row r="38" spans="1:17" ht="14.25" customHeight="1">
      <c r="A38" s="2945" t="s">
        <v>296</v>
      </c>
      <c r="B38" s="2946" t="s">
        <v>186</v>
      </c>
      <c r="C38" s="2945">
        <v>23120</v>
      </c>
      <c r="D38" s="2945">
        <v>24630</v>
      </c>
      <c r="E38" s="2945">
        <v>25030</v>
      </c>
      <c r="F38" s="2945">
        <v>7710</v>
      </c>
      <c r="G38" s="2958">
        <v>17240</v>
      </c>
      <c r="M38" s="2945" t="s">
        <v>3008</v>
      </c>
      <c r="N38" s="2945" t="s">
        <v>3009</v>
      </c>
      <c r="O38" s="2945" t="s">
        <v>3010</v>
      </c>
      <c r="P38" s="2945" t="s">
        <v>3011</v>
      </c>
      <c r="Q38" s="2945" t="s">
        <v>3012</v>
      </c>
    </row>
    <row r="39" spans="1:17" ht="14.25" customHeight="1">
      <c r="A39" s="2945" t="s">
        <v>296</v>
      </c>
      <c r="B39" s="2946" t="s">
        <v>195</v>
      </c>
      <c r="C39" s="2945">
        <v>22330</v>
      </c>
      <c r="D39" s="2945">
        <v>21140</v>
      </c>
      <c r="E39" s="2945">
        <v>23970</v>
      </c>
      <c r="F39" s="2945">
        <v>7940</v>
      </c>
      <c r="G39" s="2958">
        <v>14790</v>
      </c>
      <c r="M39" s="2945" t="s">
        <v>3013</v>
      </c>
      <c r="N39" s="2945" t="s">
        <v>3014</v>
      </c>
      <c r="O39" s="2945" t="s">
        <v>3015</v>
      </c>
      <c r="P39" s="2945" t="s">
        <v>3016</v>
      </c>
      <c r="Q39" s="2945" t="s">
        <v>3017</v>
      </c>
    </row>
    <row r="40" spans="1:17" ht="14.25" customHeight="1">
      <c r="A40" s="2945" t="s">
        <v>296</v>
      </c>
      <c r="B40" s="2946" t="s">
        <v>202</v>
      </c>
      <c r="C40" s="2945">
        <v>24740</v>
      </c>
      <c r="D40" s="2945">
        <v>24690</v>
      </c>
      <c r="E40" s="2945">
        <v>22610</v>
      </c>
      <c r="F40" s="2945"/>
      <c r="G40" s="2958">
        <v>17280</v>
      </c>
      <c r="M40" s="2945" t="s">
        <v>3018</v>
      </c>
      <c r="N40" s="2945" t="s">
        <v>3019</v>
      </c>
      <c r="O40" s="2945" t="s">
        <v>3020</v>
      </c>
      <c r="P40" s="2945" t="s">
        <v>3021</v>
      </c>
      <c r="Q40" s="2945" t="s">
        <v>3022</v>
      </c>
    </row>
    <row r="41" spans="1:17" ht="14.25" customHeight="1" thickBot="1">
      <c r="A41" s="2945" t="s">
        <v>296</v>
      </c>
      <c r="B41" s="2946" t="s">
        <v>209</v>
      </c>
      <c r="C41" s="2945">
        <v>21220</v>
      </c>
      <c r="D41" s="2945">
        <v>21120</v>
      </c>
      <c r="E41" s="2945">
        <v>22590</v>
      </c>
      <c r="F41" s="2945"/>
      <c r="G41" s="2958">
        <v>14780</v>
      </c>
      <c r="M41" s="2952" t="s">
        <v>3023</v>
      </c>
      <c r="N41" s="2945" t="s">
        <v>3024</v>
      </c>
      <c r="O41" s="2945" t="s">
        <v>3025</v>
      </c>
      <c r="P41" s="2945" t="s">
        <v>3026</v>
      </c>
      <c r="Q41" s="2945" t="s">
        <v>3027</v>
      </c>
    </row>
    <row r="42" spans="1:17" ht="14.25" customHeight="1">
      <c r="A42" s="2945" t="s">
        <v>296</v>
      </c>
      <c r="B42" s="2946" t="s">
        <v>215</v>
      </c>
      <c r="C42" s="2945">
        <v>24800</v>
      </c>
      <c r="D42" s="2945">
        <v>22280</v>
      </c>
      <c r="E42" s="2945">
        <v>24350</v>
      </c>
      <c r="F42" s="2945"/>
      <c r="G42" s="2958">
        <v>15590</v>
      </c>
      <c r="N42" s="2945" t="s">
        <v>3028</v>
      </c>
      <c r="O42" s="2945" t="s">
        <v>3029</v>
      </c>
      <c r="P42" s="2945" t="s">
        <v>3030</v>
      </c>
      <c r="Q42" s="2945" t="s">
        <v>3031</v>
      </c>
    </row>
    <row r="43" spans="1:17" ht="14.25" customHeight="1">
      <c r="A43" s="2945" t="s">
        <v>3032</v>
      </c>
      <c r="B43" s="2946" t="s">
        <v>223</v>
      </c>
      <c r="C43" s="2945">
        <v>21210</v>
      </c>
      <c r="D43" s="2945">
        <v>21160</v>
      </c>
      <c r="E43" s="2945">
        <v>22650</v>
      </c>
      <c r="F43" s="2945"/>
      <c r="G43" s="2958">
        <v>14800</v>
      </c>
      <c r="N43" s="2945" t="s">
        <v>3033</v>
      </c>
      <c r="O43" s="2945" t="s">
        <v>3034</v>
      </c>
      <c r="P43" s="2945" t="s">
        <v>3035</v>
      </c>
      <c r="Q43" s="2945" t="s">
        <v>3036</v>
      </c>
    </row>
    <row r="44" spans="1:17" ht="14.25" customHeight="1" thickBot="1">
      <c r="A44" s="2945" t="s">
        <v>296</v>
      </c>
      <c r="B44" s="2946" t="s">
        <v>231</v>
      </c>
      <c r="C44" s="2945">
        <v>22370</v>
      </c>
      <c r="D44" s="2945">
        <v>23140</v>
      </c>
      <c r="E44" s="2945">
        <v>25090</v>
      </c>
      <c r="F44" s="2945"/>
      <c r="G44" s="2958">
        <v>16190</v>
      </c>
      <c r="N44" s="2945" t="s">
        <v>3037</v>
      </c>
      <c r="O44" s="2945" t="s">
        <v>3038</v>
      </c>
      <c r="P44" s="2952" t="s">
        <v>3039</v>
      </c>
      <c r="Q44" s="2945" t="s">
        <v>3040</v>
      </c>
    </row>
    <row r="45" spans="1:17" ht="14.25" customHeight="1" thickBot="1">
      <c r="A45" s="2945" t="s">
        <v>296</v>
      </c>
      <c r="B45" s="2946" t="s">
        <v>236</v>
      </c>
      <c r="C45" s="2945">
        <v>21240</v>
      </c>
      <c r="D45" s="2945">
        <v>27050</v>
      </c>
      <c r="E45" s="2945">
        <v>28000</v>
      </c>
      <c r="F45" s="2945"/>
      <c r="G45" s="2958">
        <v>18940</v>
      </c>
      <c r="N45" s="2945" t="s">
        <v>3041</v>
      </c>
      <c r="O45" s="2952" t="s">
        <v>3042</v>
      </c>
      <c r="Q45" s="2945" t="s">
        <v>3043</v>
      </c>
    </row>
    <row r="46" spans="1:17" ht="14.25" customHeight="1">
      <c r="A46" s="2945" t="s">
        <v>296</v>
      </c>
      <c r="B46" s="2946" t="s">
        <v>245</v>
      </c>
      <c r="C46" s="2945">
        <v>23240</v>
      </c>
      <c r="D46" s="2945">
        <v>23000</v>
      </c>
      <c r="E46" s="2945">
        <v>24980</v>
      </c>
      <c r="F46" s="2945"/>
      <c r="G46" s="2958">
        <v>16100</v>
      </c>
      <c r="N46" s="2945" t="s">
        <v>3044</v>
      </c>
      <c r="Q46" s="2945" t="s">
        <v>3045</v>
      </c>
    </row>
    <row r="47" spans="1:17" ht="14.25" customHeight="1">
      <c r="A47" s="2945" t="s">
        <v>296</v>
      </c>
      <c r="B47" s="2946" t="s">
        <v>252</v>
      </c>
      <c r="C47" s="2945">
        <v>27150</v>
      </c>
      <c r="D47" s="2945">
        <v>23310</v>
      </c>
      <c r="E47" s="2945">
        <v>25150</v>
      </c>
      <c r="F47" s="2945"/>
      <c r="G47" s="2958">
        <v>16310</v>
      </c>
      <c r="N47" s="2945" t="s">
        <v>3046</v>
      </c>
      <c r="Q47" s="2945" t="s">
        <v>3047</v>
      </c>
    </row>
    <row r="48" spans="1:17" ht="14.25" customHeight="1">
      <c r="A48" s="2945" t="s">
        <v>296</v>
      </c>
      <c r="B48" s="2946" t="s">
        <v>260</v>
      </c>
      <c r="C48" s="2945">
        <v>23100</v>
      </c>
      <c r="D48" s="2945">
        <v>21110</v>
      </c>
      <c r="E48" s="2945">
        <v>23080</v>
      </c>
      <c r="F48" s="2945"/>
      <c r="G48" s="2958">
        <v>14780</v>
      </c>
      <c r="N48" s="2945" t="s">
        <v>3048</v>
      </c>
      <c r="Q48" s="2945" t="s">
        <v>3049</v>
      </c>
    </row>
    <row r="49" spans="1:17" ht="14.25" customHeight="1">
      <c r="A49" s="2945" t="s">
        <v>296</v>
      </c>
      <c r="B49" s="2946" t="s">
        <v>267</v>
      </c>
      <c r="C49" s="2945">
        <v>23400</v>
      </c>
      <c r="D49" s="2945">
        <v>22920</v>
      </c>
      <c r="E49" s="2945">
        <v>24900</v>
      </c>
      <c r="F49" s="2945"/>
      <c r="G49" s="2958">
        <v>16040</v>
      </c>
      <c r="N49" s="2945" t="s">
        <v>3050</v>
      </c>
      <c r="Q49" s="2945" t="s">
        <v>3051</v>
      </c>
    </row>
    <row r="50" spans="1:17" ht="14.25" customHeight="1">
      <c r="A50" s="2945" t="s">
        <v>296</v>
      </c>
      <c r="B50" s="2946" t="s">
        <v>2928</v>
      </c>
      <c r="C50" s="2945">
        <v>21200</v>
      </c>
      <c r="D50" s="2945">
        <v>26540</v>
      </c>
      <c r="E50" s="2945">
        <v>23200</v>
      </c>
      <c r="F50" s="2945"/>
      <c r="G50" s="2958">
        <v>18580</v>
      </c>
      <c r="N50" s="2945" t="s">
        <v>3052</v>
      </c>
      <c r="Q50" s="2946" t="s">
        <v>3053</v>
      </c>
    </row>
    <row r="51" spans="1:17" ht="14.25" customHeight="1" thickBot="1">
      <c r="A51" s="2945" t="s">
        <v>296</v>
      </c>
      <c r="B51" s="2946" t="s">
        <v>2930</v>
      </c>
      <c r="C51" s="2945">
        <v>23000</v>
      </c>
      <c r="D51" s="2945">
        <v>23460</v>
      </c>
      <c r="E51" s="2945">
        <v>25290</v>
      </c>
      <c r="F51" s="2945"/>
      <c r="G51" s="2958">
        <v>16420</v>
      </c>
      <c r="N51" s="2945" t="s">
        <v>3054</v>
      </c>
      <c r="Q51" s="2952" t="s">
        <v>3055</v>
      </c>
    </row>
    <row r="52" spans="1:17" ht="14.25" customHeight="1">
      <c r="A52" s="2945" t="s">
        <v>296</v>
      </c>
      <c r="B52" s="2946" t="s">
        <v>2934</v>
      </c>
      <c r="C52" s="2945">
        <v>26660</v>
      </c>
      <c r="D52" s="2945">
        <v>22350</v>
      </c>
      <c r="E52" s="2945">
        <v>22920</v>
      </c>
      <c r="F52" s="2945"/>
      <c r="G52" s="2958">
        <v>15640</v>
      </c>
      <c r="N52" s="2945" t="s">
        <v>3056</v>
      </c>
    </row>
    <row r="53" spans="1:17" ht="14.25" customHeight="1">
      <c r="A53" s="2945" t="s">
        <v>296</v>
      </c>
      <c r="B53" s="2946" t="s">
        <v>2939</v>
      </c>
      <c r="C53" s="2945">
        <v>23580</v>
      </c>
      <c r="D53" s="2945"/>
      <c r="E53" s="2945">
        <v>24280</v>
      </c>
      <c r="F53" s="2945"/>
      <c r="G53" s="2958"/>
      <c r="N53" s="2945" t="s">
        <v>3057</v>
      </c>
    </row>
    <row r="54" spans="1:17" ht="14.25" customHeight="1" thickBot="1">
      <c r="A54" s="2959" t="s">
        <v>296</v>
      </c>
      <c r="B54" s="2951" t="s">
        <v>2942</v>
      </c>
      <c r="C54" s="2952">
        <v>22460</v>
      </c>
      <c r="D54" s="2952"/>
      <c r="E54" s="2952"/>
      <c r="F54" s="2952"/>
      <c r="G54" s="2960"/>
      <c r="N54" s="2945" t="s">
        <v>3058</v>
      </c>
    </row>
    <row r="55" spans="1:17" ht="14.25" customHeight="1">
      <c r="A55" s="2950" t="s">
        <v>110</v>
      </c>
      <c r="B55" s="2941" t="s">
        <v>3059</v>
      </c>
      <c r="C55" s="2945">
        <v>21970</v>
      </c>
      <c r="D55" s="2945">
        <v>20370</v>
      </c>
      <c r="E55" s="2945">
        <v>20180</v>
      </c>
      <c r="F55" s="2945">
        <v>5730</v>
      </c>
      <c r="G55" s="2945">
        <v>13820</v>
      </c>
      <c r="N55" s="2945" t="s">
        <v>3060</v>
      </c>
    </row>
    <row r="56" spans="1:17" ht="14.25" customHeight="1">
      <c r="A56" s="2945" t="s">
        <v>110</v>
      </c>
      <c r="B56" s="2945" t="s">
        <v>130</v>
      </c>
      <c r="C56" s="2945">
        <v>20470</v>
      </c>
      <c r="D56" s="2945">
        <v>20700</v>
      </c>
      <c r="E56" s="2945">
        <v>20380</v>
      </c>
      <c r="F56" s="2945">
        <v>4760</v>
      </c>
      <c r="G56" s="2945">
        <v>14050</v>
      </c>
      <c r="N56" s="2945" t="s">
        <v>3061</v>
      </c>
    </row>
    <row r="57" spans="1:17" ht="14.25" customHeight="1">
      <c r="A57" s="2945" t="s">
        <v>110</v>
      </c>
      <c r="B57" s="2945" t="s">
        <v>139</v>
      </c>
      <c r="C57" s="2945">
        <v>20790</v>
      </c>
      <c r="D57" s="2945">
        <v>21370</v>
      </c>
      <c r="E57" s="2945">
        <v>20890</v>
      </c>
      <c r="F57" s="2945">
        <v>4910</v>
      </c>
      <c r="G57" s="2945">
        <v>14510</v>
      </c>
      <c r="N57" s="2945" t="s">
        <v>3062</v>
      </c>
    </row>
    <row r="58" spans="1:17" ht="14.25" customHeight="1">
      <c r="A58" s="2945" t="s">
        <v>110</v>
      </c>
      <c r="B58" s="2945" t="s">
        <v>148</v>
      </c>
      <c r="C58" s="2945">
        <v>21460</v>
      </c>
      <c r="D58" s="2945">
        <v>20920</v>
      </c>
      <c r="E58" s="2945">
        <v>23410</v>
      </c>
      <c r="F58" s="2945">
        <v>5100</v>
      </c>
      <c r="G58" s="2945">
        <v>14200</v>
      </c>
      <c r="N58" s="2945" t="s">
        <v>3063</v>
      </c>
    </row>
    <row r="59" spans="1:17" ht="14.25" customHeight="1">
      <c r="A59" s="2945" t="s">
        <v>110</v>
      </c>
      <c r="B59" s="2945" t="s">
        <v>157</v>
      </c>
      <c r="C59" s="2945">
        <v>21000</v>
      </c>
      <c r="D59" s="2945">
        <v>21550</v>
      </c>
      <c r="E59" s="2945">
        <v>21150</v>
      </c>
      <c r="F59" s="2945">
        <v>5250</v>
      </c>
      <c r="G59" s="2945">
        <v>14630</v>
      </c>
      <c r="N59" s="2945" t="s">
        <v>3064</v>
      </c>
    </row>
    <row r="60" spans="1:17" ht="14.25" customHeight="1">
      <c r="A60" s="2945" t="s">
        <v>110</v>
      </c>
      <c r="B60" s="2945" t="s">
        <v>164</v>
      </c>
      <c r="C60" s="2945">
        <v>21640</v>
      </c>
      <c r="D60" s="2945">
        <v>21260</v>
      </c>
      <c r="E60" s="2945">
        <v>24040</v>
      </c>
      <c r="F60" s="2945">
        <v>4470</v>
      </c>
      <c r="G60" s="2945">
        <v>14430</v>
      </c>
      <c r="N60" s="2945" t="s">
        <v>3065</v>
      </c>
    </row>
    <row r="61" spans="1:17" ht="14.25" customHeight="1">
      <c r="A61" s="2945" t="s">
        <v>110</v>
      </c>
      <c r="B61" s="2945" t="s">
        <v>170</v>
      </c>
      <c r="C61" s="2945">
        <v>21330</v>
      </c>
      <c r="D61" s="2945">
        <v>18640</v>
      </c>
      <c r="E61" s="2945">
        <v>21190</v>
      </c>
      <c r="F61" s="2945">
        <v>4180</v>
      </c>
      <c r="G61" s="2945">
        <v>12650</v>
      </c>
      <c r="N61" s="2945" t="s">
        <v>3066</v>
      </c>
    </row>
    <row r="62" spans="1:17" ht="14.25" customHeight="1">
      <c r="A62" s="2945" t="s">
        <v>110</v>
      </c>
      <c r="B62" s="2945" t="s">
        <v>177</v>
      </c>
      <c r="C62" s="2945">
        <v>18710</v>
      </c>
      <c r="D62" s="2945">
        <v>19400</v>
      </c>
      <c r="E62" s="2945">
        <v>23750</v>
      </c>
      <c r="F62" s="2945">
        <v>4860</v>
      </c>
      <c r="G62" s="2945">
        <v>13170</v>
      </c>
      <c r="N62" s="2945" t="s">
        <v>3067</v>
      </c>
    </row>
    <row r="63" spans="1:17" ht="14.25" customHeight="1">
      <c r="A63" s="2945" t="s">
        <v>110</v>
      </c>
      <c r="B63" s="2945" t="s">
        <v>187</v>
      </c>
      <c r="C63" s="2945">
        <v>19480</v>
      </c>
      <c r="D63" s="2945">
        <v>16830</v>
      </c>
      <c r="E63" s="2945">
        <v>21590</v>
      </c>
      <c r="F63" s="2945">
        <v>4560</v>
      </c>
      <c r="G63" s="2945">
        <v>11420</v>
      </c>
      <c r="N63" s="2945" t="s">
        <v>3068</v>
      </c>
    </row>
    <row r="64" spans="1:17" ht="14.25" customHeight="1" thickBot="1">
      <c r="A64" s="2945" t="s">
        <v>110</v>
      </c>
      <c r="B64" s="2945" t="s">
        <v>196</v>
      </c>
      <c r="C64" s="2945">
        <v>16920</v>
      </c>
      <c r="D64" s="2945">
        <v>19190</v>
      </c>
      <c r="E64" s="2945">
        <v>22200</v>
      </c>
      <c r="F64" s="2945">
        <v>4390</v>
      </c>
      <c r="G64" s="2945">
        <v>13030</v>
      </c>
      <c r="N64" s="2952" t="s">
        <v>3069</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2940</v>
      </c>
      <c r="C78" s="2945">
        <v>19820</v>
      </c>
      <c r="D78" s="2945">
        <v>19780</v>
      </c>
      <c r="E78" s="2945">
        <v>18560</v>
      </c>
      <c r="F78" s="2945"/>
      <c r="G78" s="2945">
        <v>13430</v>
      </c>
    </row>
    <row r="79" spans="1:7" s="2779" customFormat="1" ht="14.25" customHeight="1">
      <c r="A79" s="2945" t="s">
        <v>110</v>
      </c>
      <c r="B79" s="2945" t="s">
        <v>2943</v>
      </c>
      <c r="C79" s="2945">
        <v>21660</v>
      </c>
      <c r="D79" s="2945">
        <v>18000</v>
      </c>
      <c r="E79" s="2945">
        <v>22570</v>
      </c>
      <c r="F79" s="2945"/>
      <c r="G79" s="2945">
        <v>12220</v>
      </c>
    </row>
    <row r="80" spans="1:7" s="2779" customFormat="1" ht="14.25" customHeight="1">
      <c r="A80" s="2945" t="s">
        <v>110</v>
      </c>
      <c r="B80" s="2945" t="s">
        <v>2947</v>
      </c>
      <c r="C80" s="2945">
        <v>19850</v>
      </c>
      <c r="D80" s="2945"/>
      <c r="E80" s="2945">
        <v>21700</v>
      </c>
      <c r="F80" s="2945"/>
      <c r="G80" s="2945"/>
    </row>
    <row r="81" spans="1:7" s="2779" customFormat="1" ht="14.25" customHeight="1">
      <c r="A81" s="2945" t="s">
        <v>110</v>
      </c>
      <c r="B81" s="2945" t="s">
        <v>2952</v>
      </c>
      <c r="C81" s="2945">
        <v>18080</v>
      </c>
      <c r="D81" s="2945"/>
      <c r="E81" s="2945">
        <v>20900</v>
      </c>
      <c r="F81" s="2945"/>
      <c r="G81" s="2945"/>
    </row>
    <row r="82" spans="1:7" s="2779" customFormat="1" ht="14.25" customHeight="1">
      <c r="A82" s="2945" t="s">
        <v>110</v>
      </c>
      <c r="B82" s="2945" t="s">
        <v>2959</v>
      </c>
      <c r="C82" s="2945"/>
      <c r="D82" s="2945"/>
      <c r="E82" s="2945">
        <v>20840</v>
      </c>
      <c r="F82" s="2945"/>
      <c r="G82" s="2945"/>
    </row>
    <row r="83" spans="1:7" s="2779" customFormat="1" ht="14.25" customHeight="1">
      <c r="A83" s="2945" t="s">
        <v>110</v>
      </c>
      <c r="B83" s="2945" t="s">
        <v>3070</v>
      </c>
      <c r="C83" s="2945"/>
      <c r="D83" s="2945"/>
      <c r="E83" s="2945"/>
      <c r="F83" s="2945">
        <v>4770</v>
      </c>
      <c r="G83" s="2945"/>
    </row>
    <row r="84" spans="1:7" s="2779" customFormat="1" ht="14.25" customHeight="1">
      <c r="A84" s="2945" t="s">
        <v>110</v>
      </c>
      <c r="B84" s="2945" t="s">
        <v>3071</v>
      </c>
      <c r="C84" s="2945"/>
      <c r="D84" s="2945"/>
      <c r="E84" s="2945"/>
      <c r="F84" s="2945">
        <v>4600</v>
      </c>
      <c r="G84" s="2945"/>
    </row>
    <row r="85" spans="1:7" s="2779" customFormat="1" ht="14.25" customHeight="1">
      <c r="A85" s="2945" t="s">
        <v>110</v>
      </c>
      <c r="B85" s="2945" t="s">
        <v>3072</v>
      </c>
      <c r="C85" s="2945"/>
      <c r="D85" s="2945"/>
      <c r="E85" s="2945"/>
      <c r="F85" s="2945">
        <v>4680</v>
      </c>
      <c r="G85" s="2945"/>
    </row>
    <row r="86" spans="1:7" s="2779" customFormat="1" ht="14.25" customHeight="1" thickBot="1">
      <c r="A86" s="2953" t="s">
        <v>110</v>
      </c>
      <c r="B86" s="2955" t="s">
        <v>3073</v>
      </c>
      <c r="C86" s="2956">
        <v>16610</v>
      </c>
      <c r="D86" s="2956">
        <v>16540</v>
      </c>
      <c r="E86" s="2956">
        <v>18850</v>
      </c>
      <c r="F86" s="2956"/>
      <c r="G86" s="2956">
        <v>11220</v>
      </c>
    </row>
    <row r="87" spans="1:7" s="2779" customFormat="1" ht="14.25" customHeight="1">
      <c r="A87" s="2950" t="s">
        <v>303</v>
      </c>
      <c r="B87" s="2941" t="s">
        <v>3074</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2953</v>
      </c>
      <c r="C113" s="2945">
        <v>15520</v>
      </c>
      <c r="D113" s="2945">
        <v>15450</v>
      </c>
      <c r="E113" s="2945"/>
      <c r="F113" s="2945"/>
      <c r="G113" s="2958">
        <v>10210</v>
      </c>
    </row>
    <row r="114" spans="1:7" s="2779" customFormat="1" ht="14.25" customHeight="1">
      <c r="A114" s="2945" t="s">
        <v>303</v>
      </c>
      <c r="B114" s="2945" t="s">
        <v>2960</v>
      </c>
      <c r="C114" s="2945">
        <v>13110</v>
      </c>
      <c r="D114" s="2945">
        <v>13050</v>
      </c>
      <c r="E114" s="2945"/>
      <c r="F114" s="2945"/>
      <c r="G114" s="2958">
        <v>8620</v>
      </c>
    </row>
    <row r="115" spans="1:7" s="2779" customFormat="1" ht="14.25" customHeight="1">
      <c r="A115" s="2945" t="s">
        <v>303</v>
      </c>
      <c r="B115" s="2945" t="s">
        <v>2966</v>
      </c>
      <c r="C115" s="2945">
        <v>12460</v>
      </c>
      <c r="D115" s="2945">
        <v>12390</v>
      </c>
      <c r="E115" s="2945"/>
      <c r="F115" s="2945"/>
      <c r="G115" s="2958">
        <v>8190</v>
      </c>
    </row>
    <row r="116" spans="1:7" s="2779" customFormat="1" ht="14.25" customHeight="1">
      <c r="A116" s="2945" t="s">
        <v>303</v>
      </c>
      <c r="B116" s="2945" t="s">
        <v>2973</v>
      </c>
      <c r="C116" s="2945">
        <v>13580</v>
      </c>
      <c r="D116" s="2945">
        <v>13520</v>
      </c>
      <c r="E116" s="2945"/>
      <c r="F116" s="2945"/>
      <c r="G116" s="2958">
        <v>8930</v>
      </c>
    </row>
    <row r="117" spans="1:7" s="2779" customFormat="1" ht="14.25" customHeight="1">
      <c r="A117" s="2945" t="s">
        <v>303</v>
      </c>
      <c r="B117" s="2945" t="s">
        <v>2980</v>
      </c>
      <c r="C117" s="2945">
        <v>17120</v>
      </c>
      <c r="D117" s="2945">
        <v>17040</v>
      </c>
      <c r="E117" s="2945"/>
      <c r="F117" s="2945"/>
      <c r="G117" s="2958">
        <v>11260</v>
      </c>
    </row>
    <row r="118" spans="1:7" s="2779" customFormat="1" ht="14.25" customHeight="1">
      <c r="A118" s="2945" t="s">
        <v>303</v>
      </c>
      <c r="B118" s="2945" t="s">
        <v>2985</v>
      </c>
      <c r="C118" s="2945">
        <v>14860</v>
      </c>
      <c r="D118" s="2945">
        <v>14790</v>
      </c>
      <c r="E118" s="2945"/>
      <c r="F118" s="2945"/>
      <c r="G118" s="2958">
        <v>9780</v>
      </c>
    </row>
    <row r="119" spans="1:7" s="2779" customFormat="1" ht="14.25" customHeight="1">
      <c r="A119" s="2945" t="s">
        <v>303</v>
      </c>
      <c r="B119" s="2945" t="s">
        <v>2989</v>
      </c>
      <c r="C119" s="2945">
        <v>16470</v>
      </c>
      <c r="D119" s="2945">
        <v>16400</v>
      </c>
      <c r="E119" s="2945"/>
      <c r="F119" s="2945"/>
      <c r="G119" s="2958">
        <v>10840</v>
      </c>
    </row>
    <row r="120" spans="1:7" s="2779" customFormat="1" ht="14.25" customHeight="1">
      <c r="A120" s="2945" t="s">
        <v>303</v>
      </c>
      <c r="B120" s="2945" t="s">
        <v>3075</v>
      </c>
      <c r="C120" s="2945"/>
      <c r="D120" s="2945"/>
      <c r="E120" s="2945"/>
      <c r="F120" s="2945">
        <v>4160</v>
      </c>
      <c r="G120" s="2958"/>
    </row>
    <row r="121" spans="1:7" s="2779" customFormat="1" ht="14.25" customHeight="1">
      <c r="A121" s="2945" t="s">
        <v>303</v>
      </c>
      <c r="B121" s="2945" t="s">
        <v>3076</v>
      </c>
      <c r="C121" s="2945"/>
      <c r="D121" s="2945"/>
      <c r="E121" s="2945"/>
      <c r="F121" s="2945">
        <v>3880</v>
      </c>
      <c r="G121" s="2958"/>
    </row>
    <row r="122" spans="1:7" s="2779" customFormat="1" ht="14.25" customHeight="1">
      <c r="A122" s="2945" t="s">
        <v>303</v>
      </c>
      <c r="B122" s="2945" t="s">
        <v>3077</v>
      </c>
      <c r="C122" s="2945">
        <v>13750</v>
      </c>
      <c r="D122" s="2945">
        <v>13680</v>
      </c>
      <c r="E122" s="2945">
        <v>16460</v>
      </c>
      <c r="F122" s="2945">
        <v>2880</v>
      </c>
      <c r="G122" s="2958">
        <v>9040</v>
      </c>
    </row>
    <row r="123" spans="1:7" s="2779" customFormat="1" ht="14.25" customHeight="1">
      <c r="A123" s="2945" t="s">
        <v>303</v>
      </c>
      <c r="B123" s="2945" t="s">
        <v>3008</v>
      </c>
      <c r="C123" s="2945">
        <v>13590</v>
      </c>
      <c r="D123" s="2945">
        <v>13520</v>
      </c>
      <c r="E123" s="2945">
        <v>16290</v>
      </c>
      <c r="F123" s="2945">
        <v>2790</v>
      </c>
      <c r="G123" s="2958">
        <v>8930</v>
      </c>
    </row>
    <row r="124" spans="1:7" s="2779" customFormat="1" ht="14.25" customHeight="1">
      <c r="A124" s="2945" t="s">
        <v>303</v>
      </c>
      <c r="B124" s="2945" t="s">
        <v>3013</v>
      </c>
      <c r="C124" s="2945">
        <v>13400</v>
      </c>
      <c r="D124" s="2945">
        <v>13320</v>
      </c>
      <c r="E124" s="2945">
        <v>16100</v>
      </c>
      <c r="F124" s="2945">
        <v>2320</v>
      </c>
      <c r="G124" s="2958">
        <v>8800</v>
      </c>
    </row>
    <row r="125" spans="1:7" s="2779" customFormat="1" ht="14.25" customHeight="1">
      <c r="A125" s="2945" t="s">
        <v>303</v>
      </c>
      <c r="B125" s="2945" t="s">
        <v>3018</v>
      </c>
      <c r="C125" s="2945">
        <v>12860</v>
      </c>
      <c r="D125" s="2945">
        <v>12790</v>
      </c>
      <c r="E125" s="2945">
        <v>15370</v>
      </c>
      <c r="F125" s="2945">
        <v>2280</v>
      </c>
      <c r="G125" s="2958">
        <v>8450</v>
      </c>
    </row>
    <row r="126" spans="1:7" s="2779" customFormat="1" ht="14.25" customHeight="1" thickBot="1">
      <c r="A126" s="2959" t="s">
        <v>303</v>
      </c>
      <c r="B126" s="2952" t="s">
        <v>3023</v>
      </c>
      <c r="C126" s="2952">
        <v>12960</v>
      </c>
      <c r="D126" s="2952">
        <v>12890</v>
      </c>
      <c r="E126" s="2952">
        <v>15530</v>
      </c>
      <c r="F126" s="2952">
        <v>2910</v>
      </c>
      <c r="G126" s="2960">
        <v>8520</v>
      </c>
    </row>
    <row r="127" spans="1:7" s="2779" customFormat="1" ht="14.25" customHeight="1">
      <c r="A127" s="2950" t="s">
        <v>29</v>
      </c>
      <c r="B127" s="2941" t="s">
        <v>3078</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3079</v>
      </c>
      <c r="C148" s="2945">
        <v>10370</v>
      </c>
      <c r="D148" s="2945">
        <v>10310</v>
      </c>
      <c r="E148" s="2945">
        <v>12970</v>
      </c>
      <c r="F148" s="2945"/>
      <c r="G148" s="2945">
        <v>6630</v>
      </c>
    </row>
    <row r="149" spans="1:7" s="2779" customFormat="1" ht="14.25" customHeight="1">
      <c r="A149" s="2945" t="s">
        <v>29</v>
      </c>
      <c r="B149" s="2945" t="s">
        <v>3080</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2954</v>
      </c>
      <c r="C153" s="2945">
        <v>10880</v>
      </c>
      <c r="D153" s="2945">
        <v>10820</v>
      </c>
      <c r="E153" s="2945">
        <v>13660</v>
      </c>
      <c r="F153" s="2945">
        <v>2260</v>
      </c>
      <c r="G153" s="2945">
        <v>6970</v>
      </c>
    </row>
    <row r="154" spans="1:7" s="2779" customFormat="1" ht="14.25" customHeight="1">
      <c r="A154" s="2945" t="s">
        <v>29</v>
      </c>
      <c r="B154" s="2945" t="s">
        <v>3081</v>
      </c>
      <c r="C154" s="2945">
        <v>11220</v>
      </c>
      <c r="D154" s="2945">
        <v>11160</v>
      </c>
      <c r="E154" s="2945">
        <v>14130</v>
      </c>
      <c r="F154" s="2945">
        <v>2230</v>
      </c>
      <c r="G154" s="2945">
        <v>7180</v>
      </c>
    </row>
    <row r="155" spans="1:7" s="2779" customFormat="1" ht="14.25" customHeight="1">
      <c r="A155" s="2945" t="s">
        <v>29</v>
      </c>
      <c r="B155" s="2945" t="s">
        <v>2967</v>
      </c>
      <c r="C155" s="2945">
        <v>10430</v>
      </c>
      <c r="D155" s="2945">
        <v>10380</v>
      </c>
      <c r="E155" s="2945">
        <v>13140</v>
      </c>
      <c r="F155" s="2945">
        <v>2080</v>
      </c>
      <c r="G155" s="2945">
        <v>6650</v>
      </c>
    </row>
    <row r="156" spans="1:7" s="2779" customFormat="1" ht="14.25" customHeight="1">
      <c r="A156" s="2945" t="s">
        <v>29</v>
      </c>
      <c r="B156" s="2945" t="s">
        <v>3082</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3083</v>
      </c>
      <c r="C160" s="2945">
        <v>11180</v>
      </c>
      <c r="D160" s="2945">
        <v>11140</v>
      </c>
      <c r="E160" s="2945">
        <v>14050</v>
      </c>
      <c r="F160" s="2945">
        <v>2270</v>
      </c>
      <c r="G160" s="2945">
        <v>7170</v>
      </c>
    </row>
    <row r="161" spans="1:7" s="2779" customFormat="1" ht="14.25" customHeight="1">
      <c r="A161" s="2945" t="s">
        <v>29</v>
      </c>
      <c r="B161" s="2945" t="s">
        <v>2999</v>
      </c>
      <c r="C161" s="2945">
        <v>11160</v>
      </c>
      <c r="D161" s="2945">
        <v>11120</v>
      </c>
      <c r="E161" s="2945">
        <v>14020</v>
      </c>
      <c r="F161" s="2945">
        <v>2150</v>
      </c>
      <c r="G161" s="2945">
        <v>7160</v>
      </c>
    </row>
    <row r="162" spans="1:7" s="2779" customFormat="1" ht="14.25" customHeight="1">
      <c r="A162" s="2945" t="s">
        <v>29</v>
      </c>
      <c r="B162" s="2945" t="s">
        <v>3004</v>
      </c>
      <c r="C162" s="2945">
        <v>9620</v>
      </c>
      <c r="D162" s="2945">
        <v>9570</v>
      </c>
      <c r="E162" s="2945">
        <v>12320</v>
      </c>
      <c r="F162" s="2945">
        <v>2010</v>
      </c>
      <c r="G162" s="2945">
        <v>6160</v>
      </c>
    </row>
    <row r="163" spans="1:7" s="2779" customFormat="1" ht="14.25" customHeight="1">
      <c r="A163" s="2945" t="s">
        <v>29</v>
      </c>
      <c r="B163" s="2945" t="s">
        <v>3009</v>
      </c>
      <c r="C163" s="2945">
        <v>9320</v>
      </c>
      <c r="D163" s="2945">
        <v>9270</v>
      </c>
      <c r="E163" s="2945">
        <v>11790</v>
      </c>
      <c r="F163" s="2945">
        <v>1920</v>
      </c>
      <c r="G163" s="2945">
        <v>5960</v>
      </c>
    </row>
    <row r="164" spans="1:7" s="2779" customFormat="1" ht="14.25" customHeight="1">
      <c r="A164" s="2945" t="s">
        <v>29</v>
      </c>
      <c r="B164" s="2945" t="s">
        <v>3014</v>
      </c>
      <c r="C164" s="2945"/>
      <c r="D164" s="2945"/>
      <c r="E164" s="2945"/>
      <c r="F164" s="2945">
        <v>1980</v>
      </c>
      <c r="G164" s="2945"/>
    </row>
    <row r="165" spans="1:7" s="2779" customFormat="1" ht="14.25" customHeight="1">
      <c r="A165" s="2945" t="s">
        <v>29</v>
      </c>
      <c r="B165" s="2945" t="s">
        <v>3084</v>
      </c>
      <c r="C165" s="2945">
        <v>11060</v>
      </c>
      <c r="D165" s="2945">
        <v>11030</v>
      </c>
      <c r="E165" s="2945">
        <v>13850</v>
      </c>
      <c r="F165" s="2945">
        <v>2170</v>
      </c>
      <c r="G165" s="2945">
        <v>7090</v>
      </c>
    </row>
    <row r="166" spans="1:7" s="2779" customFormat="1" ht="14.25" customHeight="1">
      <c r="A166" s="2945" t="s">
        <v>29</v>
      </c>
      <c r="B166" s="2945" t="s">
        <v>3024</v>
      </c>
      <c r="C166" s="2945">
        <v>11050</v>
      </c>
      <c r="D166" s="2945">
        <v>11010</v>
      </c>
      <c r="E166" s="2945">
        <v>13920</v>
      </c>
      <c r="F166" s="2945">
        <v>2140</v>
      </c>
      <c r="G166" s="2945">
        <v>7080</v>
      </c>
    </row>
    <row r="167" spans="1:7" s="2779" customFormat="1" ht="14.25" customHeight="1">
      <c r="A167" s="2945" t="s">
        <v>29</v>
      </c>
      <c r="B167" s="2945" t="s">
        <v>3028</v>
      </c>
      <c r="C167" s="2945">
        <v>10930</v>
      </c>
      <c r="D167" s="2945">
        <v>10890</v>
      </c>
      <c r="E167" s="2945">
        <v>13790</v>
      </c>
      <c r="F167" s="2945">
        <v>2010</v>
      </c>
      <c r="G167" s="2945">
        <v>7000</v>
      </c>
    </row>
    <row r="168" spans="1:7" s="2779" customFormat="1" ht="14.25" customHeight="1">
      <c r="A168" s="2945" t="s">
        <v>29</v>
      </c>
      <c r="B168" s="2945" t="s">
        <v>3033</v>
      </c>
      <c r="C168" s="2945">
        <v>9420</v>
      </c>
      <c r="D168" s="2945">
        <v>9380</v>
      </c>
      <c r="E168" s="2945">
        <v>11970</v>
      </c>
      <c r="F168" s="2945"/>
      <c r="G168" s="2945">
        <v>6040</v>
      </c>
    </row>
    <row r="169" spans="1:7" s="2779" customFormat="1" ht="14.25" customHeight="1">
      <c r="A169" s="2945" t="s">
        <v>29</v>
      </c>
      <c r="B169" s="2945" t="s">
        <v>3085</v>
      </c>
      <c r="C169" s="2945"/>
      <c r="D169" s="2945"/>
      <c r="E169" s="2945"/>
      <c r="F169" s="2945">
        <v>2880</v>
      </c>
      <c r="G169" s="2945"/>
    </row>
    <row r="170" spans="1:7" s="2779" customFormat="1" ht="14.25" customHeight="1">
      <c r="A170" s="2945" t="s">
        <v>29</v>
      </c>
      <c r="B170" s="2945" t="s">
        <v>3041</v>
      </c>
      <c r="C170" s="2945"/>
      <c r="D170" s="2945"/>
      <c r="E170" s="2945"/>
      <c r="F170" s="2945">
        <v>2880</v>
      </c>
      <c r="G170" s="2945"/>
    </row>
    <row r="171" spans="1:7" s="2779" customFormat="1" ht="14.25" customHeight="1">
      <c r="A171" s="2945" t="s">
        <v>29</v>
      </c>
      <c r="B171" s="2945" t="s">
        <v>3044</v>
      </c>
      <c r="C171" s="2945"/>
      <c r="D171" s="2945"/>
      <c r="E171" s="2945"/>
      <c r="F171" s="2945">
        <v>2880</v>
      </c>
      <c r="G171" s="2945"/>
    </row>
    <row r="172" spans="1:7" s="2779" customFormat="1" ht="14.25" customHeight="1">
      <c r="A172" s="2945" t="s">
        <v>29</v>
      </c>
      <c r="B172" s="2945" t="s">
        <v>3046</v>
      </c>
      <c r="C172" s="2945"/>
      <c r="D172" s="2945"/>
      <c r="E172" s="2945"/>
      <c r="F172" s="2945">
        <v>2880</v>
      </c>
      <c r="G172" s="2945"/>
    </row>
    <row r="173" spans="1:7" s="2779" customFormat="1" ht="14.25" customHeight="1">
      <c r="A173" s="2945" t="s">
        <v>29</v>
      </c>
      <c r="B173" s="2945" t="s">
        <v>3048</v>
      </c>
      <c r="C173" s="2945"/>
      <c r="D173" s="2945"/>
      <c r="E173" s="2945"/>
      <c r="F173" s="2945">
        <v>2150</v>
      </c>
      <c r="G173" s="2945"/>
    </row>
    <row r="174" spans="1:7" s="2779" customFormat="1" ht="14.25" customHeight="1">
      <c r="A174" s="2945" t="s">
        <v>29</v>
      </c>
      <c r="B174" s="2945" t="s">
        <v>3050</v>
      </c>
      <c r="C174" s="2945"/>
      <c r="D174" s="2945"/>
      <c r="E174" s="2945"/>
      <c r="F174" s="2945">
        <v>2030</v>
      </c>
      <c r="G174" s="2945"/>
    </row>
    <row r="175" spans="1:7" s="2779" customFormat="1" ht="14.25" customHeight="1">
      <c r="A175" s="2945" t="s">
        <v>29</v>
      </c>
      <c r="B175" s="2945" t="s">
        <v>3052</v>
      </c>
      <c r="C175" s="2945"/>
      <c r="D175" s="2945"/>
      <c r="E175" s="2945"/>
      <c r="F175" s="2945">
        <v>2780</v>
      </c>
      <c r="G175" s="2945"/>
    </row>
    <row r="176" spans="1:7" s="2779" customFormat="1" ht="14.25" customHeight="1">
      <c r="A176" s="2945" t="s">
        <v>29</v>
      </c>
      <c r="B176" s="2945" t="s">
        <v>3054</v>
      </c>
      <c r="C176" s="2945"/>
      <c r="D176" s="2945"/>
      <c r="E176" s="2945"/>
      <c r="F176" s="2945">
        <v>2780</v>
      </c>
      <c r="G176" s="2945"/>
    </row>
    <row r="177" spans="1:7" s="2779" customFormat="1" ht="14.25" customHeight="1">
      <c r="A177" s="2945" t="s">
        <v>29</v>
      </c>
      <c r="B177" s="2945" t="s">
        <v>3086</v>
      </c>
      <c r="C177" s="2945"/>
      <c r="D177" s="2945"/>
      <c r="E177" s="2945"/>
      <c r="F177" s="2945">
        <v>2780</v>
      </c>
      <c r="G177" s="2945"/>
    </row>
    <row r="178" spans="1:7" s="2779" customFormat="1" ht="14.25" customHeight="1">
      <c r="A178" s="2945" t="s">
        <v>29</v>
      </c>
      <c r="B178" s="2945" t="s">
        <v>3087</v>
      </c>
      <c r="C178" s="2945"/>
      <c r="D178" s="2945"/>
      <c r="E178" s="2945"/>
      <c r="F178" s="2945">
        <v>2060</v>
      </c>
      <c r="G178" s="2945"/>
    </row>
    <row r="179" spans="1:7" s="2779" customFormat="1" ht="14.25" customHeight="1">
      <c r="A179" s="2945" t="s">
        <v>29</v>
      </c>
      <c r="B179" s="2945" t="s">
        <v>3088</v>
      </c>
      <c r="C179" s="2945"/>
      <c r="D179" s="2945"/>
      <c r="E179" s="2945"/>
      <c r="F179" s="2945">
        <v>2120</v>
      </c>
      <c r="G179" s="2945"/>
    </row>
    <row r="180" spans="1:7" s="2779" customFormat="1" ht="14.25" customHeight="1">
      <c r="A180" s="2945" t="s">
        <v>29</v>
      </c>
      <c r="B180" s="2945" t="s">
        <v>3060</v>
      </c>
      <c r="C180" s="2945"/>
      <c r="D180" s="2945"/>
      <c r="E180" s="2945"/>
      <c r="F180" s="2945">
        <v>2340</v>
      </c>
      <c r="G180" s="2945"/>
    </row>
    <row r="181" spans="1:7" s="2779" customFormat="1" ht="14.25" customHeight="1">
      <c r="A181" s="2945" t="s">
        <v>29</v>
      </c>
      <c r="B181" s="2945" t="s">
        <v>3061</v>
      </c>
      <c r="C181" s="2945"/>
      <c r="D181" s="2945"/>
      <c r="E181" s="2945"/>
      <c r="F181" s="2945">
        <v>2340</v>
      </c>
      <c r="G181" s="2945"/>
    </row>
    <row r="182" spans="1:7" s="2779" customFormat="1" ht="14.25" customHeight="1">
      <c r="A182" s="2945" t="s">
        <v>29</v>
      </c>
      <c r="B182" s="2945" t="s">
        <v>3062</v>
      </c>
      <c r="C182" s="2945"/>
      <c r="D182" s="2945"/>
      <c r="E182" s="2945"/>
      <c r="F182" s="2945">
        <v>2340</v>
      </c>
      <c r="G182" s="2945"/>
    </row>
    <row r="183" spans="1:7" s="2779" customFormat="1" ht="14.25" customHeight="1">
      <c r="A183" s="2945" t="s">
        <v>29</v>
      </c>
      <c r="B183" s="2945" t="s">
        <v>3063</v>
      </c>
      <c r="C183" s="2945"/>
      <c r="D183" s="2945"/>
      <c r="E183" s="2945"/>
      <c r="F183" s="2945">
        <v>2340</v>
      </c>
      <c r="G183" s="2945"/>
    </row>
    <row r="184" spans="1:7" s="2779" customFormat="1" ht="14.25" customHeight="1">
      <c r="A184" s="2945" t="s">
        <v>29</v>
      </c>
      <c r="B184" s="2945" t="s">
        <v>3064</v>
      </c>
      <c r="C184" s="2945"/>
      <c r="D184" s="2945"/>
      <c r="E184" s="2945"/>
      <c r="F184" s="2945">
        <v>2340</v>
      </c>
      <c r="G184" s="2945"/>
    </row>
    <row r="185" spans="1:7" s="2779" customFormat="1" ht="14.25" customHeight="1">
      <c r="A185" s="2945" t="s">
        <v>29</v>
      </c>
      <c r="B185" s="2945" t="s">
        <v>3065</v>
      </c>
      <c r="C185" s="2945"/>
      <c r="D185" s="2945"/>
      <c r="E185" s="2945"/>
      <c r="F185" s="2945">
        <v>2530</v>
      </c>
      <c r="G185" s="2945"/>
    </row>
    <row r="186" spans="1:7" s="2779" customFormat="1" ht="14.25" customHeight="1">
      <c r="A186" s="2945" t="s">
        <v>29</v>
      </c>
      <c r="B186" s="2945" t="s">
        <v>3066</v>
      </c>
      <c r="C186" s="2945"/>
      <c r="D186" s="2945"/>
      <c r="E186" s="2945"/>
      <c r="F186" s="2945">
        <v>2550</v>
      </c>
      <c r="G186" s="2945"/>
    </row>
    <row r="187" spans="1:7" s="2779" customFormat="1" ht="14.25" customHeight="1">
      <c r="A187" s="2945" t="s">
        <v>29</v>
      </c>
      <c r="B187" s="2945" t="s">
        <v>3067</v>
      </c>
      <c r="C187" s="2945"/>
      <c r="D187" s="2945"/>
      <c r="E187" s="2945"/>
      <c r="F187" s="2945">
        <v>2070</v>
      </c>
      <c r="G187" s="2945"/>
    </row>
    <row r="188" spans="1:7" s="2779" customFormat="1" ht="14.25" customHeight="1">
      <c r="A188" s="2945" t="s">
        <v>29</v>
      </c>
      <c r="B188" s="2945" t="s">
        <v>3068</v>
      </c>
      <c r="C188" s="2945"/>
      <c r="D188" s="2945"/>
      <c r="E188" s="2945"/>
      <c r="F188" s="2945">
        <v>2340</v>
      </c>
      <c r="G188" s="2945"/>
    </row>
    <row r="189" spans="1:7" s="2779" customFormat="1" ht="14.25" customHeight="1" thickBot="1">
      <c r="A189" s="2953" t="s">
        <v>29</v>
      </c>
      <c r="B189" s="2956" t="s">
        <v>3069</v>
      </c>
      <c r="C189" s="2956"/>
      <c r="D189" s="2956"/>
      <c r="E189" s="2956"/>
      <c r="F189" s="2956">
        <v>2050</v>
      </c>
      <c r="G189" s="2956"/>
    </row>
    <row r="190" spans="1:7" s="2779" customFormat="1" ht="14.25" customHeight="1">
      <c r="A190" s="2950" t="s">
        <v>304</v>
      </c>
      <c r="B190" s="2941" t="s">
        <v>3089</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3090</v>
      </c>
      <c r="C199" s="2945">
        <v>8690</v>
      </c>
      <c r="D199" s="2945">
        <v>8630</v>
      </c>
      <c r="E199" s="2945">
        <v>11350</v>
      </c>
      <c r="F199" s="2945">
        <v>1600</v>
      </c>
      <c r="G199" s="2958">
        <v>5450</v>
      </c>
    </row>
    <row r="200" spans="1:7" s="2779" customFormat="1" ht="14.25" customHeight="1">
      <c r="A200" s="2945" t="s">
        <v>304</v>
      </c>
      <c r="B200" s="2945" t="s">
        <v>2901</v>
      </c>
      <c r="C200" s="2945"/>
      <c r="D200" s="2945"/>
      <c r="E200" s="2945"/>
      <c r="F200" s="2945">
        <v>1510</v>
      </c>
      <c r="G200" s="2958"/>
    </row>
    <row r="201" spans="1:7" s="2779" customFormat="1" ht="14.25" customHeight="1">
      <c r="A201" s="2945" t="s">
        <v>304</v>
      </c>
      <c r="B201" s="2945" t="s">
        <v>3091</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3092</v>
      </c>
      <c r="C203" s="2945">
        <v>8130</v>
      </c>
      <c r="D203" s="2945">
        <v>8070</v>
      </c>
      <c r="E203" s="2945">
        <v>10820</v>
      </c>
      <c r="F203" s="2945">
        <v>1690</v>
      </c>
      <c r="G203" s="2958">
        <v>5100</v>
      </c>
    </row>
    <row r="204" spans="1:7" s="2779" customFormat="1" ht="14.25" customHeight="1">
      <c r="A204" s="2945" t="s">
        <v>304</v>
      </c>
      <c r="B204" s="2945" t="s">
        <v>2912</v>
      </c>
      <c r="C204" s="2945">
        <v>8350</v>
      </c>
      <c r="D204" s="2945">
        <v>8290</v>
      </c>
      <c r="E204" s="2945">
        <v>11080</v>
      </c>
      <c r="F204" s="2945">
        <v>1450</v>
      </c>
      <c r="G204" s="2958">
        <v>5240</v>
      </c>
    </row>
    <row r="205" spans="1:7" s="2779" customFormat="1" ht="14.25" customHeight="1">
      <c r="A205" s="2945" t="s">
        <v>304</v>
      </c>
      <c r="B205" s="2945" t="s">
        <v>2914</v>
      </c>
      <c r="C205" s="2945">
        <v>7190</v>
      </c>
      <c r="D205" s="2945">
        <v>7130</v>
      </c>
      <c r="E205" s="2945">
        <v>9490</v>
      </c>
      <c r="F205" s="2945">
        <v>1470</v>
      </c>
      <c r="G205" s="2958">
        <v>4510</v>
      </c>
    </row>
    <row r="206" spans="1:7" s="2779" customFormat="1" ht="14.25" customHeight="1">
      <c r="A206" s="2945" t="s">
        <v>304</v>
      </c>
      <c r="B206" s="2945" t="s">
        <v>2917</v>
      </c>
      <c r="C206" s="2945">
        <v>7000</v>
      </c>
      <c r="D206" s="2945">
        <v>6950</v>
      </c>
      <c r="E206" s="2945">
        <v>9170</v>
      </c>
      <c r="F206" s="2945">
        <v>1400</v>
      </c>
      <c r="G206" s="2958">
        <v>4380</v>
      </c>
    </row>
    <row r="207" spans="1:7" s="2779" customFormat="1" ht="14.25" customHeight="1">
      <c r="A207" s="2945" t="s">
        <v>304</v>
      </c>
      <c r="B207" s="2945" t="s">
        <v>2919</v>
      </c>
      <c r="C207" s="2945">
        <v>6950</v>
      </c>
      <c r="D207" s="2945">
        <v>6900</v>
      </c>
      <c r="E207" s="2945">
        <v>9110</v>
      </c>
      <c r="F207" s="2945">
        <v>1790</v>
      </c>
      <c r="G207" s="2958">
        <v>4360</v>
      </c>
    </row>
    <row r="208" spans="1:7" s="2779" customFormat="1" ht="14.25" customHeight="1">
      <c r="A208" s="2945" t="s">
        <v>304</v>
      </c>
      <c r="B208" s="2945" t="s">
        <v>3093</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2929</v>
      </c>
      <c r="C210" s="2945">
        <v>8710</v>
      </c>
      <c r="D210" s="2945">
        <v>8660</v>
      </c>
      <c r="E210" s="2945">
        <v>11440</v>
      </c>
      <c r="F210" s="2945">
        <v>1740</v>
      </c>
      <c r="G210" s="2958">
        <v>5470</v>
      </c>
    </row>
    <row r="211" spans="1:7" s="2779" customFormat="1" ht="14.25" customHeight="1">
      <c r="A211" s="2945" t="s">
        <v>304</v>
      </c>
      <c r="B211" s="2945" t="s">
        <v>3094</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3095</v>
      </c>
      <c r="C214" s="2945">
        <v>8090</v>
      </c>
      <c r="D214" s="2945">
        <v>8030</v>
      </c>
      <c r="E214" s="2945">
        <v>10780</v>
      </c>
      <c r="F214" s="2945">
        <v>1570</v>
      </c>
      <c r="G214" s="2958">
        <v>5070</v>
      </c>
    </row>
    <row r="215" spans="1:7" s="2779" customFormat="1" ht="14.25" customHeight="1">
      <c r="A215" s="2945" t="s">
        <v>304</v>
      </c>
      <c r="B215" s="2945" t="s">
        <v>3096</v>
      </c>
      <c r="C215" s="2945">
        <v>7950</v>
      </c>
      <c r="D215" s="2945">
        <v>7900</v>
      </c>
      <c r="E215" s="2945">
        <v>10560</v>
      </c>
      <c r="F215" s="2945">
        <v>1630</v>
      </c>
      <c r="G215" s="2958">
        <v>4990</v>
      </c>
    </row>
    <row r="216" spans="1:7" s="2779" customFormat="1" ht="14.25" customHeight="1">
      <c r="A216" s="2945" t="s">
        <v>304</v>
      </c>
      <c r="B216" s="2945" t="s">
        <v>3097</v>
      </c>
      <c r="C216" s="2945">
        <v>8490</v>
      </c>
      <c r="D216" s="2945">
        <v>8440</v>
      </c>
      <c r="E216" s="2945">
        <v>11260</v>
      </c>
      <c r="F216" s="2945">
        <v>1690</v>
      </c>
      <c r="G216" s="2958">
        <v>5330</v>
      </c>
    </row>
    <row r="217" spans="1:7" s="2779" customFormat="1" ht="14.25" customHeight="1">
      <c r="A217" s="2945" t="s">
        <v>304</v>
      </c>
      <c r="B217" s="2945" t="s">
        <v>2962</v>
      </c>
      <c r="C217" s="2945">
        <v>8200</v>
      </c>
      <c r="D217" s="2945">
        <v>8150</v>
      </c>
      <c r="E217" s="2945">
        <v>10910</v>
      </c>
      <c r="F217" s="2945">
        <v>1670</v>
      </c>
      <c r="G217" s="2958">
        <v>5150</v>
      </c>
    </row>
    <row r="218" spans="1:7" s="2779" customFormat="1" ht="14.25" customHeight="1">
      <c r="A218" s="2945" t="s">
        <v>304</v>
      </c>
      <c r="B218" s="2945" t="s">
        <v>3098</v>
      </c>
      <c r="C218" s="2945"/>
      <c r="D218" s="2945"/>
      <c r="E218" s="2945"/>
      <c r="F218" s="2945">
        <v>2040</v>
      </c>
      <c r="G218" s="2958"/>
    </row>
    <row r="219" spans="1:7" s="2779" customFormat="1" ht="14.25" customHeight="1">
      <c r="A219" s="2945" t="s">
        <v>304</v>
      </c>
      <c r="B219" s="2945" t="s">
        <v>3099</v>
      </c>
      <c r="C219" s="2945"/>
      <c r="D219" s="2945"/>
      <c r="E219" s="2945"/>
      <c r="F219" s="2945">
        <v>2040</v>
      </c>
      <c r="G219" s="2958"/>
    </row>
    <row r="220" spans="1:7" s="2779" customFormat="1" ht="14.25" customHeight="1">
      <c r="A220" s="2945" t="s">
        <v>304</v>
      </c>
      <c r="B220" s="2945" t="s">
        <v>3100</v>
      </c>
      <c r="C220" s="2945"/>
      <c r="D220" s="2945"/>
      <c r="E220" s="2945"/>
      <c r="F220" s="2945">
        <v>2040</v>
      </c>
      <c r="G220" s="2958"/>
    </row>
    <row r="221" spans="1:7" s="2779" customFormat="1" ht="14.25" customHeight="1">
      <c r="A221" s="2945" t="s">
        <v>304</v>
      </c>
      <c r="B221" s="2945" t="s">
        <v>3101</v>
      </c>
      <c r="C221" s="2945"/>
      <c r="D221" s="2945"/>
      <c r="E221" s="2945"/>
      <c r="F221" s="2945">
        <v>2040</v>
      </c>
      <c r="G221" s="2958"/>
    </row>
    <row r="222" spans="1:7" s="2779" customFormat="1" ht="14.25" customHeight="1">
      <c r="A222" s="2945" t="s">
        <v>304</v>
      </c>
      <c r="B222" s="2945" t="s">
        <v>3102</v>
      </c>
      <c r="C222" s="2945"/>
      <c r="D222" s="2945"/>
      <c r="E222" s="2945"/>
      <c r="F222" s="2945">
        <v>2040</v>
      </c>
      <c r="G222" s="2958"/>
    </row>
    <row r="223" spans="1:7" s="2779" customFormat="1" ht="14.25" customHeight="1">
      <c r="A223" s="2945" t="s">
        <v>304</v>
      </c>
      <c r="B223" s="2945" t="s">
        <v>3103</v>
      </c>
      <c r="C223" s="2945"/>
      <c r="D223" s="2945"/>
      <c r="E223" s="2945"/>
      <c r="F223" s="2945">
        <v>1930</v>
      </c>
      <c r="G223" s="2958"/>
    </row>
    <row r="224" spans="1:7" s="2779" customFormat="1" ht="14.25" customHeight="1">
      <c r="A224" s="2945" t="s">
        <v>304</v>
      </c>
      <c r="B224" s="2945" t="s">
        <v>3104</v>
      </c>
      <c r="C224" s="2945"/>
      <c r="D224" s="2945"/>
      <c r="E224" s="2945"/>
      <c r="F224" s="2945">
        <v>1930</v>
      </c>
      <c r="G224" s="2958"/>
    </row>
    <row r="225" spans="1:7" s="2779" customFormat="1" ht="14.25" customHeight="1">
      <c r="A225" s="2945" t="s">
        <v>304</v>
      </c>
      <c r="B225" s="2945" t="s">
        <v>3105</v>
      </c>
      <c r="C225" s="2945"/>
      <c r="D225" s="2945"/>
      <c r="E225" s="2945"/>
      <c r="F225" s="2945">
        <v>1930</v>
      </c>
      <c r="G225" s="2958"/>
    </row>
    <row r="226" spans="1:7" s="2779" customFormat="1" ht="14.25" customHeight="1">
      <c r="A226" s="2945" t="s">
        <v>304</v>
      </c>
      <c r="B226" s="2945" t="s">
        <v>3106</v>
      </c>
      <c r="C226" s="2945"/>
      <c r="D226" s="2945"/>
      <c r="E226" s="2945"/>
      <c r="F226" s="2945">
        <v>1700</v>
      </c>
      <c r="G226" s="2958"/>
    </row>
    <row r="227" spans="1:7" s="2779" customFormat="1" ht="14.25" customHeight="1">
      <c r="A227" s="2945" t="s">
        <v>304</v>
      </c>
      <c r="B227" s="2945" t="s">
        <v>3107</v>
      </c>
      <c r="C227" s="2945"/>
      <c r="D227" s="2945"/>
      <c r="E227" s="2945"/>
      <c r="F227" s="2945">
        <v>1520</v>
      </c>
      <c r="G227" s="2958"/>
    </row>
    <row r="228" spans="1:7" s="2779" customFormat="1" ht="14.25" customHeight="1">
      <c r="A228" s="2945" t="s">
        <v>304</v>
      </c>
      <c r="B228" s="2945" t="s">
        <v>3108</v>
      </c>
      <c r="C228" s="2945"/>
      <c r="D228" s="2945"/>
      <c r="E228" s="2945"/>
      <c r="F228" s="2945">
        <v>1520</v>
      </c>
      <c r="G228" s="2958"/>
    </row>
    <row r="229" spans="1:7" s="2779" customFormat="1" ht="14.25" customHeight="1">
      <c r="A229" s="2945" t="s">
        <v>304</v>
      </c>
      <c r="B229" s="2945" t="s">
        <v>3025</v>
      </c>
      <c r="C229" s="2945"/>
      <c r="D229" s="2945"/>
      <c r="E229" s="2945"/>
      <c r="F229" s="2945">
        <v>1520</v>
      </c>
      <c r="G229" s="2958"/>
    </row>
    <row r="230" spans="1:7" s="2779" customFormat="1" ht="14.25" customHeight="1">
      <c r="A230" s="2945" t="s">
        <v>304</v>
      </c>
      <c r="B230" s="2945" t="s">
        <v>3109</v>
      </c>
      <c r="C230" s="2945"/>
      <c r="D230" s="2945"/>
      <c r="E230" s="2945"/>
      <c r="F230" s="2945">
        <v>1820</v>
      </c>
      <c r="G230" s="2958"/>
    </row>
    <row r="231" spans="1:7" s="2779" customFormat="1" ht="14.25" customHeight="1">
      <c r="A231" s="2945" t="s">
        <v>304</v>
      </c>
      <c r="B231" s="2945" t="s">
        <v>3110</v>
      </c>
      <c r="C231" s="2945"/>
      <c r="D231" s="2945"/>
      <c r="E231" s="2945"/>
      <c r="F231" s="2945">
        <v>1760</v>
      </c>
      <c r="G231" s="2958"/>
    </row>
    <row r="232" spans="1:7" s="2779" customFormat="1" ht="14.25" customHeight="1">
      <c r="A232" s="2945" t="s">
        <v>304</v>
      </c>
      <c r="B232" s="2945" t="s">
        <v>3111</v>
      </c>
      <c r="C232" s="2945"/>
      <c r="D232" s="2945"/>
      <c r="E232" s="2945"/>
      <c r="F232" s="2945">
        <v>1840</v>
      </c>
      <c r="G232" s="2958"/>
    </row>
    <row r="233" spans="1:7" s="2779" customFormat="1" ht="14.25" customHeight="1" thickBot="1">
      <c r="A233" s="2959" t="s">
        <v>304</v>
      </c>
      <c r="B233" s="2952" t="s">
        <v>3042</v>
      </c>
      <c r="C233" s="2952"/>
      <c r="D233" s="2952"/>
      <c r="E233" s="2952"/>
      <c r="F233" s="2952">
        <v>1770</v>
      </c>
      <c r="G233" s="2960"/>
    </row>
    <row r="234" spans="1:7" s="2779" customFormat="1" ht="14.25" customHeight="1">
      <c r="A234" s="2950" t="s">
        <v>305</v>
      </c>
      <c r="B234" s="2941" t="s">
        <v>3112</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2883</v>
      </c>
      <c r="C238" s="2945">
        <v>6920</v>
      </c>
      <c r="D238" s="2945">
        <v>6890</v>
      </c>
      <c r="E238" s="2945">
        <v>8640</v>
      </c>
      <c r="F238" s="2945">
        <v>1310</v>
      </c>
      <c r="G238" s="2945">
        <v>4230</v>
      </c>
    </row>
    <row r="239" spans="1:7" s="2779" customFormat="1" ht="14.25" customHeight="1">
      <c r="A239" s="2945" t="s">
        <v>305</v>
      </c>
      <c r="B239" s="2945" t="s">
        <v>3113</v>
      </c>
      <c r="C239" s="2945">
        <v>6780</v>
      </c>
      <c r="D239" s="2945">
        <v>6750</v>
      </c>
      <c r="E239" s="2945">
        <v>8440</v>
      </c>
      <c r="F239" s="2945">
        <v>1160</v>
      </c>
      <c r="G239" s="2945">
        <v>4140</v>
      </c>
    </row>
    <row r="240" spans="1:7" s="2779" customFormat="1" ht="14.25" customHeight="1">
      <c r="A240" s="2945" t="s">
        <v>305</v>
      </c>
      <c r="B240" s="2945" t="s">
        <v>3114</v>
      </c>
      <c r="C240" s="2945">
        <v>5420</v>
      </c>
      <c r="D240" s="2945">
        <v>5380</v>
      </c>
      <c r="E240" s="2945">
        <v>6640</v>
      </c>
      <c r="F240" s="2945">
        <v>1020</v>
      </c>
      <c r="G240" s="2945">
        <v>3300</v>
      </c>
    </row>
    <row r="241" spans="1:7" s="2779" customFormat="1" ht="14.25" customHeight="1">
      <c r="A241" s="2945" t="s">
        <v>305</v>
      </c>
      <c r="B241" s="2945" t="s">
        <v>3115</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3116</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3117</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3118</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3119</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3120</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2945</v>
      </c>
      <c r="C258" s="2945">
        <v>6190</v>
      </c>
      <c r="D258" s="2945">
        <v>6160</v>
      </c>
      <c r="E258" s="2945">
        <v>7680</v>
      </c>
      <c r="F258" s="2945">
        <v>1170</v>
      </c>
      <c r="G258" s="2945">
        <v>3780</v>
      </c>
    </row>
    <row r="259" spans="1:7" s="2779" customFormat="1" ht="14.25" customHeight="1">
      <c r="A259" s="2945" t="s">
        <v>305</v>
      </c>
      <c r="B259" s="2945" t="s">
        <v>3121</v>
      </c>
      <c r="C259" s="2945">
        <v>7610</v>
      </c>
      <c r="D259" s="2945">
        <v>7570</v>
      </c>
      <c r="E259" s="2945">
        <v>9350</v>
      </c>
      <c r="F259" s="2945">
        <v>1350</v>
      </c>
      <c r="G259" s="2945">
        <v>4650</v>
      </c>
    </row>
    <row r="260" spans="1:7" s="2779" customFormat="1" ht="14.25" customHeight="1">
      <c r="A260" s="2945" t="s">
        <v>305</v>
      </c>
      <c r="B260" s="2945" t="s">
        <v>3122</v>
      </c>
      <c r="C260" s="2945">
        <v>6920</v>
      </c>
      <c r="D260" s="2945">
        <v>6880</v>
      </c>
      <c r="E260" s="2945">
        <v>8380</v>
      </c>
      <c r="F260" s="2945">
        <v>1160</v>
      </c>
      <c r="G260" s="2945">
        <v>4220</v>
      </c>
    </row>
    <row r="261" spans="1:7" s="2779" customFormat="1" ht="14.25" customHeight="1">
      <c r="A261" s="2945" t="s">
        <v>305</v>
      </c>
      <c r="B261" s="2945" t="s">
        <v>3123</v>
      </c>
      <c r="C261" s="2945">
        <v>6850</v>
      </c>
      <c r="D261" s="2945">
        <v>6810</v>
      </c>
      <c r="E261" s="2945">
        <v>8290</v>
      </c>
      <c r="F261" s="2945">
        <v>1130</v>
      </c>
      <c r="G261" s="2945">
        <v>4180</v>
      </c>
    </row>
    <row r="262" spans="1:7" s="2779" customFormat="1" ht="14.25" customHeight="1">
      <c r="A262" s="2945" t="s">
        <v>305</v>
      </c>
      <c r="B262" s="2945" t="s">
        <v>3124</v>
      </c>
      <c r="C262" s="2945">
        <v>5860</v>
      </c>
      <c r="D262" s="2945">
        <v>5820</v>
      </c>
      <c r="E262" s="2945">
        <v>7640</v>
      </c>
      <c r="F262" s="2945">
        <v>1070</v>
      </c>
      <c r="G262" s="2945">
        <v>3570</v>
      </c>
    </row>
    <row r="263" spans="1:7" s="2779" customFormat="1" ht="14.25" customHeight="1">
      <c r="A263" s="2945" t="s">
        <v>305</v>
      </c>
      <c r="B263" s="2945" t="s">
        <v>3125</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3126</v>
      </c>
      <c r="C265" s="2945"/>
      <c r="D265" s="2945"/>
      <c r="E265" s="2945"/>
      <c r="F265" s="2945">
        <v>1500</v>
      </c>
      <c r="G265" s="2945"/>
    </row>
    <row r="266" spans="1:7" s="2779" customFormat="1" ht="14.25" customHeight="1">
      <c r="A266" s="2945" t="s">
        <v>305</v>
      </c>
      <c r="B266" s="2945" t="s">
        <v>3127</v>
      </c>
      <c r="C266" s="2945"/>
      <c r="D266" s="2945"/>
      <c r="E266" s="2945"/>
      <c r="F266" s="2945">
        <v>1500</v>
      </c>
      <c r="G266" s="2945"/>
    </row>
    <row r="267" spans="1:7" s="2779" customFormat="1" ht="14.25" customHeight="1">
      <c r="A267" s="2945" t="s">
        <v>305</v>
      </c>
      <c r="B267" s="2945" t="s">
        <v>3128</v>
      </c>
      <c r="C267" s="2945"/>
      <c r="D267" s="2945"/>
      <c r="E267" s="2945"/>
      <c r="F267" s="2945">
        <v>1500</v>
      </c>
      <c r="G267" s="2945"/>
    </row>
    <row r="268" spans="1:7" s="2779" customFormat="1" ht="14.25" customHeight="1">
      <c r="A268" s="2945" t="s">
        <v>305</v>
      </c>
      <c r="B268" s="2945" t="s">
        <v>3129</v>
      </c>
      <c r="C268" s="2945"/>
      <c r="D268" s="2945"/>
      <c r="E268" s="2945"/>
      <c r="F268" s="2945">
        <v>1290</v>
      </c>
      <c r="G268" s="2945"/>
    </row>
    <row r="269" spans="1:7" s="2779" customFormat="1" ht="14.25" customHeight="1">
      <c r="A269" s="2945" t="s">
        <v>305</v>
      </c>
      <c r="B269" s="2945" t="s">
        <v>3130</v>
      </c>
      <c r="C269" s="2945"/>
      <c r="D269" s="2945"/>
      <c r="E269" s="2945"/>
      <c r="F269" s="2945">
        <v>1150</v>
      </c>
      <c r="G269" s="2945"/>
    </row>
    <row r="270" spans="1:7" s="2779" customFormat="1" ht="14.25" customHeight="1">
      <c r="A270" s="2945" t="s">
        <v>305</v>
      </c>
      <c r="B270" s="2945" t="s">
        <v>3131</v>
      </c>
      <c r="C270" s="2945"/>
      <c r="D270" s="2945"/>
      <c r="E270" s="2945"/>
      <c r="F270" s="2945">
        <v>1380</v>
      </c>
      <c r="G270" s="2945"/>
    </row>
    <row r="271" spans="1:7" s="2779" customFormat="1" ht="14.25" customHeight="1">
      <c r="A271" s="2945" t="s">
        <v>305</v>
      </c>
      <c r="B271" s="2945" t="s">
        <v>3132</v>
      </c>
      <c r="C271" s="2945"/>
      <c r="D271" s="2945"/>
      <c r="E271" s="2945"/>
      <c r="F271" s="2945">
        <v>1460</v>
      </c>
      <c r="G271" s="2945"/>
    </row>
    <row r="272" spans="1:7" s="2779" customFormat="1" ht="14.25" customHeight="1">
      <c r="A272" s="2945" t="s">
        <v>305</v>
      </c>
      <c r="B272" s="2945" t="s">
        <v>3133</v>
      </c>
      <c r="C272" s="2945"/>
      <c r="D272" s="2945"/>
      <c r="E272" s="2945"/>
      <c r="F272" s="2945">
        <v>1460</v>
      </c>
      <c r="G272" s="2945"/>
    </row>
    <row r="273" spans="1:7" s="2779" customFormat="1" ht="14.25" customHeight="1">
      <c r="A273" s="2945" t="s">
        <v>305</v>
      </c>
      <c r="B273" s="2945" t="s">
        <v>3026</v>
      </c>
      <c r="C273" s="2945"/>
      <c r="D273" s="2945"/>
      <c r="E273" s="2945"/>
      <c r="F273" s="2945">
        <v>1490</v>
      </c>
      <c r="G273" s="2945"/>
    </row>
    <row r="274" spans="1:7" s="2779" customFormat="1" ht="14.25" customHeight="1">
      <c r="A274" s="2945" t="s">
        <v>305</v>
      </c>
      <c r="B274" s="2945" t="s">
        <v>3134</v>
      </c>
      <c r="C274" s="2945"/>
      <c r="D274" s="2945"/>
      <c r="E274" s="2945"/>
      <c r="F274" s="2945">
        <v>1490</v>
      </c>
      <c r="G274" s="2945"/>
    </row>
    <row r="275" spans="1:7" s="2779" customFormat="1" ht="14.25" customHeight="1">
      <c r="A275" s="2945" t="s">
        <v>305</v>
      </c>
      <c r="B275" s="2945" t="s">
        <v>3135</v>
      </c>
      <c r="C275" s="2945"/>
      <c r="D275" s="2945"/>
      <c r="E275" s="2945"/>
      <c r="F275" s="2945">
        <v>1220</v>
      </c>
      <c r="G275" s="2945"/>
    </row>
    <row r="276" spans="1:7" s="2779" customFormat="1" ht="14.25" customHeight="1" thickBot="1">
      <c r="A276" s="2953" t="s">
        <v>305</v>
      </c>
      <c r="B276" s="2955" t="s">
        <v>3136</v>
      </c>
      <c r="C276" s="2956"/>
      <c r="D276" s="2956"/>
      <c r="E276" s="2956"/>
      <c r="F276" s="2956">
        <v>1380</v>
      </c>
      <c r="G276" s="2956"/>
    </row>
    <row r="277" spans="1:7" s="2779" customFormat="1" ht="14.25" customHeight="1">
      <c r="A277" s="2950" t="s">
        <v>306</v>
      </c>
      <c r="B277" s="2941" t="s">
        <v>3137</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3138</v>
      </c>
      <c r="C279" s="2945">
        <v>4760</v>
      </c>
      <c r="D279" s="2945">
        <v>4720</v>
      </c>
      <c r="E279" s="2945">
        <v>5540</v>
      </c>
      <c r="F279" s="2945">
        <v>810</v>
      </c>
      <c r="G279" s="2958">
        <v>2850</v>
      </c>
    </row>
    <row r="280" spans="1:7" s="2779" customFormat="1" ht="14.25" customHeight="1">
      <c r="A280" s="2945" t="s">
        <v>306</v>
      </c>
      <c r="B280" s="2945" t="s">
        <v>3139</v>
      </c>
      <c r="C280" s="2945">
        <v>4010</v>
      </c>
      <c r="D280" s="2945">
        <v>3950</v>
      </c>
      <c r="E280" s="2945">
        <v>4710</v>
      </c>
      <c r="F280" s="2945">
        <v>800</v>
      </c>
      <c r="G280" s="2958">
        <v>2390</v>
      </c>
    </row>
    <row r="281" spans="1:7" s="2779" customFormat="1" ht="14.25" customHeight="1">
      <c r="A281" s="2945" t="s">
        <v>306</v>
      </c>
      <c r="B281" s="2945" t="s">
        <v>3140</v>
      </c>
      <c r="C281" s="2945">
        <v>4480</v>
      </c>
      <c r="D281" s="2945">
        <v>4420</v>
      </c>
      <c r="E281" s="2945">
        <v>5230</v>
      </c>
      <c r="F281" s="2945">
        <v>870</v>
      </c>
      <c r="G281" s="2958">
        <v>2660</v>
      </c>
    </row>
    <row r="282" spans="1:7" s="2779" customFormat="1" ht="14.25" customHeight="1">
      <c r="A282" s="2945" t="s">
        <v>306</v>
      </c>
      <c r="B282" s="2945" t="s">
        <v>3141</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3142</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3143</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2918</v>
      </c>
      <c r="C293" s="2945">
        <v>5320</v>
      </c>
      <c r="D293" s="2945">
        <v>5270</v>
      </c>
      <c r="E293" s="2945">
        <v>6160</v>
      </c>
      <c r="F293" s="2945">
        <v>990</v>
      </c>
      <c r="G293" s="2958">
        <v>3170</v>
      </c>
    </row>
    <row r="294" spans="1:7" s="2779" customFormat="1" ht="14.25" customHeight="1">
      <c r="A294" s="2945" t="s">
        <v>306</v>
      </c>
      <c r="B294" s="2945" t="s">
        <v>3144</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2937</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3145</v>
      </c>
      <c r="C302" s="2945">
        <v>5520</v>
      </c>
      <c r="D302" s="2945">
        <v>5470</v>
      </c>
      <c r="E302" s="2945">
        <v>6410</v>
      </c>
      <c r="F302" s="2945">
        <v>950</v>
      </c>
      <c r="G302" s="2958">
        <v>3300</v>
      </c>
    </row>
    <row r="303" spans="1:7" s="2779" customFormat="1" ht="14.25" customHeight="1">
      <c r="A303" s="2945" t="s">
        <v>306</v>
      </c>
      <c r="B303" s="2945" t="s">
        <v>2957</v>
      </c>
      <c r="C303" s="2945">
        <v>5630</v>
      </c>
      <c r="D303" s="2945">
        <v>5590</v>
      </c>
      <c r="E303" s="2945">
        <v>6550</v>
      </c>
      <c r="F303" s="2945">
        <v>1010</v>
      </c>
      <c r="G303" s="2958">
        <v>3370</v>
      </c>
    </row>
    <row r="304" spans="1:7" s="2779" customFormat="1" ht="14.25" customHeight="1">
      <c r="A304" s="2945" t="s">
        <v>306</v>
      </c>
      <c r="B304" s="2945" t="s">
        <v>2964</v>
      </c>
      <c r="C304" s="2945">
        <v>5680</v>
      </c>
      <c r="D304" s="2945">
        <v>5620</v>
      </c>
      <c r="E304" s="2945">
        <v>6620</v>
      </c>
      <c r="F304" s="2945">
        <v>1050</v>
      </c>
      <c r="G304" s="2958">
        <v>3390</v>
      </c>
    </row>
    <row r="305" spans="1:7" s="2779" customFormat="1" ht="14.25" customHeight="1">
      <c r="A305" s="2945" t="s">
        <v>306</v>
      </c>
      <c r="B305" s="2945" t="s">
        <v>2970</v>
      </c>
      <c r="C305" s="2945">
        <v>5590</v>
      </c>
      <c r="D305" s="2945">
        <v>5530</v>
      </c>
      <c r="E305" s="2945">
        <v>6460</v>
      </c>
      <c r="F305" s="2945">
        <v>900</v>
      </c>
      <c r="G305" s="2958">
        <v>3340</v>
      </c>
    </row>
    <row r="306" spans="1:7" s="2779" customFormat="1" ht="14.25" customHeight="1">
      <c r="A306" s="2945" t="s">
        <v>306</v>
      </c>
      <c r="B306" s="2945" t="s">
        <v>3146</v>
      </c>
      <c r="C306" s="2945">
        <v>5560</v>
      </c>
      <c r="D306" s="2945">
        <v>5510</v>
      </c>
      <c r="E306" s="2945">
        <v>6440</v>
      </c>
      <c r="F306" s="2945">
        <v>900</v>
      </c>
      <c r="G306" s="2958">
        <v>3320</v>
      </c>
    </row>
    <row r="307" spans="1:7" s="2779" customFormat="1" ht="14.25" customHeight="1">
      <c r="A307" s="2945" t="s">
        <v>306</v>
      </c>
      <c r="B307" s="2945" t="s">
        <v>2982</v>
      </c>
      <c r="C307" s="2945">
        <v>5650</v>
      </c>
      <c r="D307" s="2945">
        <v>5600</v>
      </c>
      <c r="E307" s="2945">
        <v>6590</v>
      </c>
      <c r="F307" s="2945">
        <v>930</v>
      </c>
      <c r="G307" s="2958">
        <v>3380</v>
      </c>
    </row>
    <row r="308" spans="1:7" s="2779" customFormat="1" ht="14.25" customHeight="1">
      <c r="A308" s="2945" t="s">
        <v>306</v>
      </c>
      <c r="B308" s="2945" t="s">
        <v>3147</v>
      </c>
      <c r="C308" s="2945">
        <v>5620</v>
      </c>
      <c r="D308" s="2945">
        <v>5580</v>
      </c>
      <c r="E308" s="2945">
        <v>6540</v>
      </c>
      <c r="F308" s="2945">
        <v>910</v>
      </c>
      <c r="G308" s="2958">
        <v>3370</v>
      </c>
    </row>
    <row r="309" spans="1:7" s="2779" customFormat="1" ht="14.25" customHeight="1">
      <c r="A309" s="2945" t="s">
        <v>306</v>
      </c>
      <c r="B309" s="2945" t="s">
        <v>3148</v>
      </c>
      <c r="C309" s="2945">
        <v>5060</v>
      </c>
      <c r="D309" s="2945">
        <v>5020</v>
      </c>
      <c r="E309" s="2945">
        <v>6370</v>
      </c>
      <c r="F309" s="2945">
        <v>800</v>
      </c>
      <c r="G309" s="2958">
        <v>3020</v>
      </c>
    </row>
    <row r="310" spans="1:7" s="2779" customFormat="1" ht="14.25" customHeight="1">
      <c r="A310" s="2945" t="s">
        <v>306</v>
      </c>
      <c r="B310" s="2945" t="s">
        <v>2997</v>
      </c>
      <c r="C310" s="2945">
        <v>5150</v>
      </c>
      <c r="D310" s="2945">
        <v>5110</v>
      </c>
      <c r="E310" s="2945">
        <v>6500</v>
      </c>
      <c r="F310" s="2945">
        <v>880</v>
      </c>
      <c r="G310" s="2958">
        <v>3080</v>
      </c>
    </row>
    <row r="311" spans="1:7" s="2779" customFormat="1" ht="14.25" customHeight="1">
      <c r="A311" s="2945" t="s">
        <v>306</v>
      </c>
      <c r="B311" s="2945" t="s">
        <v>3149</v>
      </c>
      <c r="C311" s="2945">
        <v>4750</v>
      </c>
      <c r="D311" s="2945">
        <v>4710</v>
      </c>
      <c r="E311" s="2945">
        <v>5510</v>
      </c>
      <c r="F311" s="2945">
        <v>880</v>
      </c>
      <c r="G311" s="2958">
        <v>2840</v>
      </c>
    </row>
    <row r="312" spans="1:7" s="2779" customFormat="1" ht="14.25" customHeight="1">
      <c r="A312" s="2945" t="s">
        <v>306</v>
      </c>
      <c r="B312" s="2945" t="s">
        <v>3007</v>
      </c>
      <c r="C312" s="2945">
        <v>4690</v>
      </c>
      <c r="D312" s="2945">
        <v>4640</v>
      </c>
      <c r="E312" s="2945">
        <v>5420</v>
      </c>
      <c r="F312" s="2945">
        <v>800</v>
      </c>
      <c r="G312" s="2958">
        <v>2800</v>
      </c>
    </row>
    <row r="313" spans="1:7" s="2779" customFormat="1" ht="14.25" customHeight="1">
      <c r="A313" s="2945" t="s">
        <v>306</v>
      </c>
      <c r="B313" s="2945" t="s">
        <v>3012</v>
      </c>
      <c r="C313" s="2945">
        <v>4810</v>
      </c>
      <c r="D313" s="2945">
        <v>4760</v>
      </c>
      <c r="E313" s="2945">
        <v>5550</v>
      </c>
      <c r="F313" s="2945">
        <v>920</v>
      </c>
      <c r="G313" s="2958">
        <v>2870</v>
      </c>
    </row>
    <row r="314" spans="1:7" s="2779" customFormat="1" ht="14.25" customHeight="1">
      <c r="A314" s="2945" t="s">
        <v>306</v>
      </c>
      <c r="B314" s="2945" t="s">
        <v>3150</v>
      </c>
      <c r="C314" s="2945"/>
      <c r="D314" s="2945"/>
      <c r="E314" s="2945"/>
      <c r="F314" s="2945">
        <v>1020</v>
      </c>
      <c r="G314" s="2958"/>
    </row>
    <row r="315" spans="1:7" s="2779" customFormat="1" ht="14.25" customHeight="1">
      <c r="A315" s="2945" t="s">
        <v>306</v>
      </c>
      <c r="B315" s="2945" t="s">
        <v>3151</v>
      </c>
      <c r="C315" s="2945"/>
      <c r="D315" s="2945"/>
      <c r="E315" s="2945"/>
      <c r="F315" s="2945">
        <v>1050</v>
      </c>
      <c r="G315" s="2958"/>
    </row>
    <row r="316" spans="1:7" s="2779" customFormat="1" ht="14.25" customHeight="1">
      <c r="A316" s="2945" t="s">
        <v>306</v>
      </c>
      <c r="B316" s="2945" t="s">
        <v>3027</v>
      </c>
      <c r="C316" s="2945"/>
      <c r="D316" s="2945"/>
      <c r="E316" s="2945"/>
      <c r="F316" s="2945">
        <v>900</v>
      </c>
      <c r="G316" s="2958"/>
    </row>
    <row r="317" spans="1:7" s="2779" customFormat="1" ht="14.25" customHeight="1">
      <c r="A317" s="2945" t="s">
        <v>306</v>
      </c>
      <c r="B317" s="2945" t="s">
        <v>3152</v>
      </c>
      <c r="C317" s="2945"/>
      <c r="D317" s="2945"/>
      <c r="E317" s="2945"/>
      <c r="F317" s="2945">
        <v>920</v>
      </c>
      <c r="G317" s="2958"/>
    </row>
    <row r="318" spans="1:7" s="2779" customFormat="1" ht="14.25" customHeight="1">
      <c r="A318" s="2945" t="s">
        <v>306</v>
      </c>
      <c r="B318" s="2945" t="s">
        <v>3153</v>
      </c>
      <c r="C318" s="2945"/>
      <c r="D318" s="2945"/>
      <c r="E318" s="2945"/>
      <c r="F318" s="2945">
        <v>1080</v>
      </c>
      <c r="G318" s="2958"/>
    </row>
    <row r="319" spans="1:7" s="2779" customFormat="1" ht="14.25" customHeight="1">
      <c r="A319" s="2945" t="s">
        <v>306</v>
      </c>
      <c r="B319" s="2945" t="s">
        <v>3040</v>
      </c>
      <c r="C319" s="2945"/>
      <c r="D319" s="2945"/>
      <c r="E319" s="2945"/>
      <c r="F319" s="2945">
        <v>1020</v>
      </c>
      <c r="G319" s="2958"/>
    </row>
    <row r="320" spans="1:7" s="2779" customFormat="1" ht="14.25" customHeight="1">
      <c r="A320" s="2945" t="s">
        <v>306</v>
      </c>
      <c r="B320" s="2945" t="s">
        <v>3043</v>
      </c>
      <c r="C320" s="2945"/>
      <c r="D320" s="2945"/>
      <c r="E320" s="2945"/>
      <c r="F320" s="2945">
        <v>1050</v>
      </c>
      <c r="G320" s="2958"/>
    </row>
    <row r="321" spans="1:7" s="2779" customFormat="1" ht="14.25" customHeight="1">
      <c r="A321" s="2945" t="s">
        <v>306</v>
      </c>
      <c r="B321" s="2945" t="s">
        <v>3045</v>
      </c>
      <c r="C321" s="2945"/>
      <c r="D321" s="2945"/>
      <c r="E321" s="2945"/>
      <c r="F321" s="2945">
        <v>960</v>
      </c>
      <c r="G321" s="2958"/>
    </row>
    <row r="322" spans="1:7" s="2779" customFormat="1" ht="14.25" customHeight="1">
      <c r="A322" s="2945" t="s">
        <v>306</v>
      </c>
      <c r="B322" s="2945" t="s">
        <v>3047</v>
      </c>
      <c r="C322" s="2945"/>
      <c r="D322" s="2945"/>
      <c r="E322" s="2945"/>
      <c r="F322" s="2945">
        <v>960</v>
      </c>
      <c r="G322" s="2958"/>
    </row>
    <row r="323" spans="1:7" s="2779" customFormat="1" ht="14.25" customHeight="1">
      <c r="A323" s="2945" t="s">
        <v>306</v>
      </c>
      <c r="B323" s="2945" t="s">
        <v>3049</v>
      </c>
      <c r="C323" s="2945"/>
      <c r="D323" s="2945"/>
      <c r="E323" s="2945"/>
      <c r="F323" s="2945">
        <v>880</v>
      </c>
      <c r="G323" s="2958"/>
    </row>
    <row r="324" spans="1:7" s="2779" customFormat="1" ht="14.25" customHeight="1">
      <c r="A324" s="2945" t="s">
        <v>306</v>
      </c>
      <c r="B324" s="2945" t="s">
        <v>3051</v>
      </c>
      <c r="C324" s="2945"/>
      <c r="D324" s="2945"/>
      <c r="E324" s="2945"/>
      <c r="F324" s="2945">
        <v>930</v>
      </c>
      <c r="G324" s="2958"/>
    </row>
    <row r="325" spans="1:7" s="2779" customFormat="1" ht="14.25" customHeight="1">
      <c r="A325" s="2945" t="s">
        <v>306</v>
      </c>
      <c r="B325" s="2946" t="s">
        <v>3053</v>
      </c>
      <c r="C325" s="2945"/>
      <c r="D325" s="2945"/>
      <c r="E325" s="2945"/>
      <c r="F325" s="2945">
        <v>900</v>
      </c>
      <c r="G325" s="2958"/>
    </row>
    <row r="326" spans="1:7" s="2779" customFormat="1" ht="14.25" customHeight="1" thickBot="1">
      <c r="A326" s="2959" t="s">
        <v>306</v>
      </c>
      <c r="B326" s="2952" t="s">
        <v>3055</v>
      </c>
      <c r="C326" s="2952"/>
      <c r="D326" s="2952"/>
      <c r="E326" s="2952"/>
      <c r="F326" s="2952">
        <v>790</v>
      </c>
      <c r="G326" s="2960"/>
    </row>
    <row r="327" spans="1:7" s="2779" customFormat="1" ht="14.25" customHeight="1">
      <c r="A327" s="2950" t="s">
        <v>307</v>
      </c>
      <c r="B327" s="2941" t="s">
        <v>3154</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3155</v>
      </c>
      <c r="C329" s="2945">
        <v>2730</v>
      </c>
      <c r="D329" s="2945">
        <v>2690</v>
      </c>
      <c r="E329" s="2945">
        <v>3100</v>
      </c>
      <c r="F329" s="2945">
        <v>660</v>
      </c>
      <c r="G329" s="2945">
        <v>1610</v>
      </c>
    </row>
    <row r="330" spans="1:7" s="2779" customFormat="1" ht="14.25" customHeight="1">
      <c r="A330" s="2945" t="s">
        <v>307</v>
      </c>
      <c r="B330" s="2945" t="s">
        <v>3156</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2889</v>
      </c>
      <c r="C332" s="2945">
        <v>3520</v>
      </c>
      <c r="D332" s="2945">
        <v>3480</v>
      </c>
      <c r="E332" s="2945">
        <v>3830</v>
      </c>
      <c r="F332" s="2945">
        <v>720</v>
      </c>
      <c r="G332" s="2945">
        <v>2090</v>
      </c>
    </row>
    <row r="333" spans="1:7" s="2779" customFormat="1" ht="14.25" customHeight="1">
      <c r="A333" s="2945" t="s">
        <v>307</v>
      </c>
      <c r="B333" s="2945" t="s">
        <v>3157</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2899</v>
      </c>
      <c r="C336" s="2945">
        <v>3570</v>
      </c>
      <c r="D336" s="2945">
        <v>3530</v>
      </c>
      <c r="E336" s="2945">
        <v>3880</v>
      </c>
      <c r="F336" s="2945">
        <v>770</v>
      </c>
      <c r="G336" s="2945">
        <v>2110</v>
      </c>
    </row>
    <row r="337" spans="1:10" s="2779" customFormat="1" ht="14.25" customHeight="1">
      <c r="A337" s="2945" t="s">
        <v>307</v>
      </c>
      <c r="B337" s="2945" t="s">
        <v>3158</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3159</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3160</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2924</v>
      </c>
      <c r="C345" s="2945">
        <v>3190</v>
      </c>
      <c r="D345" s="2945">
        <v>3140</v>
      </c>
      <c r="E345" s="2945">
        <v>3450</v>
      </c>
      <c r="F345" s="2945">
        <v>720</v>
      </c>
      <c r="G345" s="2945">
        <v>1880</v>
      </c>
      <c r="J345" s="2779"/>
    </row>
    <row r="346" spans="1:10">
      <c r="A346" s="2945" t="s">
        <v>307</v>
      </c>
      <c r="B346" s="2945" t="s">
        <v>3161</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2933</v>
      </c>
      <c r="C348" s="2945">
        <v>4000</v>
      </c>
      <c r="D348" s="2945">
        <v>3950</v>
      </c>
      <c r="E348" s="2945">
        <v>4430</v>
      </c>
      <c r="F348" s="2945">
        <v>760</v>
      </c>
      <c r="G348" s="2945">
        <v>2360</v>
      </c>
      <c r="J348" s="2779"/>
    </row>
    <row r="349" spans="1:10">
      <c r="A349" s="2945" t="s">
        <v>307</v>
      </c>
      <c r="B349" s="2945" t="s">
        <v>2938</v>
      </c>
      <c r="C349" s="2945">
        <v>3820</v>
      </c>
      <c r="D349" s="2945">
        <v>3780</v>
      </c>
      <c r="E349" s="2945">
        <v>4170</v>
      </c>
      <c r="F349" s="2945">
        <v>710</v>
      </c>
      <c r="G349" s="2945">
        <v>2260</v>
      </c>
      <c r="J349" s="2779"/>
    </row>
    <row r="350" spans="1:10">
      <c r="A350" s="2945" t="s">
        <v>307</v>
      </c>
      <c r="B350" s="2945" t="s">
        <v>3162</v>
      </c>
      <c r="C350" s="2945">
        <v>3760</v>
      </c>
      <c r="D350" s="2945">
        <v>3730</v>
      </c>
      <c r="E350" s="2945">
        <v>4100</v>
      </c>
      <c r="F350" s="2945">
        <v>800</v>
      </c>
      <c r="G350" s="2945">
        <v>2230</v>
      </c>
      <c r="J350" s="2779"/>
    </row>
    <row r="351" spans="1:10">
      <c r="A351" s="2945" t="s">
        <v>307</v>
      </c>
      <c r="B351" s="2945" t="s">
        <v>2946</v>
      </c>
      <c r="C351" s="2945">
        <v>3610</v>
      </c>
      <c r="D351" s="2945">
        <v>3580</v>
      </c>
      <c r="E351" s="2945">
        <v>3930</v>
      </c>
      <c r="F351" s="2945">
        <v>700</v>
      </c>
      <c r="G351" s="2945">
        <v>2140</v>
      </c>
      <c r="J351" s="2779"/>
    </row>
    <row r="352" spans="1:10">
      <c r="A352" s="2945" t="s">
        <v>307</v>
      </c>
      <c r="B352" s="2945" t="s">
        <v>2951</v>
      </c>
      <c r="C352" s="2945">
        <v>3670</v>
      </c>
      <c r="D352" s="2945">
        <v>3630</v>
      </c>
      <c r="E352" s="2945">
        <v>4000</v>
      </c>
      <c r="F352" s="2945">
        <v>750</v>
      </c>
      <c r="G352" s="2945">
        <v>2180</v>
      </c>
    </row>
    <row r="353" spans="1:7" s="2780" customFormat="1">
      <c r="A353" s="2945" t="s">
        <v>307</v>
      </c>
      <c r="B353" s="2945" t="s">
        <v>3163</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2971</v>
      </c>
      <c r="C355" s="2945">
        <v>3650</v>
      </c>
      <c r="D355" s="2945">
        <v>3610</v>
      </c>
      <c r="E355" s="2945">
        <v>4200</v>
      </c>
      <c r="F355" s="2945">
        <v>640</v>
      </c>
      <c r="G355" s="2945">
        <v>2160</v>
      </c>
    </row>
    <row r="356" spans="1:7" s="2780" customFormat="1">
      <c r="A356" s="2945" t="s">
        <v>307</v>
      </c>
      <c r="B356" s="2945" t="s">
        <v>2978</v>
      </c>
      <c r="C356" s="2945">
        <v>3260</v>
      </c>
      <c r="D356" s="2945">
        <v>3230</v>
      </c>
      <c r="E356" s="2945">
        <v>3740</v>
      </c>
      <c r="F356" s="2945">
        <v>600</v>
      </c>
      <c r="G356" s="2945">
        <v>1930</v>
      </c>
    </row>
    <row r="357" spans="1:7" s="2780" customFormat="1" ht="12" thickBot="1">
      <c r="A357" s="2953" t="s">
        <v>307</v>
      </c>
      <c r="B357" s="2956" t="s">
        <v>3164</v>
      </c>
      <c r="C357" s="2956">
        <v>3690</v>
      </c>
      <c r="D357" s="2956">
        <v>3650</v>
      </c>
      <c r="E357" s="2956">
        <v>4020</v>
      </c>
      <c r="F357" s="2956">
        <v>700</v>
      </c>
      <c r="G357" s="2956">
        <v>2190</v>
      </c>
    </row>
    <row r="358" spans="1:7" s="2780" customFormat="1">
      <c r="A358" s="2950" t="s">
        <v>3165</v>
      </c>
      <c r="B358" s="2941" t="s">
        <v>3166</v>
      </c>
      <c r="C358" s="2941">
        <v>2080</v>
      </c>
      <c r="D358" s="2941">
        <v>2040</v>
      </c>
      <c r="E358" s="2941">
        <v>2010</v>
      </c>
      <c r="F358" s="2941">
        <v>530</v>
      </c>
      <c r="G358" s="2957">
        <v>1230</v>
      </c>
    </row>
    <row r="359" spans="1:7" s="2780" customFormat="1">
      <c r="A359" s="2945" t="s">
        <v>3165</v>
      </c>
      <c r="B359" s="2945" t="s">
        <v>3167</v>
      </c>
      <c r="C359" s="2945">
        <v>1850</v>
      </c>
      <c r="D359" s="2945">
        <v>1820</v>
      </c>
      <c r="E359" s="2945">
        <v>1780</v>
      </c>
      <c r="F359" s="2945">
        <v>520</v>
      </c>
      <c r="G359" s="2958">
        <v>1100</v>
      </c>
    </row>
    <row r="360" spans="1:7" s="2780" customFormat="1">
      <c r="A360" s="2945" t="s">
        <v>3165</v>
      </c>
      <c r="B360" s="2945" t="s">
        <v>3168</v>
      </c>
      <c r="C360" s="2945">
        <v>2020</v>
      </c>
      <c r="D360" s="2945">
        <v>1990</v>
      </c>
      <c r="E360" s="2945">
        <v>1950</v>
      </c>
      <c r="F360" s="2945">
        <v>500</v>
      </c>
      <c r="G360" s="2958">
        <v>1200</v>
      </c>
    </row>
    <row r="361" spans="1:7" s="2780" customFormat="1">
      <c r="A361" s="2945" t="s">
        <v>3165</v>
      </c>
      <c r="B361" s="2945" t="s">
        <v>153</v>
      </c>
      <c r="C361" s="2945">
        <v>2260</v>
      </c>
      <c r="D361" s="2945">
        <v>2220</v>
      </c>
      <c r="E361" s="2945">
        <v>2180</v>
      </c>
      <c r="F361" s="2945">
        <v>580</v>
      </c>
      <c r="G361" s="2958">
        <v>1340</v>
      </c>
    </row>
    <row r="362" spans="1:7" s="2780" customFormat="1">
      <c r="A362" s="2945" t="s">
        <v>3165</v>
      </c>
      <c r="B362" s="2945" t="s">
        <v>3169</v>
      </c>
      <c r="C362" s="2945">
        <v>2650</v>
      </c>
      <c r="D362" s="2945">
        <v>2610</v>
      </c>
      <c r="E362" s="2945">
        <v>2570</v>
      </c>
      <c r="F362" s="2945">
        <v>630</v>
      </c>
      <c r="G362" s="2958">
        <v>1570</v>
      </c>
    </row>
    <row r="363" spans="1:7" s="2780" customFormat="1">
      <c r="A363" s="2945" t="s">
        <v>3165</v>
      </c>
      <c r="B363" s="2945" t="s">
        <v>2890</v>
      </c>
      <c r="C363" s="2945">
        <v>2390</v>
      </c>
      <c r="D363" s="2945">
        <v>2360</v>
      </c>
      <c r="E363" s="2945">
        <v>2320</v>
      </c>
      <c r="F363" s="2945">
        <v>600</v>
      </c>
      <c r="G363" s="2958">
        <v>1420</v>
      </c>
    </row>
    <row r="364" spans="1:7" s="2780" customFormat="1">
      <c r="A364" s="2945" t="s">
        <v>3165</v>
      </c>
      <c r="B364" s="2945" t="s">
        <v>3170</v>
      </c>
      <c r="C364" s="2945">
        <v>2050</v>
      </c>
      <c r="D364" s="2945">
        <v>2030</v>
      </c>
      <c r="E364" s="2945">
        <v>1990</v>
      </c>
      <c r="F364" s="2945">
        <v>550</v>
      </c>
      <c r="G364" s="2958">
        <v>1220</v>
      </c>
    </row>
    <row r="365" spans="1:7" s="2780" customFormat="1">
      <c r="A365" s="2945" t="s">
        <v>3165</v>
      </c>
      <c r="B365" s="2945" t="s">
        <v>200</v>
      </c>
      <c r="C365" s="2945">
        <v>2140</v>
      </c>
      <c r="D365" s="2945">
        <v>2100</v>
      </c>
      <c r="E365" s="2945">
        <v>2060</v>
      </c>
      <c r="F365" s="2945">
        <v>540</v>
      </c>
      <c r="G365" s="2958">
        <v>1270</v>
      </c>
    </row>
    <row r="366" spans="1:7" s="2780" customFormat="1">
      <c r="A366" s="2945" t="s">
        <v>3165</v>
      </c>
      <c r="B366" s="2945" t="s">
        <v>2897</v>
      </c>
      <c r="C366" s="2945">
        <v>2410</v>
      </c>
      <c r="D366" s="2945">
        <v>2370</v>
      </c>
      <c r="E366" s="2945">
        <v>2330</v>
      </c>
      <c r="F366" s="2945">
        <v>570</v>
      </c>
      <c r="G366" s="2958">
        <v>1440</v>
      </c>
    </row>
    <row r="367" spans="1:7" s="2780" customFormat="1">
      <c r="A367" s="2945" t="s">
        <v>3165</v>
      </c>
      <c r="B367" s="2945" t="s">
        <v>3171</v>
      </c>
      <c r="C367" s="2945">
        <v>2300</v>
      </c>
      <c r="D367" s="2945">
        <v>2260</v>
      </c>
      <c r="E367" s="2945">
        <v>2220</v>
      </c>
      <c r="F367" s="2945">
        <v>560</v>
      </c>
      <c r="G367" s="2958">
        <v>1370</v>
      </c>
    </row>
    <row r="368" spans="1:7" s="2780" customFormat="1">
      <c r="A368" s="2945" t="s">
        <v>3165</v>
      </c>
      <c r="B368" s="2945" t="s">
        <v>3172</v>
      </c>
      <c r="C368" s="2945">
        <v>2430</v>
      </c>
      <c r="D368" s="2945">
        <v>2390</v>
      </c>
      <c r="E368" s="2945">
        <v>2350</v>
      </c>
      <c r="F368" s="2945">
        <v>570</v>
      </c>
      <c r="G368" s="2958">
        <v>1450</v>
      </c>
    </row>
    <row r="369" spans="1:7" s="2780" customFormat="1">
      <c r="A369" s="2945" t="s">
        <v>3165</v>
      </c>
      <c r="B369" s="2945" t="s">
        <v>214</v>
      </c>
      <c r="C369" s="2945">
        <v>2320</v>
      </c>
      <c r="D369" s="2945">
        <v>2290</v>
      </c>
      <c r="E369" s="2945">
        <v>2250</v>
      </c>
      <c r="F369" s="2945">
        <v>550</v>
      </c>
      <c r="G369" s="2958">
        <v>1380</v>
      </c>
    </row>
    <row r="370" spans="1:7" s="2780" customFormat="1">
      <c r="A370" s="2945" t="s">
        <v>3165</v>
      </c>
      <c r="B370" s="2945" t="s">
        <v>221</v>
      </c>
      <c r="C370" s="2945">
        <v>2190</v>
      </c>
      <c r="D370" s="2945">
        <v>2170</v>
      </c>
      <c r="E370" s="2945">
        <v>2130</v>
      </c>
      <c r="F370" s="2945">
        <v>530</v>
      </c>
      <c r="G370" s="2958">
        <v>1310</v>
      </c>
    </row>
    <row r="371" spans="1:7" s="2780" customFormat="1">
      <c r="A371" s="2945" t="s">
        <v>3165</v>
      </c>
      <c r="B371" s="2945" t="s">
        <v>229</v>
      </c>
      <c r="C371" s="2945">
        <v>2460</v>
      </c>
      <c r="D371" s="2945">
        <v>2420</v>
      </c>
      <c r="E371" s="2945">
        <v>2370</v>
      </c>
      <c r="F371" s="2945">
        <v>560</v>
      </c>
      <c r="G371" s="2958">
        <v>1470</v>
      </c>
    </row>
    <row r="372" spans="1:7" s="2780" customFormat="1">
      <c r="A372" s="2945" t="s">
        <v>3165</v>
      </c>
      <c r="B372" s="2945" t="s">
        <v>3173</v>
      </c>
      <c r="C372" s="2945">
        <v>2250</v>
      </c>
      <c r="D372" s="2945">
        <v>2210</v>
      </c>
      <c r="E372" s="2945">
        <v>2180</v>
      </c>
      <c r="F372" s="2945">
        <v>550</v>
      </c>
      <c r="G372" s="2958">
        <v>1340</v>
      </c>
    </row>
    <row r="373" spans="1:7" s="2780" customFormat="1">
      <c r="A373" s="2945" t="s">
        <v>3165</v>
      </c>
      <c r="B373" s="2945" t="s">
        <v>258</v>
      </c>
      <c r="C373" s="2945">
        <v>2210</v>
      </c>
      <c r="D373" s="2945">
        <v>2190</v>
      </c>
      <c r="E373" s="2945">
        <v>2150</v>
      </c>
      <c r="F373" s="2945">
        <v>530</v>
      </c>
      <c r="G373" s="2958">
        <v>1320</v>
      </c>
    </row>
    <row r="374" spans="1:7" s="2780" customFormat="1">
      <c r="A374" s="2945" t="s">
        <v>3165</v>
      </c>
      <c r="B374" s="2945" t="s">
        <v>266</v>
      </c>
      <c r="C374" s="2945">
        <v>2320</v>
      </c>
      <c r="D374" s="2945">
        <v>2280</v>
      </c>
      <c r="E374" s="2945">
        <v>2230</v>
      </c>
      <c r="F374" s="2945">
        <v>580</v>
      </c>
      <c r="G374" s="2958">
        <v>1380</v>
      </c>
    </row>
    <row r="375" spans="1:7" s="2780" customFormat="1">
      <c r="A375" s="2945" t="s">
        <v>3165</v>
      </c>
      <c r="B375" s="2945" t="s">
        <v>3174</v>
      </c>
      <c r="C375" s="2945">
        <v>2090</v>
      </c>
      <c r="D375" s="2945">
        <v>2050</v>
      </c>
      <c r="E375" s="2945">
        <v>2020</v>
      </c>
      <c r="F375" s="2945">
        <v>520</v>
      </c>
      <c r="G375" s="2958">
        <v>1240</v>
      </c>
    </row>
    <row r="376" spans="1:7" s="2780" customFormat="1">
      <c r="A376" s="2945" t="s">
        <v>3165</v>
      </c>
      <c r="B376" s="2945" t="s">
        <v>277</v>
      </c>
      <c r="C376" s="2945">
        <v>2010</v>
      </c>
      <c r="D376" s="2945">
        <v>1980</v>
      </c>
      <c r="E376" s="2945">
        <v>1940</v>
      </c>
      <c r="F376" s="2945">
        <v>540</v>
      </c>
      <c r="G376" s="2958">
        <v>1190</v>
      </c>
    </row>
    <row r="377" spans="1:7" s="2780" customFormat="1" ht="12" thickBot="1">
      <c r="A377" s="2953" t="s">
        <v>3165</v>
      </c>
      <c r="B377" s="2956" t="s">
        <v>2927</v>
      </c>
      <c r="C377" s="2956">
        <v>1930</v>
      </c>
      <c r="D377" s="2956">
        <v>1890</v>
      </c>
      <c r="E377" s="2956">
        <v>1860</v>
      </c>
      <c r="F377" s="2956">
        <v>530</v>
      </c>
      <c r="G377" s="2961">
        <v>1150</v>
      </c>
    </row>
    <row r="378" spans="1:7" s="2780" customFormat="1">
      <c r="A378" s="2962" t="s">
        <v>3175</v>
      </c>
      <c r="B378" s="2941" t="s">
        <v>3176</v>
      </c>
      <c r="C378" s="2941">
        <v>1520</v>
      </c>
      <c r="D378" s="2941">
        <v>1490</v>
      </c>
      <c r="E378" s="2941">
        <v>1460</v>
      </c>
      <c r="F378" s="2941">
        <v>460</v>
      </c>
      <c r="G378" s="2957">
        <v>940</v>
      </c>
    </row>
    <row r="379" spans="1:7" s="2780" customFormat="1">
      <c r="A379" s="2963" t="s">
        <v>3175</v>
      </c>
      <c r="B379" s="2945" t="s">
        <v>3177</v>
      </c>
      <c r="C379" s="2945">
        <v>1500</v>
      </c>
      <c r="D379" s="2945">
        <v>1470</v>
      </c>
      <c r="E379" s="2945">
        <v>1430</v>
      </c>
      <c r="F379" s="2945">
        <v>460</v>
      </c>
      <c r="G379" s="2958">
        <v>920</v>
      </c>
    </row>
    <row r="380" spans="1:7" s="2780" customFormat="1">
      <c r="A380" s="2963" t="s">
        <v>3175</v>
      </c>
      <c r="B380" s="2945" t="s">
        <v>3178</v>
      </c>
      <c r="C380" s="2945">
        <v>1620</v>
      </c>
      <c r="D380" s="2945">
        <v>1590</v>
      </c>
      <c r="E380" s="2945">
        <v>1560</v>
      </c>
      <c r="F380" s="2945">
        <v>480</v>
      </c>
      <c r="G380" s="2958">
        <v>1000</v>
      </c>
    </row>
    <row r="381" spans="1:7" s="2780" customFormat="1">
      <c r="A381" s="2963" t="s">
        <v>3175</v>
      </c>
      <c r="B381" s="2945" t="s">
        <v>3179</v>
      </c>
      <c r="C381" s="2945">
        <v>1460</v>
      </c>
      <c r="D381" s="2945">
        <v>1430</v>
      </c>
      <c r="E381" s="2945">
        <v>1390</v>
      </c>
      <c r="F381" s="2945">
        <v>450</v>
      </c>
      <c r="G381" s="2958">
        <v>900</v>
      </c>
    </row>
    <row r="382" spans="1:7" s="2780" customFormat="1">
      <c r="A382" s="2963" t="s">
        <v>3175</v>
      </c>
      <c r="B382" s="2945" t="s">
        <v>3180</v>
      </c>
      <c r="C382" s="2945">
        <v>1310</v>
      </c>
      <c r="D382" s="2945">
        <v>1280</v>
      </c>
      <c r="E382" s="2945">
        <v>1250</v>
      </c>
      <c r="F382" s="2945">
        <v>440</v>
      </c>
      <c r="G382" s="2958">
        <v>800</v>
      </c>
    </row>
    <row r="383" spans="1:7" s="2780" customFormat="1">
      <c r="A383" s="2963" t="s">
        <v>3175</v>
      </c>
      <c r="B383" s="2945" t="s">
        <v>3181</v>
      </c>
      <c r="C383" s="2945">
        <v>1260</v>
      </c>
      <c r="D383" s="2945">
        <v>1230</v>
      </c>
      <c r="E383" s="2945">
        <v>1200</v>
      </c>
      <c r="F383" s="2945">
        <v>420</v>
      </c>
      <c r="G383" s="2958">
        <v>770</v>
      </c>
    </row>
    <row r="384" spans="1:7" s="2780" customFormat="1" ht="12" thickBot="1">
      <c r="A384" s="2964" t="s">
        <v>3175</v>
      </c>
      <c r="B384" s="2952" t="s">
        <v>3182</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480" t="s">
        <v>3183</v>
      </c>
      <c r="B1" s="3480"/>
    </row>
    <row r="2" spans="1:7" ht="14.25" thickBot="1">
      <c r="A2" s="2966"/>
      <c r="B2" s="2966"/>
    </row>
    <row r="3" spans="1:7" ht="14.25" thickBot="1">
      <c r="A3" s="2966"/>
      <c r="B3" s="2966"/>
      <c r="C3" s="2967" t="s">
        <v>2813</v>
      </c>
      <c r="D3" s="2967" t="s">
        <v>2869</v>
      </c>
      <c r="E3" s="2967" t="s">
        <v>2815</v>
      </c>
      <c r="F3" s="2967" t="s">
        <v>2870</v>
      </c>
      <c r="G3" s="2967" t="s">
        <v>2633</v>
      </c>
    </row>
    <row r="4" spans="1:7" ht="14.25" thickBot="1">
      <c r="A4" s="2968" t="s">
        <v>2868</v>
      </c>
      <c r="B4" s="2969" t="s">
        <v>2874</v>
      </c>
      <c r="C4" s="2967"/>
      <c r="D4" s="2967"/>
      <c r="E4" s="2967"/>
      <c r="F4" s="2967"/>
      <c r="G4" s="2967"/>
    </row>
    <row r="5" spans="1:7">
      <c r="A5" s="2970" t="s">
        <v>2842</v>
      </c>
      <c r="B5" s="2971" t="s">
        <v>2856</v>
      </c>
      <c r="C5" s="2972">
        <v>9.8000000000000004E-2</v>
      </c>
      <c r="D5" s="2972">
        <v>8.6999999999999994E-2</v>
      </c>
      <c r="E5" s="2972">
        <v>8.6999999999999994E-2</v>
      </c>
      <c r="F5" s="2972">
        <v>9.8000000000000004E-2</v>
      </c>
      <c r="G5" s="2973">
        <v>9.5000000000000001E-2</v>
      </c>
    </row>
    <row r="6" spans="1:7">
      <c r="A6" s="2974" t="s">
        <v>144</v>
      </c>
      <c r="B6" s="2975" t="s">
        <v>2871</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2857</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2907</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2925</v>
      </c>
      <c r="C29" s="2984"/>
      <c r="D29" s="2980">
        <v>5.1999999999999998E-2</v>
      </c>
      <c r="E29" s="2980">
        <v>7.0000000000000007E-2</v>
      </c>
      <c r="F29" s="2984"/>
      <c r="G29" s="2982">
        <v>7.0999999999999994E-2</v>
      </c>
    </row>
    <row r="30" spans="1:7">
      <c r="A30" s="2985" t="s">
        <v>296</v>
      </c>
      <c r="B30" s="2971" t="s">
        <v>2858</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2844</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2928</v>
      </c>
      <c r="C50" s="2976">
        <v>9.8000000000000004E-2</v>
      </c>
      <c r="D50" s="2976">
        <v>7.2999999999999995E-2</v>
      </c>
      <c r="E50" s="2976">
        <v>7.0999999999999994E-2</v>
      </c>
      <c r="F50" s="2987"/>
      <c r="G50" s="2977">
        <v>7.2999999999999995E-2</v>
      </c>
    </row>
    <row r="51" spans="1:7">
      <c r="A51" s="2986" t="s">
        <v>296</v>
      </c>
      <c r="B51" s="2975" t="s">
        <v>2930</v>
      </c>
      <c r="C51" s="2976">
        <v>9.9000000000000005E-2</v>
      </c>
      <c r="D51" s="2976">
        <v>8.5000000000000006E-2</v>
      </c>
      <c r="E51" s="2976">
        <v>6.3E-2</v>
      </c>
      <c r="F51" s="2987"/>
      <c r="G51" s="2977">
        <v>9.6000000000000002E-2</v>
      </c>
    </row>
    <row r="52" spans="1:7">
      <c r="A52" s="2986" t="s">
        <v>296</v>
      </c>
      <c r="B52" s="2975" t="s">
        <v>2934</v>
      </c>
      <c r="C52" s="2976">
        <v>7.3999999999999996E-2</v>
      </c>
      <c r="D52" s="2976">
        <v>9.6000000000000002E-2</v>
      </c>
      <c r="E52" s="2976">
        <v>0.05</v>
      </c>
      <c r="F52" s="2987"/>
      <c r="G52" s="2977">
        <v>9.8000000000000004E-2</v>
      </c>
    </row>
    <row r="53" spans="1:7">
      <c r="A53" s="2986" t="s">
        <v>296</v>
      </c>
      <c r="B53" s="2975" t="s">
        <v>2939</v>
      </c>
      <c r="C53" s="2976">
        <v>8.5999999999999993E-2</v>
      </c>
      <c r="D53" s="2987"/>
      <c r="E53" s="2976">
        <v>9.1999999999999998E-2</v>
      </c>
      <c r="F53" s="2987"/>
      <c r="G53" s="2988"/>
    </row>
    <row r="54" spans="1:7" ht="14.25" thickBot="1">
      <c r="A54" s="2989" t="s">
        <v>296</v>
      </c>
      <c r="B54" s="2979" t="s">
        <v>2942</v>
      </c>
      <c r="C54" s="2980">
        <v>9.6000000000000002E-2</v>
      </c>
      <c r="D54" s="2981"/>
      <c r="E54" s="2990"/>
      <c r="F54" s="2981"/>
      <c r="G54" s="2991"/>
    </row>
    <row r="55" spans="1:7">
      <c r="A55" s="2985" t="s">
        <v>110</v>
      </c>
      <c r="B55" s="2971" t="s">
        <v>2859</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2940</v>
      </c>
      <c r="C78" s="2976">
        <v>0.1</v>
      </c>
      <c r="D78" s="2976">
        <v>8.5000000000000006E-2</v>
      </c>
      <c r="E78" s="2976">
        <v>9.6000000000000002E-2</v>
      </c>
      <c r="F78" s="2987"/>
      <c r="G78" s="2977">
        <v>9.6000000000000002E-2</v>
      </c>
    </row>
    <row r="79" spans="1:7">
      <c r="A79" s="2986" t="s">
        <v>110</v>
      </c>
      <c r="B79" s="2975" t="s">
        <v>2943</v>
      </c>
      <c r="C79" s="2976">
        <v>0.05</v>
      </c>
      <c r="D79" s="2976">
        <v>9.6000000000000002E-2</v>
      </c>
      <c r="E79" s="2976">
        <v>9.5000000000000001E-2</v>
      </c>
      <c r="F79" s="2987"/>
      <c r="G79" s="2977">
        <v>9.8000000000000004E-2</v>
      </c>
    </row>
    <row r="80" spans="1:7">
      <c r="A80" s="2986" t="s">
        <v>110</v>
      </c>
      <c r="B80" s="2975" t="s">
        <v>2947</v>
      </c>
      <c r="C80" s="2976">
        <v>8.5999999999999993E-2</v>
      </c>
      <c r="D80" s="2992"/>
      <c r="E80" s="2976">
        <v>0.1</v>
      </c>
      <c r="F80" s="2987"/>
      <c r="G80" s="2988"/>
    </row>
    <row r="81" spans="1:7">
      <c r="A81" s="2986" t="s">
        <v>110</v>
      </c>
      <c r="B81" s="2975" t="s">
        <v>2952</v>
      </c>
      <c r="C81" s="2976">
        <v>9.6000000000000002E-2</v>
      </c>
      <c r="D81" s="2987"/>
      <c r="E81" s="2976">
        <v>9.8000000000000004E-2</v>
      </c>
      <c r="F81" s="2987"/>
      <c r="G81" s="2988"/>
    </row>
    <row r="82" spans="1:7">
      <c r="A82" s="2986" t="s">
        <v>110</v>
      </c>
      <c r="B82" s="2975" t="s">
        <v>2959</v>
      </c>
      <c r="C82" s="2992"/>
      <c r="D82" s="2987"/>
      <c r="E82" s="2976">
        <v>7.6999999999999999E-2</v>
      </c>
      <c r="F82" s="2987"/>
      <c r="G82" s="2988"/>
    </row>
    <row r="83" spans="1:7">
      <c r="A83" s="2986" t="s">
        <v>110</v>
      </c>
      <c r="B83" s="2975" t="s">
        <v>2965</v>
      </c>
      <c r="C83" s="2987"/>
      <c r="D83" s="2987"/>
      <c r="E83" s="2987"/>
      <c r="F83" s="2976">
        <v>0.1</v>
      </c>
      <c r="G83" s="2993"/>
    </row>
    <row r="84" spans="1:7">
      <c r="A84" s="2986" t="s">
        <v>110</v>
      </c>
      <c r="B84" s="2975" t="s">
        <v>2972</v>
      </c>
      <c r="C84" s="2987"/>
      <c r="D84" s="2987"/>
      <c r="E84" s="2987"/>
      <c r="F84" s="2976">
        <v>0.1</v>
      </c>
      <c r="G84" s="2993"/>
    </row>
    <row r="85" spans="1:7">
      <c r="A85" s="2986" t="s">
        <v>110</v>
      </c>
      <c r="B85" s="2975" t="s">
        <v>2979</v>
      </c>
      <c r="C85" s="2987"/>
      <c r="D85" s="2987"/>
      <c r="E85" s="2987"/>
      <c r="F85" s="2976">
        <v>0.1</v>
      </c>
      <c r="G85" s="2993"/>
    </row>
    <row r="86" spans="1:7" ht="14.25" thickBot="1">
      <c r="A86" s="2989" t="s">
        <v>110</v>
      </c>
      <c r="B86" s="2979" t="s">
        <v>2984</v>
      </c>
      <c r="C86" s="2980">
        <v>9.8000000000000004E-2</v>
      </c>
      <c r="D86" s="2980">
        <v>9.8000000000000004E-2</v>
      </c>
      <c r="E86" s="2980">
        <v>9.6000000000000002E-2</v>
      </c>
      <c r="F86" s="2990"/>
      <c r="G86" s="2982">
        <v>0.1</v>
      </c>
    </row>
    <row r="87" spans="1:7">
      <c r="A87" s="2985" t="s">
        <v>303</v>
      </c>
      <c r="B87" s="2971" t="s">
        <v>2860</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2953</v>
      </c>
      <c r="C113" s="2976">
        <v>0.1</v>
      </c>
      <c r="D113" s="2976">
        <v>0.1</v>
      </c>
      <c r="E113" s="2987"/>
      <c r="F113" s="2987"/>
      <c r="G113" s="2977">
        <v>0.1</v>
      </c>
    </row>
    <row r="114" spans="1:7">
      <c r="A114" s="2986" t="s">
        <v>303</v>
      </c>
      <c r="B114" s="2975" t="s">
        <v>2960</v>
      </c>
      <c r="C114" s="2976">
        <v>9.7000000000000003E-2</v>
      </c>
      <c r="D114" s="2976">
        <v>9.7000000000000003E-2</v>
      </c>
      <c r="E114" s="2987"/>
      <c r="F114" s="2987"/>
      <c r="G114" s="2977">
        <v>9.9000000000000005E-2</v>
      </c>
    </row>
    <row r="115" spans="1:7">
      <c r="A115" s="2986" t="s">
        <v>303</v>
      </c>
      <c r="B115" s="2975" t="s">
        <v>2966</v>
      </c>
      <c r="C115" s="2976">
        <v>0.1</v>
      </c>
      <c r="D115" s="2976">
        <v>0.1</v>
      </c>
      <c r="E115" s="2987"/>
      <c r="F115" s="2987"/>
      <c r="G115" s="2977">
        <v>0.1</v>
      </c>
    </row>
    <row r="116" spans="1:7">
      <c r="A116" s="2986" t="s">
        <v>303</v>
      </c>
      <c r="B116" s="2975" t="s">
        <v>2973</v>
      </c>
      <c r="C116" s="2976">
        <v>0.1</v>
      </c>
      <c r="D116" s="2976">
        <v>0.1</v>
      </c>
      <c r="E116" s="2987"/>
      <c r="F116" s="2987"/>
      <c r="G116" s="2977">
        <v>0.1</v>
      </c>
    </row>
    <row r="117" spans="1:7">
      <c r="A117" s="2986" t="s">
        <v>303</v>
      </c>
      <c r="B117" s="2975" t="s">
        <v>2980</v>
      </c>
      <c r="C117" s="2976">
        <v>9.7000000000000003E-2</v>
      </c>
      <c r="D117" s="2976">
        <v>9.7000000000000003E-2</v>
      </c>
      <c r="E117" s="2987"/>
      <c r="F117" s="2987"/>
      <c r="G117" s="2977">
        <v>9.7000000000000003E-2</v>
      </c>
    </row>
    <row r="118" spans="1:7">
      <c r="A118" s="2986" t="s">
        <v>303</v>
      </c>
      <c r="B118" s="2975" t="s">
        <v>2985</v>
      </c>
      <c r="C118" s="2976">
        <v>0.1</v>
      </c>
      <c r="D118" s="2976">
        <v>0.1</v>
      </c>
      <c r="E118" s="2987"/>
      <c r="F118" s="2987"/>
      <c r="G118" s="2977">
        <v>0.1</v>
      </c>
    </row>
    <row r="119" spans="1:7">
      <c r="A119" s="2986" t="s">
        <v>303</v>
      </c>
      <c r="B119" s="2975" t="s">
        <v>2989</v>
      </c>
      <c r="C119" s="2976">
        <v>5.0999999999999997E-2</v>
      </c>
      <c r="D119" s="2976">
        <v>5.1999999999999998E-2</v>
      </c>
      <c r="E119" s="2987"/>
      <c r="F119" s="2992"/>
      <c r="G119" s="2977">
        <v>0.06</v>
      </c>
    </row>
    <row r="120" spans="1:7">
      <c r="A120" s="2986" t="s">
        <v>303</v>
      </c>
      <c r="B120" s="2975" t="s">
        <v>2993</v>
      </c>
      <c r="C120" s="2987"/>
      <c r="D120" s="2987"/>
      <c r="E120" s="2987"/>
      <c r="F120" s="2976">
        <v>0.1</v>
      </c>
      <c r="G120" s="2993"/>
    </row>
    <row r="121" spans="1:7">
      <c r="A121" s="2986" t="s">
        <v>303</v>
      </c>
      <c r="B121" s="2975" t="s">
        <v>2998</v>
      </c>
      <c r="C121" s="2987"/>
      <c r="D121" s="2987"/>
      <c r="E121" s="2987"/>
      <c r="F121" s="2976">
        <v>0.1</v>
      </c>
      <c r="G121" s="2993"/>
    </row>
    <row r="122" spans="1:7">
      <c r="A122" s="2986" t="s">
        <v>303</v>
      </c>
      <c r="B122" s="2975" t="s">
        <v>3003</v>
      </c>
      <c r="C122" s="2976">
        <v>0.1</v>
      </c>
      <c r="D122" s="2976">
        <v>0.1</v>
      </c>
      <c r="E122" s="2976">
        <v>9.8000000000000004E-2</v>
      </c>
      <c r="F122" s="2976">
        <v>0.1</v>
      </c>
      <c r="G122" s="2977">
        <v>0.1</v>
      </c>
    </row>
    <row r="123" spans="1:7">
      <c r="A123" s="2986" t="s">
        <v>303</v>
      </c>
      <c r="B123" s="2975" t="s">
        <v>3008</v>
      </c>
      <c r="C123" s="2976">
        <v>0.1</v>
      </c>
      <c r="D123" s="2976">
        <v>0.1</v>
      </c>
      <c r="E123" s="2976">
        <v>9.8000000000000004E-2</v>
      </c>
      <c r="F123" s="2976">
        <v>0.1</v>
      </c>
      <c r="G123" s="2977">
        <v>0.1</v>
      </c>
    </row>
    <row r="124" spans="1:7">
      <c r="A124" s="2986" t="s">
        <v>303</v>
      </c>
      <c r="B124" s="2975" t="s">
        <v>3013</v>
      </c>
      <c r="C124" s="2976">
        <v>0.1</v>
      </c>
      <c r="D124" s="2976">
        <v>0.1</v>
      </c>
      <c r="E124" s="2976">
        <v>9.8000000000000004E-2</v>
      </c>
      <c r="F124" s="2992"/>
      <c r="G124" s="2977">
        <v>0.1</v>
      </c>
    </row>
    <row r="125" spans="1:7">
      <c r="A125" s="2986" t="s">
        <v>303</v>
      </c>
      <c r="B125" s="2975" t="s">
        <v>3018</v>
      </c>
      <c r="C125" s="2976">
        <v>9.8000000000000004E-2</v>
      </c>
      <c r="D125" s="2976">
        <v>9.8000000000000004E-2</v>
      </c>
      <c r="E125" s="2976">
        <v>9.6000000000000002E-2</v>
      </c>
      <c r="F125" s="2992"/>
      <c r="G125" s="2977">
        <v>0.1</v>
      </c>
    </row>
    <row r="126" spans="1:7" ht="14.25" thickBot="1">
      <c r="A126" s="2989" t="s">
        <v>303</v>
      </c>
      <c r="B126" s="2979" t="s">
        <v>3184</v>
      </c>
      <c r="C126" s="2980">
        <v>0.1</v>
      </c>
      <c r="D126" s="2980">
        <v>0.1</v>
      </c>
      <c r="E126" s="2980">
        <v>9.8000000000000004E-2</v>
      </c>
      <c r="F126" s="2980">
        <v>0.1</v>
      </c>
      <c r="G126" s="2982">
        <v>0.1</v>
      </c>
    </row>
    <row r="127" spans="1:7">
      <c r="A127" s="2985" t="s">
        <v>29</v>
      </c>
      <c r="B127" s="2971" t="s">
        <v>2861</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2931</v>
      </c>
      <c r="C148" s="2976">
        <v>0.13</v>
      </c>
      <c r="D148" s="2976">
        <v>0.13</v>
      </c>
      <c r="E148" s="2976">
        <v>0.13</v>
      </c>
      <c r="F148" s="2987"/>
      <c r="G148" s="2977">
        <v>0.13</v>
      </c>
    </row>
    <row r="149" spans="1:7">
      <c r="A149" s="2986" t="s">
        <v>29</v>
      </c>
      <c r="B149" s="2975" t="s">
        <v>2935</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2954</v>
      </c>
      <c r="C153" s="2976">
        <v>0.13</v>
      </c>
      <c r="D153" s="2976">
        <v>0.13</v>
      </c>
      <c r="E153" s="2976">
        <v>0.13</v>
      </c>
      <c r="F153" s="2976">
        <v>0.13</v>
      </c>
      <c r="G153" s="2977">
        <v>0.13</v>
      </c>
    </row>
    <row r="154" spans="1:7">
      <c r="A154" s="2986" t="s">
        <v>29</v>
      </c>
      <c r="B154" s="2975" t="s">
        <v>2961</v>
      </c>
      <c r="C154" s="2976">
        <v>0.121</v>
      </c>
      <c r="D154" s="2976">
        <v>0.121</v>
      </c>
      <c r="E154" s="2976">
        <v>0.105</v>
      </c>
      <c r="F154" s="2976">
        <v>0.121</v>
      </c>
      <c r="G154" s="2977">
        <v>0.123</v>
      </c>
    </row>
    <row r="155" spans="1:7">
      <c r="A155" s="2986" t="s">
        <v>29</v>
      </c>
      <c r="B155" s="2975" t="s">
        <v>2967</v>
      </c>
      <c r="C155" s="2976">
        <v>0.1</v>
      </c>
      <c r="D155" s="2976">
        <v>0.1</v>
      </c>
      <c r="E155" s="2976">
        <v>0.1</v>
      </c>
      <c r="F155" s="2976">
        <v>0.1</v>
      </c>
      <c r="G155" s="2977">
        <v>0.1</v>
      </c>
    </row>
    <row r="156" spans="1:7">
      <c r="A156" s="2986" t="s">
        <v>29</v>
      </c>
      <c r="B156" s="2975" t="s">
        <v>2974</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2994</v>
      </c>
      <c r="C160" s="2976">
        <v>0.13</v>
      </c>
      <c r="D160" s="2976">
        <v>0.13</v>
      </c>
      <c r="E160" s="2976">
        <v>0.124</v>
      </c>
      <c r="F160" s="2976">
        <v>0.126</v>
      </c>
      <c r="G160" s="2977">
        <v>0.13</v>
      </c>
    </row>
    <row r="161" spans="1:7">
      <c r="A161" s="2986" t="s">
        <v>29</v>
      </c>
      <c r="B161" s="2975" t="s">
        <v>2999</v>
      </c>
      <c r="C161" s="2976">
        <v>0.13</v>
      </c>
      <c r="D161" s="2976">
        <v>0.13</v>
      </c>
      <c r="E161" s="2976">
        <v>0.124</v>
      </c>
      <c r="F161" s="2976">
        <v>0.127</v>
      </c>
      <c r="G161" s="2977">
        <v>0.13</v>
      </c>
    </row>
    <row r="162" spans="1:7">
      <c r="A162" s="2986" t="s">
        <v>29</v>
      </c>
      <c r="B162" s="2975" t="s">
        <v>3004</v>
      </c>
      <c r="C162" s="2976">
        <v>0.1</v>
      </c>
      <c r="D162" s="2976">
        <v>0.1</v>
      </c>
      <c r="E162" s="2976">
        <v>0.1</v>
      </c>
      <c r="F162" s="2976">
        <v>0.121</v>
      </c>
      <c r="G162" s="2977">
        <v>0.105</v>
      </c>
    </row>
    <row r="163" spans="1:7">
      <c r="A163" s="2986" t="s">
        <v>29</v>
      </c>
      <c r="B163" s="2975" t="s">
        <v>3009</v>
      </c>
      <c r="C163" s="2976">
        <v>0.1</v>
      </c>
      <c r="D163" s="2976">
        <v>0.1</v>
      </c>
      <c r="E163" s="2976">
        <v>0.1</v>
      </c>
      <c r="F163" s="2976">
        <v>0.1</v>
      </c>
      <c r="G163" s="2977">
        <v>0.1</v>
      </c>
    </row>
    <row r="164" spans="1:7">
      <c r="A164" s="2986" t="s">
        <v>29</v>
      </c>
      <c r="B164" s="2975" t="s">
        <v>3014</v>
      </c>
      <c r="C164" s="2992"/>
      <c r="D164" s="2992"/>
      <c r="E164" s="2992"/>
      <c r="F164" s="2976">
        <v>0.1</v>
      </c>
      <c r="G164" s="2988"/>
    </row>
    <row r="165" spans="1:7">
      <c r="A165" s="2986" t="s">
        <v>29</v>
      </c>
      <c r="B165" s="2975" t="s">
        <v>3185</v>
      </c>
      <c r="C165" s="2976">
        <v>0.126</v>
      </c>
      <c r="D165" s="2976">
        <v>0.126</v>
      </c>
      <c r="E165" s="2976">
        <v>0.11899999999999999</v>
      </c>
      <c r="F165" s="2976">
        <v>0.13</v>
      </c>
      <c r="G165" s="2977">
        <v>0.128</v>
      </c>
    </row>
    <row r="166" spans="1:7">
      <c r="A166" s="2986" t="s">
        <v>29</v>
      </c>
      <c r="B166" s="2975" t="s">
        <v>3024</v>
      </c>
      <c r="C166" s="2976">
        <v>0.129</v>
      </c>
      <c r="D166" s="2976">
        <v>0.129</v>
      </c>
      <c r="E166" s="2976">
        <v>0.123</v>
      </c>
      <c r="F166" s="2976">
        <v>0.128</v>
      </c>
      <c r="G166" s="2977">
        <v>0.13</v>
      </c>
    </row>
    <row r="167" spans="1:7">
      <c r="A167" s="2986" t="s">
        <v>29</v>
      </c>
      <c r="B167" s="2975" t="s">
        <v>3028</v>
      </c>
      <c r="C167" s="2976">
        <v>0.125</v>
      </c>
      <c r="D167" s="2976">
        <v>0.125</v>
      </c>
      <c r="E167" s="2976">
        <v>0.11700000000000001</v>
      </c>
      <c r="F167" s="2976">
        <v>0.13</v>
      </c>
      <c r="G167" s="2977">
        <v>0.126</v>
      </c>
    </row>
    <row r="168" spans="1:7">
      <c r="A168" s="2986" t="s">
        <v>29</v>
      </c>
      <c r="B168" s="2975" t="s">
        <v>3033</v>
      </c>
      <c r="C168" s="2976">
        <v>0.128</v>
      </c>
      <c r="D168" s="2976">
        <v>0.128</v>
      </c>
      <c r="E168" s="2976">
        <v>0.123</v>
      </c>
      <c r="F168" s="2987"/>
      <c r="G168" s="2977">
        <v>0.13</v>
      </c>
    </row>
    <row r="169" spans="1:7">
      <c r="A169" s="2986" t="s">
        <v>29</v>
      </c>
      <c r="B169" s="2975" t="s">
        <v>3186</v>
      </c>
      <c r="C169" s="2992"/>
      <c r="D169" s="2992"/>
      <c r="E169" s="2992"/>
      <c r="F169" s="2976">
        <v>0.05</v>
      </c>
      <c r="G169" s="2988"/>
    </row>
    <row r="170" spans="1:7">
      <c r="A170" s="2986" t="s">
        <v>29</v>
      </c>
      <c r="B170" s="2975" t="s">
        <v>3187</v>
      </c>
      <c r="C170" s="2992"/>
      <c r="D170" s="2992"/>
      <c r="E170" s="2992"/>
      <c r="F170" s="2976">
        <v>0.05</v>
      </c>
      <c r="G170" s="2988"/>
    </row>
    <row r="171" spans="1:7">
      <c r="A171" s="2986" t="s">
        <v>29</v>
      </c>
      <c r="B171" s="2975" t="s">
        <v>3188</v>
      </c>
      <c r="C171" s="2992"/>
      <c r="D171" s="2992"/>
      <c r="E171" s="2992"/>
      <c r="F171" s="2976">
        <v>0.05</v>
      </c>
      <c r="G171" s="2993"/>
    </row>
    <row r="172" spans="1:7">
      <c r="A172" s="2986" t="s">
        <v>29</v>
      </c>
      <c r="B172" s="2975" t="s">
        <v>3189</v>
      </c>
      <c r="C172" s="2992"/>
      <c r="D172" s="2992"/>
      <c r="E172" s="2992"/>
      <c r="F172" s="2976">
        <v>0.05</v>
      </c>
      <c r="G172" s="2993"/>
    </row>
    <row r="173" spans="1:7">
      <c r="A173" s="2986" t="s">
        <v>29</v>
      </c>
      <c r="B173" s="2975" t="s">
        <v>3190</v>
      </c>
      <c r="C173" s="2992"/>
      <c r="D173" s="2992"/>
      <c r="E173" s="2992"/>
      <c r="F173" s="2976">
        <v>0.05</v>
      </c>
      <c r="G173" s="2988"/>
    </row>
    <row r="174" spans="1:7">
      <c r="A174" s="2986" t="s">
        <v>29</v>
      </c>
      <c r="B174" s="2975" t="s">
        <v>3191</v>
      </c>
      <c r="C174" s="2992"/>
      <c r="D174" s="2992"/>
      <c r="E174" s="2992"/>
      <c r="F174" s="2976">
        <v>0.05</v>
      </c>
      <c r="G174" s="2988"/>
    </row>
    <row r="175" spans="1:7">
      <c r="A175" s="2986" t="s">
        <v>29</v>
      </c>
      <c r="B175" s="2975" t="s">
        <v>3192</v>
      </c>
      <c r="C175" s="2992"/>
      <c r="D175" s="2992"/>
      <c r="E175" s="2992"/>
      <c r="F175" s="2976">
        <v>0.05</v>
      </c>
      <c r="G175" s="2988"/>
    </row>
    <row r="176" spans="1:7">
      <c r="A176" s="2986" t="s">
        <v>29</v>
      </c>
      <c r="B176" s="2975" t="s">
        <v>3193</v>
      </c>
      <c r="C176" s="2992"/>
      <c r="D176" s="2992"/>
      <c r="E176" s="2992"/>
      <c r="F176" s="2976">
        <v>0.05</v>
      </c>
      <c r="G176" s="2988"/>
    </row>
    <row r="177" spans="1:7">
      <c r="A177" s="2986" t="s">
        <v>29</v>
      </c>
      <c r="B177" s="2975" t="s">
        <v>3194</v>
      </c>
      <c r="C177" s="2987"/>
      <c r="D177" s="2987"/>
      <c r="E177" s="2987"/>
      <c r="F177" s="2976">
        <v>0.05</v>
      </c>
      <c r="G177" s="2993"/>
    </row>
    <row r="178" spans="1:7">
      <c r="A178" s="2986" t="s">
        <v>29</v>
      </c>
      <c r="B178" s="2975" t="s">
        <v>3195</v>
      </c>
      <c r="C178" s="2987"/>
      <c r="D178" s="2987"/>
      <c r="E178" s="2987"/>
      <c r="F178" s="2976">
        <v>0.05</v>
      </c>
      <c r="G178" s="2993"/>
    </row>
    <row r="179" spans="1:7">
      <c r="A179" s="2986" t="s">
        <v>29</v>
      </c>
      <c r="B179" s="2975" t="s">
        <v>3196</v>
      </c>
      <c r="C179" s="2987"/>
      <c r="D179" s="2987"/>
      <c r="E179" s="2987"/>
      <c r="F179" s="2976">
        <v>0.05</v>
      </c>
      <c r="G179" s="2993"/>
    </row>
    <row r="180" spans="1:7">
      <c r="A180" s="2986" t="s">
        <v>29</v>
      </c>
      <c r="B180" s="2975" t="s">
        <v>3197</v>
      </c>
      <c r="C180" s="2987"/>
      <c r="D180" s="2987"/>
      <c r="E180" s="2987"/>
      <c r="F180" s="2976">
        <v>0.05</v>
      </c>
      <c r="G180" s="2993"/>
    </row>
    <row r="181" spans="1:7">
      <c r="A181" s="2986" t="s">
        <v>29</v>
      </c>
      <c r="B181" s="2975" t="s">
        <v>3198</v>
      </c>
      <c r="C181" s="2987"/>
      <c r="D181" s="2987"/>
      <c r="E181" s="2987"/>
      <c r="F181" s="2976">
        <v>0.05</v>
      </c>
      <c r="G181" s="2993"/>
    </row>
    <row r="182" spans="1:7">
      <c r="A182" s="2986" t="s">
        <v>29</v>
      </c>
      <c r="B182" s="2975" t="s">
        <v>3199</v>
      </c>
      <c r="C182" s="2987"/>
      <c r="D182" s="2987"/>
      <c r="E182" s="2987"/>
      <c r="F182" s="2976">
        <v>0.05</v>
      </c>
      <c r="G182" s="2993"/>
    </row>
    <row r="183" spans="1:7">
      <c r="A183" s="2986" t="s">
        <v>29</v>
      </c>
      <c r="B183" s="2975" t="s">
        <v>3200</v>
      </c>
      <c r="C183" s="2987"/>
      <c r="D183" s="2987"/>
      <c r="E183" s="2987"/>
      <c r="F183" s="2976">
        <v>0.05</v>
      </c>
      <c r="G183" s="2993"/>
    </row>
    <row r="184" spans="1:7">
      <c r="A184" s="2986" t="s">
        <v>29</v>
      </c>
      <c r="B184" s="2975" t="s">
        <v>3201</v>
      </c>
      <c r="C184" s="2987"/>
      <c r="D184" s="2987"/>
      <c r="E184" s="2987"/>
      <c r="F184" s="2976">
        <v>0.05</v>
      </c>
      <c r="G184" s="2993"/>
    </row>
    <row r="185" spans="1:7">
      <c r="A185" s="2986" t="s">
        <v>29</v>
      </c>
      <c r="B185" s="2975" t="s">
        <v>3202</v>
      </c>
      <c r="C185" s="2987"/>
      <c r="D185" s="2987"/>
      <c r="E185" s="2987"/>
      <c r="F185" s="2976">
        <v>0.05</v>
      </c>
      <c r="G185" s="2993"/>
    </row>
    <row r="186" spans="1:7">
      <c r="A186" s="2986" t="s">
        <v>29</v>
      </c>
      <c r="B186" s="2975" t="s">
        <v>3203</v>
      </c>
      <c r="C186" s="2987"/>
      <c r="D186" s="2987"/>
      <c r="E186" s="2987"/>
      <c r="F186" s="2976">
        <v>0.05</v>
      </c>
      <c r="G186" s="2993"/>
    </row>
    <row r="187" spans="1:7">
      <c r="A187" s="2986" t="s">
        <v>29</v>
      </c>
      <c r="B187" s="2975" t="s">
        <v>3204</v>
      </c>
      <c r="C187" s="2987"/>
      <c r="D187" s="2987"/>
      <c r="E187" s="2987"/>
      <c r="F187" s="2976">
        <v>0.05</v>
      </c>
      <c r="G187" s="2993"/>
    </row>
    <row r="188" spans="1:7">
      <c r="A188" s="2986" t="s">
        <v>29</v>
      </c>
      <c r="B188" s="2975" t="s">
        <v>3205</v>
      </c>
      <c r="C188" s="2987"/>
      <c r="D188" s="2987"/>
      <c r="E188" s="2987"/>
      <c r="F188" s="2976">
        <v>0.05</v>
      </c>
      <c r="G188" s="2993"/>
    </row>
    <row r="189" spans="1:7" ht="14.25" thickBot="1">
      <c r="A189" s="2989" t="s">
        <v>29</v>
      </c>
      <c r="B189" s="2979" t="s">
        <v>3206</v>
      </c>
      <c r="C189" s="2981"/>
      <c r="D189" s="2981"/>
      <c r="E189" s="2981"/>
      <c r="F189" s="2980">
        <v>0.05</v>
      </c>
      <c r="G189" s="2994"/>
    </row>
    <row r="190" spans="1:7">
      <c r="A190" s="2985" t="s">
        <v>304</v>
      </c>
      <c r="B190" s="2971" t="s">
        <v>2862</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2898</v>
      </c>
      <c r="C199" s="2976">
        <v>0.13</v>
      </c>
      <c r="D199" s="2976">
        <v>0.13</v>
      </c>
      <c r="E199" s="2976">
        <v>0.13</v>
      </c>
      <c r="F199" s="2976">
        <v>0.13</v>
      </c>
      <c r="G199" s="2977">
        <v>0.13</v>
      </c>
    </row>
    <row r="200" spans="1:7">
      <c r="A200" s="2986" t="s">
        <v>304</v>
      </c>
      <c r="B200" s="2975" t="s">
        <v>2901</v>
      </c>
      <c r="C200" s="2992"/>
      <c r="D200" s="2992"/>
      <c r="E200" s="2992"/>
      <c r="F200" s="2976">
        <v>0.13</v>
      </c>
      <c r="G200" s="2988"/>
    </row>
    <row r="201" spans="1:7">
      <c r="A201" s="2986" t="s">
        <v>304</v>
      </c>
      <c r="B201" s="2975" t="s">
        <v>2906</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2909</v>
      </c>
      <c r="C203" s="2976">
        <v>0.129</v>
      </c>
      <c r="D203" s="2976">
        <v>0.129</v>
      </c>
      <c r="E203" s="2976">
        <v>0.13</v>
      </c>
      <c r="F203" s="2976">
        <v>0.13</v>
      </c>
      <c r="G203" s="2977">
        <v>0.13</v>
      </c>
    </row>
    <row r="204" spans="1:7">
      <c r="A204" s="2986" t="s">
        <v>304</v>
      </c>
      <c r="B204" s="2975" t="s">
        <v>2912</v>
      </c>
      <c r="C204" s="2976">
        <v>0.129</v>
      </c>
      <c r="D204" s="2976">
        <v>0.129</v>
      </c>
      <c r="E204" s="2976">
        <v>0.123</v>
      </c>
      <c r="F204" s="2976">
        <v>0.13</v>
      </c>
      <c r="G204" s="2977">
        <v>0.13</v>
      </c>
    </row>
    <row r="205" spans="1:7">
      <c r="A205" s="2986" t="s">
        <v>304</v>
      </c>
      <c r="B205" s="2975" t="s">
        <v>2914</v>
      </c>
      <c r="C205" s="2976">
        <v>0.13</v>
      </c>
      <c r="D205" s="2976">
        <v>0.13</v>
      </c>
      <c r="E205" s="2976">
        <v>0.13</v>
      </c>
      <c r="F205" s="2976">
        <v>0.13</v>
      </c>
      <c r="G205" s="2977">
        <v>0.13</v>
      </c>
    </row>
    <row r="206" spans="1:7">
      <c r="A206" s="2986" t="s">
        <v>304</v>
      </c>
      <c r="B206" s="2975" t="s">
        <v>2917</v>
      </c>
      <c r="C206" s="2976">
        <v>0.13</v>
      </c>
      <c r="D206" s="2976">
        <v>0.13</v>
      </c>
      <c r="E206" s="2976">
        <v>0.13</v>
      </c>
      <c r="F206" s="2976">
        <v>0.128</v>
      </c>
      <c r="G206" s="2977">
        <v>0.13</v>
      </c>
    </row>
    <row r="207" spans="1:7">
      <c r="A207" s="2986" t="s">
        <v>304</v>
      </c>
      <c r="B207" s="2975" t="s">
        <v>2919</v>
      </c>
      <c r="C207" s="2976">
        <v>0.13</v>
      </c>
      <c r="D207" s="2976">
        <v>0.13</v>
      </c>
      <c r="E207" s="2976">
        <v>0.13</v>
      </c>
      <c r="F207" s="2976">
        <v>0.13</v>
      </c>
      <c r="G207" s="2977">
        <v>0.13</v>
      </c>
    </row>
    <row r="208" spans="1:7">
      <c r="A208" s="2986" t="s">
        <v>304</v>
      </c>
      <c r="B208" s="2975" t="s">
        <v>2922</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2929</v>
      </c>
      <c r="C210" s="2976">
        <v>0.121</v>
      </c>
      <c r="D210" s="2976">
        <v>0.121</v>
      </c>
      <c r="E210" s="2976">
        <v>0.125</v>
      </c>
      <c r="F210" s="2976">
        <v>0.13</v>
      </c>
      <c r="G210" s="2977">
        <v>0.123</v>
      </c>
    </row>
    <row r="211" spans="1:7">
      <c r="A211" s="2986" t="s">
        <v>304</v>
      </c>
      <c r="B211" s="2975" t="s">
        <v>2932</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2944</v>
      </c>
      <c r="C214" s="2976">
        <v>0.128</v>
      </c>
      <c r="D214" s="2976">
        <v>0.128</v>
      </c>
      <c r="E214" s="2976">
        <v>0.13</v>
      </c>
      <c r="F214" s="2976">
        <v>0.13</v>
      </c>
      <c r="G214" s="2977">
        <v>0.13</v>
      </c>
    </row>
    <row r="215" spans="1:7">
      <c r="A215" s="2986" t="s">
        <v>304</v>
      </c>
      <c r="B215" s="2975" t="s">
        <v>2948</v>
      </c>
      <c r="C215" s="2976">
        <v>0.13</v>
      </c>
      <c r="D215" s="2976">
        <v>0.13</v>
      </c>
      <c r="E215" s="2976">
        <v>0.13</v>
      </c>
      <c r="F215" s="2976">
        <v>0.129</v>
      </c>
      <c r="G215" s="2977">
        <v>0.13</v>
      </c>
    </row>
    <row r="216" spans="1:7">
      <c r="A216" s="2986" t="s">
        <v>304</v>
      </c>
      <c r="B216" s="2975" t="s">
        <v>2955</v>
      </c>
      <c r="C216" s="2976">
        <v>0.13</v>
      </c>
      <c r="D216" s="2976">
        <v>0.13</v>
      </c>
      <c r="E216" s="2976">
        <v>0.13</v>
      </c>
      <c r="F216" s="2976">
        <v>0.13</v>
      </c>
      <c r="G216" s="2977">
        <v>0.13</v>
      </c>
    </row>
    <row r="217" spans="1:7">
      <c r="A217" s="2986" t="s">
        <v>304</v>
      </c>
      <c r="B217" s="2975" t="s">
        <v>2962</v>
      </c>
      <c r="C217" s="2976">
        <v>0.129</v>
      </c>
      <c r="D217" s="2976">
        <v>0.129</v>
      </c>
      <c r="E217" s="2976">
        <v>0.13</v>
      </c>
      <c r="F217" s="2976">
        <v>0.13</v>
      </c>
      <c r="G217" s="2977">
        <v>0.13</v>
      </c>
    </row>
    <row r="218" spans="1:7">
      <c r="A218" s="2986" t="s">
        <v>304</v>
      </c>
      <c r="B218" s="2975" t="s">
        <v>2968</v>
      </c>
      <c r="C218" s="2987"/>
      <c r="D218" s="2987"/>
      <c r="E218" s="2987"/>
      <c r="F218" s="2976">
        <v>0.05</v>
      </c>
      <c r="G218" s="2993"/>
    </row>
    <row r="219" spans="1:7">
      <c r="A219" s="2986" t="s">
        <v>304</v>
      </c>
      <c r="B219" s="2975" t="s">
        <v>2975</v>
      </c>
      <c r="C219" s="2987"/>
      <c r="D219" s="2987"/>
      <c r="E219" s="2987"/>
      <c r="F219" s="2976">
        <v>0.05</v>
      </c>
      <c r="G219" s="2993"/>
    </row>
    <row r="220" spans="1:7">
      <c r="A220" s="2986" t="s">
        <v>304</v>
      </c>
      <c r="B220" s="2975" t="s">
        <v>2981</v>
      </c>
      <c r="C220" s="2987"/>
      <c r="D220" s="2987"/>
      <c r="E220" s="2987"/>
      <c r="F220" s="2976">
        <v>0.05</v>
      </c>
      <c r="G220" s="2993"/>
    </row>
    <row r="221" spans="1:7">
      <c r="A221" s="2986" t="s">
        <v>304</v>
      </c>
      <c r="B221" s="2975" t="s">
        <v>2986</v>
      </c>
      <c r="C221" s="2987"/>
      <c r="D221" s="2987"/>
      <c r="E221" s="2987"/>
      <c r="F221" s="2976">
        <v>0.05</v>
      </c>
      <c r="G221" s="2993"/>
    </row>
    <row r="222" spans="1:7">
      <c r="A222" s="2986" t="s">
        <v>304</v>
      </c>
      <c r="B222" s="2975" t="s">
        <v>2990</v>
      </c>
      <c r="C222" s="2987"/>
      <c r="D222" s="2987"/>
      <c r="E222" s="2987"/>
      <c r="F222" s="2976">
        <v>0.05</v>
      </c>
      <c r="G222" s="2993"/>
    </row>
    <row r="223" spans="1:7">
      <c r="A223" s="2986" t="s">
        <v>304</v>
      </c>
      <c r="B223" s="2975" t="s">
        <v>2995</v>
      </c>
      <c r="C223" s="2987"/>
      <c r="D223" s="2987"/>
      <c r="E223" s="2987"/>
      <c r="F223" s="2976">
        <v>0.05</v>
      </c>
      <c r="G223" s="2993"/>
    </row>
    <row r="224" spans="1:7">
      <c r="A224" s="2986" t="s">
        <v>304</v>
      </c>
      <c r="B224" s="2975" t="s">
        <v>3000</v>
      </c>
      <c r="C224" s="2987"/>
      <c r="D224" s="2987"/>
      <c r="E224" s="2987"/>
      <c r="F224" s="2976">
        <v>0.05</v>
      </c>
      <c r="G224" s="2993"/>
    </row>
    <row r="225" spans="1:7">
      <c r="A225" s="2986" t="s">
        <v>304</v>
      </c>
      <c r="B225" s="2975" t="s">
        <v>3005</v>
      </c>
      <c r="C225" s="2987"/>
      <c r="D225" s="2987"/>
      <c r="E225" s="2987"/>
      <c r="F225" s="2976">
        <v>0.05</v>
      </c>
      <c r="G225" s="2993"/>
    </row>
    <row r="226" spans="1:7">
      <c r="A226" s="2986" t="s">
        <v>304</v>
      </c>
      <c r="B226" s="2975" t="s">
        <v>3207</v>
      </c>
      <c r="C226" s="2987"/>
      <c r="D226" s="2987"/>
      <c r="E226" s="2987"/>
      <c r="F226" s="2976">
        <v>0.05</v>
      </c>
      <c r="G226" s="2993"/>
    </row>
    <row r="227" spans="1:7">
      <c r="A227" s="2986" t="s">
        <v>304</v>
      </c>
      <c r="B227" s="2975" t="s">
        <v>3208</v>
      </c>
      <c r="C227" s="2987"/>
      <c r="D227" s="2987"/>
      <c r="E227" s="2987"/>
      <c r="F227" s="2976">
        <v>0.05</v>
      </c>
      <c r="G227" s="2993"/>
    </row>
    <row r="228" spans="1:7">
      <c r="A228" s="2986" t="s">
        <v>304</v>
      </c>
      <c r="B228" s="2975" t="s">
        <v>3209</v>
      </c>
      <c r="C228" s="2987"/>
      <c r="D228" s="2987"/>
      <c r="E228" s="2987"/>
      <c r="F228" s="2976">
        <v>0.05</v>
      </c>
      <c r="G228" s="2993"/>
    </row>
    <row r="229" spans="1:7">
      <c r="A229" s="2986" t="s">
        <v>304</v>
      </c>
      <c r="B229" s="2975" t="s">
        <v>3210</v>
      </c>
      <c r="C229" s="2987"/>
      <c r="D229" s="2987"/>
      <c r="E229" s="2987"/>
      <c r="F229" s="2976">
        <v>0.05</v>
      </c>
      <c r="G229" s="2993"/>
    </row>
    <row r="230" spans="1:7">
      <c r="A230" s="2986" t="s">
        <v>304</v>
      </c>
      <c r="B230" s="2975" t="s">
        <v>3211</v>
      </c>
      <c r="C230" s="2987"/>
      <c r="D230" s="2987"/>
      <c r="E230" s="2987"/>
      <c r="F230" s="2976">
        <v>0.05</v>
      </c>
      <c r="G230" s="2993"/>
    </row>
    <row r="231" spans="1:7">
      <c r="A231" s="2986" t="s">
        <v>304</v>
      </c>
      <c r="B231" s="2975" t="s">
        <v>3212</v>
      </c>
      <c r="C231" s="2987"/>
      <c r="D231" s="2987"/>
      <c r="E231" s="2987"/>
      <c r="F231" s="2976">
        <v>0.05</v>
      </c>
      <c r="G231" s="2993"/>
    </row>
    <row r="232" spans="1:7">
      <c r="A232" s="2986" t="s">
        <v>304</v>
      </c>
      <c r="B232" s="2975" t="s">
        <v>3213</v>
      </c>
      <c r="C232" s="2987"/>
      <c r="D232" s="2987"/>
      <c r="E232" s="2987"/>
      <c r="F232" s="2976">
        <v>0.05</v>
      </c>
      <c r="G232" s="2993"/>
    </row>
    <row r="233" spans="1:7" ht="14.25" thickBot="1">
      <c r="A233" s="2989" t="s">
        <v>304</v>
      </c>
      <c r="B233" s="2979" t="s">
        <v>3214</v>
      </c>
      <c r="C233" s="2981"/>
      <c r="D233" s="2981"/>
      <c r="E233" s="2981"/>
      <c r="F233" s="2980">
        <v>0.05</v>
      </c>
      <c r="G233" s="2994"/>
    </row>
    <row r="234" spans="1:7">
      <c r="A234" s="2985" t="s">
        <v>305</v>
      </c>
      <c r="B234" s="2971" t="s">
        <v>2863</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2883</v>
      </c>
      <c r="C238" s="2976">
        <v>0.14899999999999999</v>
      </c>
      <c r="D238" s="2976">
        <v>0.14899999999999999</v>
      </c>
      <c r="E238" s="2976">
        <v>0.15</v>
      </c>
      <c r="F238" s="2976">
        <v>0.15</v>
      </c>
      <c r="G238" s="2977">
        <v>0.15</v>
      </c>
    </row>
    <row r="239" spans="1:7">
      <c r="A239" s="2986" t="s">
        <v>305</v>
      </c>
      <c r="B239" s="2975" t="s">
        <v>2887</v>
      </c>
      <c r="C239" s="2976">
        <v>0.15</v>
      </c>
      <c r="D239" s="2976">
        <v>0.15</v>
      </c>
      <c r="E239" s="2976">
        <v>0.15</v>
      </c>
      <c r="F239" s="2976">
        <v>0.15</v>
      </c>
      <c r="G239" s="2977">
        <v>0.15</v>
      </c>
    </row>
    <row r="240" spans="1:7">
      <c r="A240" s="2986" t="s">
        <v>305</v>
      </c>
      <c r="B240" s="2975" t="s">
        <v>2892</v>
      </c>
      <c r="C240" s="2976">
        <v>0.15</v>
      </c>
      <c r="D240" s="2976">
        <v>0.15</v>
      </c>
      <c r="E240" s="2976">
        <v>0.15</v>
      </c>
      <c r="F240" s="2976">
        <v>0.15</v>
      </c>
      <c r="G240" s="2977">
        <v>0.15</v>
      </c>
    </row>
    <row r="241" spans="1:7">
      <c r="A241" s="2986" t="s">
        <v>305</v>
      </c>
      <c r="B241" s="2975" t="s">
        <v>2896</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2902</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2910</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2915</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2923</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2936</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2945</v>
      </c>
      <c r="C258" s="2976">
        <v>0.14299999999999999</v>
      </c>
      <c r="D258" s="2976">
        <v>0.14299999999999999</v>
      </c>
      <c r="E258" s="2976">
        <v>0.15</v>
      </c>
      <c r="F258" s="2976">
        <v>0.14799999999999999</v>
      </c>
      <c r="G258" s="2977">
        <v>0.14599999999999999</v>
      </c>
    </row>
    <row r="259" spans="1:7">
      <c r="A259" s="2986" t="s">
        <v>305</v>
      </c>
      <c r="B259" s="2975" t="s">
        <v>2949</v>
      </c>
      <c r="C259" s="2976">
        <v>0.14399999999999999</v>
      </c>
      <c r="D259" s="2976">
        <v>0.14399999999999999</v>
      </c>
      <c r="E259" s="2976">
        <v>0.14899999999999999</v>
      </c>
      <c r="F259" s="2976">
        <v>0.14699999999999999</v>
      </c>
      <c r="G259" s="2977">
        <v>0.14599999999999999</v>
      </c>
    </row>
    <row r="260" spans="1:7">
      <c r="A260" s="2986" t="s">
        <v>305</v>
      </c>
      <c r="B260" s="2975" t="s">
        <v>2956</v>
      </c>
      <c r="C260" s="2976">
        <v>0.109</v>
      </c>
      <c r="D260" s="2976">
        <v>0.111</v>
      </c>
      <c r="E260" s="2976">
        <v>0.13100000000000001</v>
      </c>
      <c r="F260" s="2976">
        <v>0.126</v>
      </c>
      <c r="G260" s="2977">
        <v>0.11899999999999999</v>
      </c>
    </row>
    <row r="261" spans="1:7">
      <c r="A261" s="2986" t="s">
        <v>305</v>
      </c>
      <c r="B261" s="2975" t="s">
        <v>2963</v>
      </c>
      <c r="C261" s="2976">
        <v>0.1</v>
      </c>
      <c r="D261" s="2976">
        <v>0.1</v>
      </c>
      <c r="E261" s="2976">
        <v>0.11799999999999999</v>
      </c>
      <c r="F261" s="2976">
        <v>0.108</v>
      </c>
      <c r="G261" s="2977">
        <v>0.107</v>
      </c>
    </row>
    <row r="262" spans="1:7">
      <c r="A262" s="2986" t="s">
        <v>305</v>
      </c>
      <c r="B262" s="2975" t="s">
        <v>2969</v>
      </c>
      <c r="C262" s="2976">
        <v>0.1</v>
      </c>
      <c r="D262" s="2976">
        <v>0.1</v>
      </c>
      <c r="E262" s="2976">
        <v>0.1</v>
      </c>
      <c r="F262" s="2976">
        <v>0.14099999999999999</v>
      </c>
      <c r="G262" s="2977">
        <v>0.1</v>
      </c>
    </row>
    <row r="263" spans="1:7">
      <c r="A263" s="2986" t="s">
        <v>305</v>
      </c>
      <c r="B263" s="2975" t="s">
        <v>2976</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2987</v>
      </c>
      <c r="C265" s="2987"/>
      <c r="D265" s="2987"/>
      <c r="E265" s="2987"/>
      <c r="F265" s="2976">
        <v>0.05</v>
      </c>
      <c r="G265" s="2993"/>
    </row>
    <row r="266" spans="1:7">
      <c r="A266" s="2986" t="s">
        <v>305</v>
      </c>
      <c r="B266" s="2975" t="s">
        <v>2991</v>
      </c>
      <c r="C266" s="2987"/>
      <c r="D266" s="2987"/>
      <c r="E266" s="2987"/>
      <c r="F266" s="2976">
        <v>0.05</v>
      </c>
      <c r="G266" s="2993"/>
    </row>
    <row r="267" spans="1:7">
      <c r="A267" s="2986" t="s">
        <v>305</v>
      </c>
      <c r="B267" s="2975" t="s">
        <v>2996</v>
      </c>
      <c r="C267" s="2987"/>
      <c r="D267" s="2987"/>
      <c r="E267" s="2987"/>
      <c r="F267" s="2976">
        <v>0.05</v>
      </c>
      <c r="G267" s="2993"/>
    </row>
    <row r="268" spans="1:7">
      <c r="A268" s="2986" t="s">
        <v>305</v>
      </c>
      <c r="B268" s="2975" t="s">
        <v>3001</v>
      </c>
      <c r="C268" s="2987"/>
      <c r="D268" s="2987"/>
      <c r="E268" s="2987"/>
      <c r="F268" s="2976">
        <v>0.05</v>
      </c>
      <c r="G268" s="2993"/>
    </row>
    <row r="269" spans="1:7">
      <c r="A269" s="2986" t="s">
        <v>305</v>
      </c>
      <c r="B269" s="2975" t="s">
        <v>3006</v>
      </c>
      <c r="C269" s="2987"/>
      <c r="D269" s="2987"/>
      <c r="E269" s="2987"/>
      <c r="F269" s="2976">
        <v>0.05</v>
      </c>
      <c r="G269" s="2993"/>
    </row>
    <row r="270" spans="1:7">
      <c r="A270" s="2986" t="s">
        <v>305</v>
      </c>
      <c r="B270" s="2975" t="s">
        <v>3011</v>
      </c>
      <c r="C270" s="2987"/>
      <c r="D270" s="2987"/>
      <c r="E270" s="2987"/>
      <c r="F270" s="2976">
        <v>0.05</v>
      </c>
      <c r="G270" s="2993"/>
    </row>
    <row r="271" spans="1:7">
      <c r="A271" s="2986" t="s">
        <v>305</v>
      </c>
      <c r="B271" s="2975" t="s">
        <v>3215</v>
      </c>
      <c r="C271" s="2987"/>
      <c r="D271" s="2987"/>
      <c r="E271" s="2987"/>
      <c r="F271" s="2976">
        <v>0.05</v>
      </c>
      <c r="G271" s="2993"/>
    </row>
    <row r="272" spans="1:7">
      <c r="A272" s="2986" t="s">
        <v>305</v>
      </c>
      <c r="B272" s="2975" t="s">
        <v>3216</v>
      </c>
      <c r="C272" s="2987"/>
      <c r="D272" s="2987"/>
      <c r="E272" s="2987"/>
      <c r="F272" s="2976">
        <v>0.05</v>
      </c>
      <c r="G272" s="2993"/>
    </row>
    <row r="273" spans="1:7">
      <c r="A273" s="2986" t="s">
        <v>305</v>
      </c>
      <c r="B273" s="2975" t="s">
        <v>3217</v>
      </c>
      <c r="C273" s="2987"/>
      <c r="D273" s="2987"/>
      <c r="E273" s="2987"/>
      <c r="F273" s="2976">
        <v>0.05</v>
      </c>
      <c r="G273" s="2993"/>
    </row>
    <row r="274" spans="1:7">
      <c r="A274" s="2986" t="s">
        <v>305</v>
      </c>
      <c r="B274" s="2975" t="s">
        <v>3218</v>
      </c>
      <c r="C274" s="2987"/>
      <c r="D274" s="2987"/>
      <c r="E274" s="2987"/>
      <c r="F274" s="2976">
        <v>0.05</v>
      </c>
      <c r="G274" s="2993"/>
    </row>
    <row r="275" spans="1:7">
      <c r="A275" s="2986" t="s">
        <v>305</v>
      </c>
      <c r="B275" s="2975" t="s">
        <v>3219</v>
      </c>
      <c r="C275" s="2987"/>
      <c r="D275" s="2987"/>
      <c r="E275" s="2987"/>
      <c r="F275" s="2976">
        <v>0.05</v>
      </c>
      <c r="G275" s="2993"/>
    </row>
    <row r="276" spans="1:7" ht="14.25" thickBot="1">
      <c r="A276" s="2989" t="s">
        <v>305</v>
      </c>
      <c r="B276" s="2979" t="s">
        <v>3220</v>
      </c>
      <c r="C276" s="2981"/>
      <c r="D276" s="2981"/>
      <c r="E276" s="2981"/>
      <c r="F276" s="2980">
        <v>0.05</v>
      </c>
      <c r="G276" s="2994"/>
    </row>
    <row r="277" spans="1:7">
      <c r="A277" s="2985" t="s">
        <v>306</v>
      </c>
      <c r="B277" s="2971" t="s">
        <v>2864</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2876</v>
      </c>
      <c r="C279" s="2976">
        <v>0.15</v>
      </c>
      <c r="D279" s="2976">
        <v>0.15</v>
      </c>
      <c r="E279" s="2976">
        <v>0.15</v>
      </c>
      <c r="F279" s="2976">
        <v>0.15</v>
      </c>
      <c r="G279" s="2977">
        <v>0.15</v>
      </c>
    </row>
    <row r="280" spans="1:7">
      <c r="A280" s="2986" t="s">
        <v>306</v>
      </c>
      <c r="B280" s="2975" t="s">
        <v>2880</v>
      </c>
      <c r="C280" s="2976">
        <v>0.15</v>
      </c>
      <c r="D280" s="2976">
        <v>0.15</v>
      </c>
      <c r="E280" s="2976">
        <v>0.15</v>
      </c>
      <c r="F280" s="2976">
        <v>0.15</v>
      </c>
      <c r="G280" s="2977">
        <v>0.15</v>
      </c>
    </row>
    <row r="281" spans="1:7">
      <c r="A281" s="2986" t="s">
        <v>306</v>
      </c>
      <c r="B281" s="2975" t="s">
        <v>2884</v>
      </c>
      <c r="C281" s="2976">
        <v>0.15</v>
      </c>
      <c r="D281" s="2976">
        <v>0.15</v>
      </c>
      <c r="E281" s="2976">
        <v>0.15</v>
      </c>
      <c r="F281" s="2976">
        <v>0.15</v>
      </c>
      <c r="G281" s="2977">
        <v>0.15</v>
      </c>
    </row>
    <row r="282" spans="1:7">
      <c r="A282" s="2986" t="s">
        <v>306</v>
      </c>
      <c r="B282" s="2975" t="s">
        <v>2888</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2903</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2908</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2918</v>
      </c>
      <c r="C293" s="2976">
        <v>0.15</v>
      </c>
      <c r="D293" s="2976">
        <v>0.15</v>
      </c>
      <c r="E293" s="2976">
        <v>0.15</v>
      </c>
      <c r="F293" s="2976">
        <v>0.14499999999999999</v>
      </c>
      <c r="G293" s="2977">
        <v>0.15</v>
      </c>
    </row>
    <row r="294" spans="1:7">
      <c r="A294" s="2986" t="s">
        <v>306</v>
      </c>
      <c r="B294" s="2975" t="s">
        <v>2920</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2937</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2950</v>
      </c>
      <c r="C302" s="2976">
        <v>0.15</v>
      </c>
      <c r="D302" s="2976">
        <v>0.15</v>
      </c>
      <c r="E302" s="2976">
        <v>0.15</v>
      </c>
      <c r="F302" s="2976">
        <v>0.14699999999999999</v>
      </c>
      <c r="G302" s="2977">
        <v>0.15</v>
      </c>
    </row>
    <row r="303" spans="1:7">
      <c r="A303" s="2986" t="s">
        <v>306</v>
      </c>
      <c r="B303" s="2975" t="s">
        <v>2957</v>
      </c>
      <c r="C303" s="2976">
        <v>0.15</v>
      </c>
      <c r="D303" s="2976">
        <v>0.15</v>
      </c>
      <c r="E303" s="2976">
        <v>0.15</v>
      </c>
      <c r="F303" s="2976">
        <v>0.14199999999999999</v>
      </c>
      <c r="G303" s="2977">
        <v>0.15</v>
      </c>
    </row>
    <row r="304" spans="1:7">
      <c r="A304" s="2986" t="s">
        <v>306</v>
      </c>
      <c r="B304" s="2975" t="s">
        <v>2964</v>
      </c>
      <c r="C304" s="2976">
        <v>0.15</v>
      </c>
      <c r="D304" s="2976">
        <v>0.15</v>
      </c>
      <c r="E304" s="2976">
        <v>0.15</v>
      </c>
      <c r="F304" s="2976">
        <v>0.14499999999999999</v>
      </c>
      <c r="G304" s="2977">
        <v>0.15</v>
      </c>
    </row>
    <row r="305" spans="1:7">
      <c r="A305" s="2986" t="s">
        <v>306</v>
      </c>
      <c r="B305" s="2975" t="s">
        <v>2970</v>
      </c>
      <c r="C305" s="2976">
        <v>0.15</v>
      </c>
      <c r="D305" s="2976">
        <v>0.15</v>
      </c>
      <c r="E305" s="2976">
        <v>0.15</v>
      </c>
      <c r="F305" s="2976">
        <v>0.111</v>
      </c>
      <c r="G305" s="2977">
        <v>0.15</v>
      </c>
    </row>
    <row r="306" spans="1:7">
      <c r="A306" s="2986" t="s">
        <v>306</v>
      </c>
      <c r="B306" s="2975" t="s">
        <v>2977</v>
      </c>
      <c r="C306" s="2976">
        <v>0.15</v>
      </c>
      <c r="D306" s="2976">
        <v>0.15</v>
      </c>
      <c r="E306" s="2976">
        <v>0.15</v>
      </c>
      <c r="F306" s="2976">
        <v>0.126</v>
      </c>
      <c r="G306" s="2977">
        <v>0.15</v>
      </c>
    </row>
    <row r="307" spans="1:7">
      <c r="A307" s="2986" t="s">
        <v>306</v>
      </c>
      <c r="B307" s="2975" t="s">
        <v>2982</v>
      </c>
      <c r="C307" s="2976">
        <v>0.15</v>
      </c>
      <c r="D307" s="2976">
        <v>0.15</v>
      </c>
      <c r="E307" s="2976">
        <v>0.15</v>
      </c>
      <c r="F307" s="2976">
        <v>0.12</v>
      </c>
      <c r="G307" s="2977">
        <v>0.15</v>
      </c>
    </row>
    <row r="308" spans="1:7">
      <c r="A308" s="2986" t="s">
        <v>306</v>
      </c>
      <c r="B308" s="2975" t="s">
        <v>2988</v>
      </c>
      <c r="C308" s="2976">
        <v>0.15</v>
      </c>
      <c r="D308" s="2976">
        <v>0.15</v>
      </c>
      <c r="E308" s="2976">
        <v>0.15</v>
      </c>
      <c r="F308" s="2976">
        <v>0.13</v>
      </c>
      <c r="G308" s="2977">
        <v>0.15</v>
      </c>
    </row>
    <row r="309" spans="1:7">
      <c r="A309" s="2986" t="s">
        <v>306</v>
      </c>
      <c r="B309" s="2975" t="s">
        <v>2992</v>
      </c>
      <c r="C309" s="2976">
        <v>0.15</v>
      </c>
      <c r="D309" s="2976">
        <v>0.15</v>
      </c>
      <c r="E309" s="2976">
        <v>0.15</v>
      </c>
      <c r="F309" s="2976">
        <v>0.14099999999999999</v>
      </c>
      <c r="G309" s="2977">
        <v>0.15</v>
      </c>
    </row>
    <row r="310" spans="1:7">
      <c r="A310" s="2986" t="s">
        <v>306</v>
      </c>
      <c r="B310" s="2975" t="s">
        <v>2997</v>
      </c>
      <c r="C310" s="2976">
        <v>0.15</v>
      </c>
      <c r="D310" s="2976">
        <v>0.15</v>
      </c>
      <c r="E310" s="2976">
        <v>0.15</v>
      </c>
      <c r="F310" s="2976">
        <v>0.15</v>
      </c>
      <c r="G310" s="2977">
        <v>0.15</v>
      </c>
    </row>
    <row r="311" spans="1:7">
      <c r="A311" s="2986" t="s">
        <v>306</v>
      </c>
      <c r="B311" s="2975" t="s">
        <v>3002</v>
      </c>
      <c r="C311" s="2976">
        <v>0.13200000000000001</v>
      </c>
      <c r="D311" s="2976">
        <v>0.13300000000000001</v>
      </c>
      <c r="E311" s="2976">
        <v>0.14499999999999999</v>
      </c>
      <c r="F311" s="2976">
        <v>0.14199999999999999</v>
      </c>
      <c r="G311" s="2977">
        <v>0.14000000000000001</v>
      </c>
    </row>
    <row r="312" spans="1:7">
      <c r="A312" s="2986" t="s">
        <v>306</v>
      </c>
      <c r="B312" s="2975" t="s">
        <v>3007</v>
      </c>
      <c r="C312" s="2976">
        <v>0.13800000000000001</v>
      </c>
      <c r="D312" s="2976">
        <v>0.14000000000000001</v>
      </c>
      <c r="E312" s="2976">
        <v>0.14599999999999999</v>
      </c>
      <c r="F312" s="2976">
        <v>0.14899999999999999</v>
      </c>
      <c r="G312" s="2977">
        <v>0.14199999999999999</v>
      </c>
    </row>
    <row r="313" spans="1:7">
      <c r="A313" s="2986" t="s">
        <v>306</v>
      </c>
      <c r="B313" s="2975" t="s">
        <v>3012</v>
      </c>
      <c r="C313" s="2976">
        <v>0.125</v>
      </c>
      <c r="D313" s="2976">
        <v>0.127</v>
      </c>
      <c r="E313" s="2976">
        <v>0.14399999999999999</v>
      </c>
      <c r="F313" s="2976">
        <v>0.115</v>
      </c>
      <c r="G313" s="2977">
        <v>0.13600000000000001</v>
      </c>
    </row>
    <row r="314" spans="1:7">
      <c r="A314" s="2986" t="s">
        <v>306</v>
      </c>
      <c r="B314" s="2975" t="s">
        <v>3221</v>
      </c>
      <c r="C314" s="2992"/>
      <c r="D314" s="2992"/>
      <c r="E314" s="2992"/>
      <c r="F314" s="2976">
        <v>0.05</v>
      </c>
      <c r="G314" s="2993"/>
    </row>
    <row r="315" spans="1:7">
      <c r="A315" s="2986" t="s">
        <v>306</v>
      </c>
      <c r="B315" s="2975" t="s">
        <v>3222</v>
      </c>
      <c r="C315" s="2992"/>
      <c r="D315" s="2992"/>
      <c r="E315" s="2992"/>
      <c r="F315" s="2976">
        <v>0.05</v>
      </c>
      <c r="G315" s="2993"/>
    </row>
    <row r="316" spans="1:7">
      <c r="A316" s="2986" t="s">
        <v>306</v>
      </c>
      <c r="B316" s="2975" t="s">
        <v>3223</v>
      </c>
      <c r="C316" s="2987"/>
      <c r="D316" s="2987"/>
      <c r="E316" s="2987"/>
      <c r="F316" s="2976">
        <v>0.05</v>
      </c>
      <c r="G316" s="2993"/>
    </row>
    <row r="317" spans="1:7">
      <c r="A317" s="2986" t="s">
        <v>306</v>
      </c>
      <c r="B317" s="2975" t="s">
        <v>3224</v>
      </c>
      <c r="C317" s="2987"/>
      <c r="D317" s="2987"/>
      <c r="E317" s="2987"/>
      <c r="F317" s="2976">
        <v>0.05</v>
      </c>
      <c r="G317" s="2993"/>
    </row>
    <row r="318" spans="1:7">
      <c r="A318" s="2986" t="s">
        <v>306</v>
      </c>
      <c r="B318" s="2975" t="s">
        <v>3225</v>
      </c>
      <c r="C318" s="2987"/>
      <c r="D318" s="2987"/>
      <c r="E318" s="2987"/>
      <c r="F318" s="2976">
        <v>0.05</v>
      </c>
      <c r="G318" s="2993"/>
    </row>
    <row r="319" spans="1:7">
      <c r="A319" s="2986" t="s">
        <v>306</v>
      </c>
      <c r="B319" s="2975" t="s">
        <v>3226</v>
      </c>
      <c r="C319" s="2987"/>
      <c r="D319" s="2987"/>
      <c r="E319" s="2987"/>
      <c r="F319" s="2976">
        <v>0.05</v>
      </c>
      <c r="G319" s="2993"/>
    </row>
    <row r="320" spans="1:7">
      <c r="A320" s="2986" t="s">
        <v>306</v>
      </c>
      <c r="B320" s="2975" t="s">
        <v>3227</v>
      </c>
      <c r="C320" s="2987"/>
      <c r="D320" s="2987"/>
      <c r="E320" s="2987"/>
      <c r="F320" s="2976">
        <v>0.05</v>
      </c>
      <c r="G320" s="2993"/>
    </row>
    <row r="321" spans="1:7">
      <c r="A321" s="2986" t="s">
        <v>306</v>
      </c>
      <c r="B321" s="2975" t="s">
        <v>3228</v>
      </c>
      <c r="C321" s="2987"/>
      <c r="D321" s="2987"/>
      <c r="E321" s="2987"/>
      <c r="F321" s="2976">
        <v>0.05</v>
      </c>
      <c r="G321" s="2993"/>
    </row>
    <row r="322" spans="1:7">
      <c r="A322" s="2986" t="s">
        <v>306</v>
      </c>
      <c r="B322" s="2975" t="s">
        <v>3229</v>
      </c>
      <c r="C322" s="2987"/>
      <c r="D322" s="2987"/>
      <c r="E322" s="2987"/>
      <c r="F322" s="2976">
        <v>0.05</v>
      </c>
      <c r="G322" s="2993"/>
    </row>
    <row r="323" spans="1:7">
      <c r="A323" s="2986" t="s">
        <v>306</v>
      </c>
      <c r="B323" s="2975" t="s">
        <v>3230</v>
      </c>
      <c r="C323" s="2987"/>
      <c r="D323" s="2987"/>
      <c r="E323" s="2987"/>
      <c r="F323" s="2976">
        <v>0.05</v>
      </c>
      <c r="G323" s="2993"/>
    </row>
    <row r="324" spans="1:7">
      <c r="A324" s="2986" t="s">
        <v>306</v>
      </c>
      <c r="B324" s="2975" t="s">
        <v>3231</v>
      </c>
      <c r="C324" s="2987"/>
      <c r="D324" s="2987"/>
      <c r="E324" s="2987"/>
      <c r="F324" s="2976">
        <v>0.05</v>
      </c>
      <c r="G324" s="2993"/>
    </row>
    <row r="325" spans="1:7">
      <c r="A325" s="2986" t="s">
        <v>306</v>
      </c>
      <c r="B325" s="2975" t="s">
        <v>3232</v>
      </c>
      <c r="C325" s="2987"/>
      <c r="D325" s="2987"/>
      <c r="E325" s="2987"/>
      <c r="F325" s="2976">
        <v>0.05</v>
      </c>
      <c r="G325" s="2993"/>
    </row>
    <row r="326" spans="1:7" ht="14.25" thickBot="1">
      <c r="A326" s="2989" t="s">
        <v>306</v>
      </c>
      <c r="B326" s="2979" t="s">
        <v>3233</v>
      </c>
      <c r="C326" s="2981"/>
      <c r="D326" s="2981"/>
      <c r="E326" s="2981"/>
      <c r="F326" s="2980">
        <v>0.05</v>
      </c>
      <c r="G326" s="2994"/>
    </row>
    <row r="327" spans="1:7">
      <c r="A327" s="2985" t="s">
        <v>307</v>
      </c>
      <c r="B327" s="2971" t="s">
        <v>2865</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2877</v>
      </c>
      <c r="C329" s="2976">
        <v>0.15</v>
      </c>
      <c r="D329" s="2976">
        <v>0.15</v>
      </c>
      <c r="E329" s="2976">
        <v>0.15</v>
      </c>
      <c r="F329" s="2976">
        <v>0.15</v>
      </c>
      <c r="G329" s="2977">
        <v>0.15</v>
      </c>
    </row>
    <row r="330" spans="1:7">
      <c r="A330" s="2986" t="s">
        <v>307</v>
      </c>
      <c r="B330" s="2975" t="s">
        <v>2881</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2889</v>
      </c>
      <c r="C332" s="2976">
        <v>0.15</v>
      </c>
      <c r="D332" s="2976">
        <v>0.15</v>
      </c>
      <c r="E332" s="2976">
        <v>0.15</v>
      </c>
      <c r="F332" s="2976">
        <v>0.15</v>
      </c>
      <c r="G332" s="2977">
        <v>0.15</v>
      </c>
    </row>
    <row r="333" spans="1:7">
      <c r="A333" s="2986" t="s">
        <v>307</v>
      </c>
      <c r="B333" s="2975" t="s">
        <v>2893</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2899</v>
      </c>
      <c r="C336" s="2976">
        <v>0.15</v>
      </c>
      <c r="D336" s="2976">
        <v>0.15</v>
      </c>
      <c r="E336" s="2976">
        <v>0.15</v>
      </c>
      <c r="F336" s="2976">
        <v>0.14199999999999999</v>
      </c>
      <c r="G336" s="2977">
        <v>0.15</v>
      </c>
    </row>
    <row r="337" spans="1:7">
      <c r="A337" s="2986" t="s">
        <v>307</v>
      </c>
      <c r="B337" s="2975" t="s">
        <v>2904</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2911</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2916</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2924</v>
      </c>
      <c r="C345" s="2976">
        <v>0.15</v>
      </c>
      <c r="D345" s="2976">
        <v>0.15</v>
      </c>
      <c r="E345" s="2976">
        <v>0.15</v>
      </c>
      <c r="F345" s="2976">
        <v>0.13800000000000001</v>
      </c>
      <c r="G345" s="2977">
        <v>0.15</v>
      </c>
    </row>
    <row r="346" spans="1:7">
      <c r="A346" s="2986" t="s">
        <v>307</v>
      </c>
      <c r="B346" s="2975" t="s">
        <v>2926</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2933</v>
      </c>
      <c r="C348" s="2976">
        <v>0.15</v>
      </c>
      <c r="D348" s="2976">
        <v>0.15</v>
      </c>
      <c r="E348" s="2976">
        <v>0.15</v>
      </c>
      <c r="F348" s="2976">
        <v>0.14399999999999999</v>
      </c>
      <c r="G348" s="2977">
        <v>0.15</v>
      </c>
    </row>
    <row r="349" spans="1:7">
      <c r="A349" s="2986" t="s">
        <v>307</v>
      </c>
      <c r="B349" s="2975" t="s">
        <v>2938</v>
      </c>
      <c r="C349" s="2976">
        <v>0.15</v>
      </c>
      <c r="D349" s="2976">
        <v>0.15</v>
      </c>
      <c r="E349" s="2976">
        <v>0.15</v>
      </c>
      <c r="F349" s="2976">
        <v>0.15</v>
      </c>
      <c r="G349" s="2977">
        <v>0.15</v>
      </c>
    </row>
    <row r="350" spans="1:7">
      <c r="A350" s="2986" t="s">
        <v>307</v>
      </c>
      <c r="B350" s="2975" t="s">
        <v>2941</v>
      </c>
      <c r="C350" s="2976">
        <v>0.15</v>
      </c>
      <c r="D350" s="2976">
        <v>0.15</v>
      </c>
      <c r="E350" s="2976">
        <v>0.15</v>
      </c>
      <c r="F350" s="2976">
        <v>0.14699999999999999</v>
      </c>
      <c r="G350" s="2977">
        <v>0.15</v>
      </c>
    </row>
    <row r="351" spans="1:7">
      <c r="A351" s="2986" t="s">
        <v>307</v>
      </c>
      <c r="B351" s="2975" t="s">
        <v>2946</v>
      </c>
      <c r="C351" s="2976">
        <v>0.15</v>
      </c>
      <c r="D351" s="2976">
        <v>0.15</v>
      </c>
      <c r="E351" s="2976">
        <v>0.15</v>
      </c>
      <c r="F351" s="2976">
        <v>0.13</v>
      </c>
      <c r="G351" s="2977">
        <v>0.15</v>
      </c>
    </row>
    <row r="352" spans="1:7">
      <c r="A352" s="2986" t="s">
        <v>307</v>
      </c>
      <c r="B352" s="2975" t="s">
        <v>2951</v>
      </c>
      <c r="C352" s="2976">
        <v>0.15</v>
      </c>
      <c r="D352" s="2976">
        <v>0.15</v>
      </c>
      <c r="E352" s="2976">
        <v>0.15</v>
      </c>
      <c r="F352" s="2976">
        <v>0.14599999999999999</v>
      </c>
      <c r="G352" s="2977">
        <v>0.15</v>
      </c>
    </row>
    <row r="353" spans="1:7">
      <c r="A353" s="2986" t="s">
        <v>307</v>
      </c>
      <c r="B353" s="2975" t="s">
        <v>2958</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2971</v>
      </c>
      <c r="C355" s="2976">
        <v>0.15</v>
      </c>
      <c r="D355" s="2976">
        <v>0.15</v>
      </c>
      <c r="E355" s="2976">
        <v>0.15</v>
      </c>
      <c r="F355" s="2976">
        <v>0.15</v>
      </c>
      <c r="G355" s="2977">
        <v>0.15</v>
      </c>
    </row>
    <row r="356" spans="1:7">
      <c r="A356" s="2986" t="s">
        <v>307</v>
      </c>
      <c r="B356" s="2975" t="s">
        <v>2978</v>
      </c>
      <c r="C356" s="2976">
        <v>0.15</v>
      </c>
      <c r="D356" s="2976">
        <v>0.15</v>
      </c>
      <c r="E356" s="2976">
        <v>0.15</v>
      </c>
      <c r="F356" s="2976">
        <v>0.15</v>
      </c>
      <c r="G356" s="2977">
        <v>0.15</v>
      </c>
    </row>
    <row r="357" spans="1:7" ht="14.25" thickBot="1">
      <c r="A357" s="2989" t="s">
        <v>307</v>
      </c>
      <c r="B357" s="2979" t="s">
        <v>2983</v>
      </c>
      <c r="C357" s="2980">
        <v>0.126</v>
      </c>
      <c r="D357" s="2980">
        <v>0.127</v>
      </c>
      <c r="E357" s="2980">
        <v>0.14299999999999999</v>
      </c>
      <c r="F357" s="2980">
        <v>0.125</v>
      </c>
      <c r="G357" s="2982">
        <v>0.129</v>
      </c>
    </row>
    <row r="358" spans="1:7">
      <c r="A358" s="2985" t="s">
        <v>2852</v>
      </c>
      <c r="B358" s="2971" t="s">
        <v>2866</v>
      </c>
      <c r="C358" s="2972">
        <v>0.15</v>
      </c>
      <c r="D358" s="2972">
        <v>0.15</v>
      </c>
      <c r="E358" s="2972">
        <v>0.15</v>
      </c>
      <c r="F358" s="2972">
        <v>0.15</v>
      </c>
      <c r="G358" s="2973">
        <v>0.15</v>
      </c>
    </row>
    <row r="359" spans="1:7">
      <c r="A359" s="2986" t="s">
        <v>2852</v>
      </c>
      <c r="B359" s="2975" t="s">
        <v>2872</v>
      </c>
      <c r="C359" s="2976">
        <v>0.1</v>
      </c>
      <c r="D359" s="2976">
        <v>0.1</v>
      </c>
      <c r="E359" s="2976">
        <v>0.1</v>
      </c>
      <c r="F359" s="2976">
        <v>0.1</v>
      </c>
      <c r="G359" s="2977">
        <v>0.1</v>
      </c>
    </row>
    <row r="360" spans="1:7">
      <c r="A360" s="2986" t="s">
        <v>2852</v>
      </c>
      <c r="B360" s="2975" t="s">
        <v>2878</v>
      </c>
      <c r="C360" s="2976">
        <v>0.15</v>
      </c>
      <c r="D360" s="2976">
        <v>0.15</v>
      </c>
      <c r="E360" s="2976">
        <v>0.15</v>
      </c>
      <c r="F360" s="2976">
        <v>0.14899999999999999</v>
      </c>
      <c r="G360" s="2977">
        <v>0.15</v>
      </c>
    </row>
    <row r="361" spans="1:7">
      <c r="A361" s="2986" t="s">
        <v>2852</v>
      </c>
      <c r="B361" s="2975" t="s">
        <v>153</v>
      </c>
      <c r="C361" s="2976">
        <v>0.15</v>
      </c>
      <c r="D361" s="2976">
        <v>0.15</v>
      </c>
      <c r="E361" s="2976">
        <v>0.15</v>
      </c>
      <c r="F361" s="2976">
        <v>0.115</v>
      </c>
      <c r="G361" s="2977">
        <v>0.15</v>
      </c>
    </row>
    <row r="362" spans="1:7">
      <c r="A362" s="2986" t="s">
        <v>2852</v>
      </c>
      <c r="B362" s="2975" t="s">
        <v>2885</v>
      </c>
      <c r="C362" s="2976">
        <v>0.15</v>
      </c>
      <c r="D362" s="2976">
        <v>0.15</v>
      </c>
      <c r="E362" s="2976">
        <v>0.15</v>
      </c>
      <c r="F362" s="2976">
        <v>0.106</v>
      </c>
      <c r="G362" s="2977">
        <v>0.15</v>
      </c>
    </row>
    <row r="363" spans="1:7">
      <c r="A363" s="2986" t="s">
        <v>2852</v>
      </c>
      <c r="B363" s="2975" t="s">
        <v>2890</v>
      </c>
      <c r="C363" s="2976">
        <v>0.15</v>
      </c>
      <c r="D363" s="2976">
        <v>0.15</v>
      </c>
      <c r="E363" s="2976">
        <v>0.15</v>
      </c>
      <c r="F363" s="2976">
        <v>0.14699999999999999</v>
      </c>
      <c r="G363" s="2977">
        <v>0.15</v>
      </c>
    </row>
    <row r="364" spans="1:7">
      <c r="A364" s="2986" t="s">
        <v>2852</v>
      </c>
      <c r="B364" s="2975" t="s">
        <v>2894</v>
      </c>
      <c r="C364" s="2976">
        <v>0.15</v>
      </c>
      <c r="D364" s="2976">
        <v>0.15</v>
      </c>
      <c r="E364" s="2976">
        <v>0.15</v>
      </c>
      <c r="F364" s="2976">
        <v>0.14799999999999999</v>
      </c>
      <c r="G364" s="2977">
        <v>0.15</v>
      </c>
    </row>
    <row r="365" spans="1:7">
      <c r="A365" s="2986" t="s">
        <v>2852</v>
      </c>
      <c r="B365" s="2975" t="s">
        <v>200</v>
      </c>
      <c r="C365" s="2976">
        <v>0.15</v>
      </c>
      <c r="D365" s="2976">
        <v>0.15</v>
      </c>
      <c r="E365" s="2976">
        <v>0.15</v>
      </c>
      <c r="F365" s="2976">
        <v>0.15</v>
      </c>
      <c r="G365" s="2977">
        <v>0.15</v>
      </c>
    </row>
    <row r="366" spans="1:7">
      <c r="A366" s="2986" t="s">
        <v>2852</v>
      </c>
      <c r="B366" s="2975" t="s">
        <v>2897</v>
      </c>
      <c r="C366" s="2976">
        <v>0.15</v>
      </c>
      <c r="D366" s="2976">
        <v>0.15</v>
      </c>
      <c r="E366" s="2976">
        <v>0.15</v>
      </c>
      <c r="F366" s="2976">
        <v>0.15</v>
      </c>
      <c r="G366" s="2977">
        <v>0.15</v>
      </c>
    </row>
    <row r="367" spans="1:7">
      <c r="A367" s="2986" t="s">
        <v>2852</v>
      </c>
      <c r="B367" s="2975" t="s">
        <v>2900</v>
      </c>
      <c r="C367" s="2976">
        <v>0.15</v>
      </c>
      <c r="D367" s="2976">
        <v>0.15</v>
      </c>
      <c r="E367" s="2976">
        <v>0.15</v>
      </c>
      <c r="F367" s="2976">
        <v>0.14699999999999999</v>
      </c>
      <c r="G367" s="2977">
        <v>0.15</v>
      </c>
    </row>
    <row r="368" spans="1:7">
      <c r="A368" s="2986" t="s">
        <v>2852</v>
      </c>
      <c r="B368" s="2975" t="s">
        <v>2905</v>
      </c>
      <c r="C368" s="2976">
        <v>0.15</v>
      </c>
      <c r="D368" s="2976">
        <v>0.15</v>
      </c>
      <c r="E368" s="2976">
        <v>0.15</v>
      </c>
      <c r="F368" s="2976">
        <v>0.13600000000000001</v>
      </c>
      <c r="G368" s="2977">
        <v>0.15</v>
      </c>
    </row>
    <row r="369" spans="1:7">
      <c r="A369" s="2986" t="s">
        <v>2852</v>
      </c>
      <c r="B369" s="2975" t="s">
        <v>214</v>
      </c>
      <c r="C369" s="2976">
        <v>0.15</v>
      </c>
      <c r="D369" s="2976">
        <v>0.15</v>
      </c>
      <c r="E369" s="2976">
        <v>0.15</v>
      </c>
      <c r="F369" s="2976">
        <v>0.14399999999999999</v>
      </c>
      <c r="G369" s="2977">
        <v>0.15</v>
      </c>
    </row>
    <row r="370" spans="1:7">
      <c r="A370" s="2986" t="s">
        <v>2852</v>
      </c>
      <c r="B370" s="2975" t="s">
        <v>221</v>
      </c>
      <c r="C370" s="2976">
        <v>0.15</v>
      </c>
      <c r="D370" s="2976">
        <v>0.15</v>
      </c>
      <c r="E370" s="2976">
        <v>0.15</v>
      </c>
      <c r="F370" s="2976">
        <v>0.14599999999999999</v>
      </c>
      <c r="G370" s="2977">
        <v>0.15</v>
      </c>
    </row>
    <row r="371" spans="1:7">
      <c r="A371" s="2986" t="s">
        <v>2852</v>
      </c>
      <c r="B371" s="2975" t="s">
        <v>229</v>
      </c>
      <c r="C371" s="2976">
        <v>0.15</v>
      </c>
      <c r="D371" s="2976">
        <v>0.15</v>
      </c>
      <c r="E371" s="2976">
        <v>0.15</v>
      </c>
      <c r="F371" s="2976">
        <v>0.12</v>
      </c>
      <c r="G371" s="2977">
        <v>0.15</v>
      </c>
    </row>
    <row r="372" spans="1:7">
      <c r="A372" s="2986" t="s">
        <v>2852</v>
      </c>
      <c r="B372" s="2975" t="s">
        <v>2913</v>
      </c>
      <c r="C372" s="2976">
        <v>0.15</v>
      </c>
      <c r="D372" s="2976">
        <v>0.15</v>
      </c>
      <c r="E372" s="2976">
        <v>0.15</v>
      </c>
      <c r="F372" s="2976">
        <v>0.14299999999999999</v>
      </c>
      <c r="G372" s="2977">
        <v>0.15</v>
      </c>
    </row>
    <row r="373" spans="1:7">
      <c r="A373" s="2986" t="s">
        <v>2852</v>
      </c>
      <c r="B373" s="2975" t="s">
        <v>258</v>
      </c>
      <c r="C373" s="2976">
        <v>0.15</v>
      </c>
      <c r="D373" s="2976">
        <v>0.15</v>
      </c>
      <c r="E373" s="2976">
        <v>0.15</v>
      </c>
      <c r="F373" s="2976">
        <v>0.14599999999999999</v>
      </c>
      <c r="G373" s="2977">
        <v>0.15</v>
      </c>
    </row>
    <row r="374" spans="1:7">
      <c r="A374" s="2986" t="s">
        <v>2852</v>
      </c>
      <c r="B374" s="2975" t="s">
        <v>266</v>
      </c>
      <c r="C374" s="2976">
        <v>0.15</v>
      </c>
      <c r="D374" s="2976">
        <v>0.15</v>
      </c>
      <c r="E374" s="2976">
        <v>0.15</v>
      </c>
      <c r="F374" s="2976">
        <v>0.14399999999999999</v>
      </c>
      <c r="G374" s="2977">
        <v>0.15</v>
      </c>
    </row>
    <row r="375" spans="1:7">
      <c r="A375" s="2986" t="s">
        <v>2852</v>
      </c>
      <c r="B375" s="2975" t="s">
        <v>2921</v>
      </c>
      <c r="C375" s="2976">
        <v>0.15</v>
      </c>
      <c r="D375" s="2976">
        <v>0.15</v>
      </c>
      <c r="E375" s="2976">
        <v>0.15</v>
      </c>
      <c r="F375" s="2976">
        <v>0.13</v>
      </c>
      <c r="G375" s="2977">
        <v>0.15</v>
      </c>
    </row>
    <row r="376" spans="1:7">
      <c r="A376" s="2986" t="s">
        <v>2852</v>
      </c>
      <c r="B376" s="2975" t="s">
        <v>277</v>
      </c>
      <c r="C376" s="2976">
        <v>0.15</v>
      </c>
      <c r="D376" s="2976">
        <v>0.15</v>
      </c>
      <c r="E376" s="2976">
        <v>0.15</v>
      </c>
      <c r="F376" s="2976">
        <v>0.14199999999999999</v>
      </c>
      <c r="G376" s="2977">
        <v>0.15</v>
      </c>
    </row>
    <row r="377" spans="1:7" ht="14.25" thickBot="1">
      <c r="A377" s="2989" t="s">
        <v>2852</v>
      </c>
      <c r="B377" s="2979" t="s">
        <v>2927</v>
      </c>
      <c r="C377" s="2980">
        <v>0.15</v>
      </c>
      <c r="D377" s="2980">
        <v>0.15</v>
      </c>
      <c r="E377" s="2980">
        <v>0.15</v>
      </c>
      <c r="F377" s="2980">
        <v>0.14000000000000001</v>
      </c>
      <c r="G377" s="2982">
        <v>0.15</v>
      </c>
    </row>
    <row r="378" spans="1:7">
      <c r="A378" s="2985" t="s">
        <v>2853</v>
      </c>
      <c r="B378" s="2971" t="s">
        <v>2867</v>
      </c>
      <c r="C378" s="2972">
        <v>0.15</v>
      </c>
      <c r="D378" s="2972">
        <v>0.15</v>
      </c>
      <c r="E378" s="2972">
        <v>0.15</v>
      </c>
      <c r="F378" s="2972">
        <v>0.107</v>
      </c>
      <c r="G378" s="2973">
        <v>0.15</v>
      </c>
    </row>
    <row r="379" spans="1:7">
      <c r="A379" s="2986" t="s">
        <v>2853</v>
      </c>
      <c r="B379" s="2975" t="s">
        <v>2873</v>
      </c>
      <c r="C379" s="2976">
        <v>0.15</v>
      </c>
      <c r="D379" s="2976">
        <v>0.15</v>
      </c>
      <c r="E379" s="2976">
        <v>0.15</v>
      </c>
      <c r="F379" s="2976">
        <v>0.115</v>
      </c>
      <c r="G379" s="2977">
        <v>0.14899999999999999</v>
      </c>
    </row>
    <row r="380" spans="1:7">
      <c r="A380" s="2986" t="s">
        <v>2853</v>
      </c>
      <c r="B380" s="2975" t="s">
        <v>2879</v>
      </c>
      <c r="C380" s="2976">
        <v>0.15</v>
      </c>
      <c r="D380" s="2976">
        <v>0.15</v>
      </c>
      <c r="E380" s="2976">
        <v>0.15</v>
      </c>
      <c r="F380" s="2976">
        <v>0.1</v>
      </c>
      <c r="G380" s="2977">
        <v>0.14799999999999999</v>
      </c>
    </row>
    <row r="381" spans="1:7">
      <c r="A381" s="2986" t="s">
        <v>2853</v>
      </c>
      <c r="B381" s="2975" t="s">
        <v>2882</v>
      </c>
      <c r="C381" s="2976">
        <v>0.15</v>
      </c>
      <c r="D381" s="2976">
        <v>0.15</v>
      </c>
      <c r="E381" s="2976">
        <v>0.15</v>
      </c>
      <c r="F381" s="2976">
        <v>0.126</v>
      </c>
      <c r="G381" s="2977">
        <v>0.15</v>
      </c>
    </row>
    <row r="382" spans="1:7">
      <c r="A382" s="2986" t="s">
        <v>2853</v>
      </c>
      <c r="B382" s="2975" t="s">
        <v>2886</v>
      </c>
      <c r="C382" s="2976">
        <v>0.15</v>
      </c>
      <c r="D382" s="2976">
        <v>0.15</v>
      </c>
      <c r="E382" s="2976">
        <v>0.15</v>
      </c>
      <c r="F382" s="2976">
        <v>0.15</v>
      </c>
      <c r="G382" s="2977">
        <v>0.15</v>
      </c>
    </row>
    <row r="383" spans="1:7">
      <c r="A383" s="2986" t="s">
        <v>2853</v>
      </c>
      <c r="B383" s="2975" t="s">
        <v>2891</v>
      </c>
      <c r="C383" s="2976">
        <v>0.15</v>
      </c>
      <c r="D383" s="2976">
        <v>0.15</v>
      </c>
      <c r="E383" s="2976">
        <v>0.15</v>
      </c>
      <c r="F383" s="2976">
        <v>0.14699999999999999</v>
      </c>
      <c r="G383" s="2977">
        <v>0.15</v>
      </c>
    </row>
    <row r="384" spans="1:7" ht="14.25" thickBot="1">
      <c r="A384" s="2996" t="s">
        <v>2853</v>
      </c>
      <c r="B384" s="2997" t="s">
        <v>2895</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1"/>
  </cols>
  <sheetData>
    <row r="1" spans="1:6">
      <c r="A1" s="3481" t="s">
        <v>3234</v>
      </c>
      <c r="B1" s="3481"/>
      <c r="C1" s="3481"/>
      <c r="D1" s="3481"/>
      <c r="E1" s="3481"/>
      <c r="F1" s="3482"/>
    </row>
    <row r="2" spans="1:6">
      <c r="A2" s="3000" t="s">
        <v>3235</v>
      </c>
    </row>
    <row r="3" spans="1:6">
      <c r="A3" s="3000" t="s">
        <v>3236</v>
      </c>
      <c r="F3" s="3001" t="s">
        <v>3237</v>
      </c>
    </row>
    <row r="4" spans="1:6">
      <c r="A4" s="3002" t="s">
        <v>672</v>
      </c>
      <c r="B4" s="3002" t="s">
        <v>673</v>
      </c>
      <c r="C4" s="3002" t="s">
        <v>21</v>
      </c>
      <c r="D4" s="3002" t="s">
        <v>674</v>
      </c>
      <c r="E4" s="3002" t="s">
        <v>3</v>
      </c>
      <c r="F4" s="3002" t="s">
        <v>3238</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5">
        <f>基准地价修正!G23</f>
        <v>45580</v>
      </c>
      <c r="B1" s="2927" t="s">
        <v>3384</v>
      </c>
      <c r="C1" s="2928"/>
      <c r="D1" s="2928"/>
      <c r="E1" s="2928"/>
      <c r="F1" s="2928"/>
      <c r="G1" s="2928"/>
      <c r="H1" s="2928"/>
      <c r="I1" s="2928"/>
      <c r="J1" s="2894"/>
      <c r="K1" s="2928" t="s">
        <v>454</v>
      </c>
      <c r="L1" s="2928"/>
      <c r="M1" s="2928"/>
      <c r="N1" s="2928"/>
      <c r="O1" s="2928"/>
      <c r="P1" s="2928"/>
      <c r="Q1" s="2894"/>
      <c r="R1" s="3483" t="s">
        <v>456</v>
      </c>
      <c r="S1" s="3484"/>
      <c r="T1" s="3484"/>
      <c r="U1" s="3484"/>
      <c r="V1" s="3484"/>
      <c r="W1" s="3484"/>
      <c r="X1" s="2894"/>
      <c r="Y1" s="3483" t="s">
        <v>457</v>
      </c>
      <c r="Z1" s="3484"/>
      <c r="AA1" s="3484"/>
      <c r="AB1" s="3484"/>
      <c r="AC1" s="3484"/>
      <c r="AD1" s="3484"/>
    </row>
    <row r="2" spans="1:30" s="2009" customFormat="1" ht="14.25" thickBot="1">
      <c r="B2" s="2879"/>
      <c r="C2" s="2880"/>
      <c r="D2" s="2010" t="s">
        <v>2812</v>
      </c>
      <c r="E2" s="2011" t="s">
        <v>2813</v>
      </c>
      <c r="F2" s="2011" t="s">
        <v>2814</v>
      </c>
      <c r="G2" s="2011" t="s">
        <v>2815</v>
      </c>
      <c r="H2" s="2011" t="s">
        <v>2816</v>
      </c>
      <c r="I2" s="2011" t="s">
        <v>2633</v>
      </c>
      <c r="J2" s="2881"/>
      <c r="K2" s="2010" t="s">
        <v>2812</v>
      </c>
      <c r="L2" s="2011" t="s">
        <v>2813</v>
      </c>
      <c r="M2" s="2011" t="s">
        <v>2814</v>
      </c>
      <c r="N2" s="2011" t="s">
        <v>2815</v>
      </c>
      <c r="O2" s="2011" t="s">
        <v>2817</v>
      </c>
      <c r="P2" s="2011" t="s">
        <v>2633</v>
      </c>
      <c r="Q2" s="2881"/>
      <c r="R2" s="2010" t="s">
        <v>2812</v>
      </c>
      <c r="S2" s="2011" t="s">
        <v>2813</v>
      </c>
      <c r="T2" s="2011" t="s">
        <v>2814</v>
      </c>
      <c r="U2" s="2011" t="s">
        <v>2818</v>
      </c>
      <c r="V2" s="2011" t="s">
        <v>2819</v>
      </c>
      <c r="W2" s="2011" t="s">
        <v>2633</v>
      </c>
      <c r="X2" s="2881"/>
      <c r="Y2" s="2010" t="s">
        <v>2812</v>
      </c>
      <c r="Z2" s="2011" t="s">
        <v>2813</v>
      </c>
      <c r="AA2" s="2011" t="s">
        <v>2814</v>
      </c>
      <c r="AB2" s="2011" t="s">
        <v>2820</v>
      </c>
      <c r="AC2" s="2011" t="s">
        <v>2819</v>
      </c>
      <c r="AD2" s="2011" t="s">
        <v>2633</v>
      </c>
    </row>
    <row r="3" spans="1:30" s="2884" customFormat="1" ht="12.75">
      <c r="A3" s="2882" t="s">
        <v>2821</v>
      </c>
      <c r="B3" s="2883"/>
      <c r="D3" s="2884">
        <f>ROUND(AVERAGEIF(D4:D21,"&lt;&gt;0"),2)</f>
        <v>0.47</v>
      </c>
      <c r="E3" s="2884">
        <f t="shared" ref="E3:H3" si="0">ROUND(AVERAGEIF(E4:E21,"&lt;&gt;0"),2)</f>
        <v>0.3</v>
      </c>
      <c r="F3" s="2884">
        <f t="shared" si="0"/>
        <v>0.04</v>
      </c>
      <c r="G3" s="2884">
        <f t="shared" si="0"/>
        <v>0.51</v>
      </c>
      <c r="H3" s="2884">
        <f t="shared" si="0"/>
        <v>0.55000000000000004</v>
      </c>
      <c r="I3" s="2884">
        <f>F3</f>
        <v>0.04</v>
      </c>
      <c r="J3" s="2885"/>
      <c r="K3" s="2886">
        <f>ROUND(AVERAGEIF(K4:K21,"&lt;&gt;0"),4)</f>
        <v>4.7000000000000002E-3</v>
      </c>
      <c r="L3" s="2887">
        <f t="shared" ref="L3:O3" si="1">ROUND(AVERAGEIF(L4:L21,"&lt;&gt;0"),4)</f>
        <v>3.0000000000000001E-3</v>
      </c>
      <c r="M3" s="2887">
        <f t="shared" si="1"/>
        <v>4.0000000000000002E-4</v>
      </c>
      <c r="N3" s="2887">
        <f t="shared" si="1"/>
        <v>5.1000000000000004E-3</v>
      </c>
      <c r="O3" s="2887">
        <f t="shared" si="1"/>
        <v>5.4999999999999997E-3</v>
      </c>
      <c r="P3" s="2887">
        <f>M3</f>
        <v>4.0000000000000002E-4</v>
      </c>
      <c r="Q3" s="2885"/>
      <c r="R3" s="2888">
        <f>ROUND(SUMPRODUCT(PRODUCT(1+K4:K21)),4)</f>
        <v>1.0723</v>
      </c>
      <c r="S3" s="2889">
        <f t="shared" ref="S3:V3" si="2">ROUND(SUMPRODUCT(PRODUCT(1+L4:L21)),4)</f>
        <v>1.0465</v>
      </c>
      <c r="T3" s="2889">
        <f t="shared" si="2"/>
        <v>1.0054000000000001</v>
      </c>
      <c r="U3" s="2889">
        <f t="shared" si="2"/>
        <v>1.0790999999999999</v>
      </c>
      <c r="V3" s="2889">
        <f t="shared" si="2"/>
        <v>1.0857000000000001</v>
      </c>
      <c r="W3" s="2888">
        <f>T3</f>
        <v>1.0054000000000001</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8" customFormat="1" ht="12.75">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30" s="2044" customFormat="1" ht="12.75">
      <c r="A5" s="2039" t="s">
        <v>3380</v>
      </c>
      <c r="B5" s="2030">
        <v>2025</v>
      </c>
      <c r="C5" s="2041">
        <v>1</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M5</f>
        <v>0</v>
      </c>
      <c r="Q5" s="2904"/>
      <c r="R5" s="2026">
        <f>ROUND(IF(项目基本情况!$B$8="出让",SUMPRODUCT(PRODUCT(1+K5:$K$21)),SUMPRODUCT(PRODUCT(1+K5:$K$20))),4)</f>
        <v>1.0620000000000001</v>
      </c>
      <c r="S5" s="2026">
        <f>ROUND(IF(项目基本情况!$B$8="出让",SUMPRODUCT(PRODUCT(1+L5:$L$21)),SUMPRODUCT(PRODUCT(1+L5:$L$20))),4)</f>
        <v>1.0448</v>
      </c>
      <c r="T5" s="2026">
        <f>ROUND(IF(项目基本情况!$B$8="出让",SUMPRODUCT(PRODUCT(1+M5:$M$21)),SUMPRODUCT(PRODUCT(1+M5:$M$20))),4)</f>
        <v>1.0079</v>
      </c>
      <c r="U5" s="2026">
        <f>ROUND(IF(项目基本情况!$B$8="出让",SUMPRODUCT(PRODUCT(1+N5:$N$21)),SUMPRODUCT(PRODUCT(1+N5:$N$20))),4)</f>
        <v>1.0672999999999999</v>
      </c>
      <c r="V5" s="2026">
        <f>ROUND(IF(项目基本情况!$B$8="出让",SUMPRODUCT(PRODUCT(1+O5:$O$21)),SUMPRODUCT(PRODUCT(1+O5:$O$20))),4)</f>
        <v>1.0818000000000001</v>
      </c>
      <c r="W5" s="2026">
        <f>T5</f>
        <v>1.0079</v>
      </c>
      <c r="X5" s="2904"/>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4" customFormat="1" ht="12.75">
      <c r="A6" s="2905" t="s">
        <v>3389</v>
      </c>
      <c r="B6" s="2906">
        <v>2024</v>
      </c>
      <c r="C6" s="2907">
        <v>4</v>
      </c>
      <c r="D6" s="2908">
        <v>0</v>
      </c>
      <c r="E6" s="2908">
        <v>0</v>
      </c>
      <c r="F6" s="2908">
        <v>0</v>
      </c>
      <c r="G6" s="2908">
        <v>0</v>
      </c>
      <c r="H6" s="2909">
        <v>0</v>
      </c>
      <c r="I6" s="2910">
        <f t="shared" ref="I6" si="15">F6</f>
        <v>0</v>
      </c>
      <c r="J6" s="2911"/>
      <c r="K6" s="2912">
        <f t="shared" ref="K6" si="16">D6/100</f>
        <v>0</v>
      </c>
      <c r="L6" s="2913">
        <f t="shared" ref="L6" si="17">E6/100</f>
        <v>0</v>
      </c>
      <c r="M6" s="2913">
        <f t="shared" ref="M6" si="18">F6/100</f>
        <v>0</v>
      </c>
      <c r="N6" s="2913">
        <f t="shared" ref="N6" si="19">G6/100</f>
        <v>0</v>
      </c>
      <c r="O6" s="2913">
        <f t="shared" ref="O6" si="20">H6/100</f>
        <v>0</v>
      </c>
      <c r="P6" s="2913">
        <f>M6</f>
        <v>0</v>
      </c>
      <c r="Q6" s="2911"/>
      <c r="R6" s="2911">
        <f>ROUND(IF(项目基本情况!$B$8="出让",SUMPRODUCT(PRODUCT(1+K6:$K$21)),SUMPRODUCT(PRODUCT(1+K6:$K$20))),4)</f>
        <v>1.0620000000000001</v>
      </c>
      <c r="S6" s="2911">
        <f>ROUND(IF(项目基本情况!$B$8="出让",SUMPRODUCT(PRODUCT(1+L6:$L$21)),SUMPRODUCT(PRODUCT(1+L6:$L$20))),4)</f>
        <v>1.0448</v>
      </c>
      <c r="T6" s="2911">
        <f>ROUND(IF(项目基本情况!$B$8="出让",SUMPRODUCT(PRODUCT(1+M6:$M$21)),SUMPRODUCT(PRODUCT(1+M6:$M$20))),4)</f>
        <v>1.0079</v>
      </c>
      <c r="U6" s="2911">
        <f>ROUND(IF(项目基本情况!$B$8="出让",SUMPRODUCT(PRODUCT(1+N6:$N$21)),SUMPRODUCT(PRODUCT(1+N6:$N$20))),4)</f>
        <v>1.0672999999999999</v>
      </c>
      <c r="V6" s="2911">
        <f>ROUND(IF(项目基本情况!$B$8="出让",SUMPRODUCT(PRODUCT(1+O6:$O$21)),SUMPRODUCT(PRODUCT(1+O6:$O$20))),4)</f>
        <v>1.0818000000000001</v>
      </c>
      <c r="W6" s="2911">
        <f>T6</f>
        <v>1.0079</v>
      </c>
      <c r="X6" s="2911"/>
      <c r="Y6" s="2913">
        <f>IF(D6=0,0,ROUND(AVERAGE(D6:D19)/100,4))</f>
        <v>0</v>
      </c>
      <c r="Z6" s="2913">
        <f t="shared" ref="Z6" si="21">IF(E6=0,0,ROUND(AVERAGE(E6:E19)/100,4))</f>
        <v>0</v>
      </c>
      <c r="AA6" s="2913">
        <f t="shared" ref="AA6" si="22">IF(F6=0,0,ROUND(AVERAGE(F6:F19)/100,4))</f>
        <v>0</v>
      </c>
      <c r="AB6" s="2913">
        <f t="shared" ref="AB6" si="23">IF(G6=0,0,ROUND(AVERAGE(G6:G19)/100,4))</f>
        <v>0</v>
      </c>
      <c r="AC6" s="2913">
        <f t="shared" ref="AC6" si="24">IF(H6=0,0,ROUND(AVERAGE(H6:H19)/100,4))</f>
        <v>0</v>
      </c>
      <c r="AD6" s="2913">
        <f t="shared" ref="AD6" si="25">AA6</f>
        <v>0</v>
      </c>
    </row>
    <row r="7" spans="1:30" s="2044" customFormat="1" ht="12.75">
      <c r="A7" s="2039" t="s">
        <v>3388</v>
      </c>
      <c r="B7" s="2030">
        <v>2024</v>
      </c>
      <c r="C7" s="2041">
        <v>3</v>
      </c>
      <c r="D7" s="2006">
        <v>-1.19</v>
      </c>
      <c r="E7" s="2006">
        <v>-0.47</v>
      </c>
      <c r="F7" s="2006">
        <v>-0.28999999999999998</v>
      </c>
      <c r="G7" s="2006">
        <v>-0.74</v>
      </c>
      <c r="H7" s="2006">
        <v>-0.21</v>
      </c>
      <c r="I7" s="2007">
        <f t="shared" ref="I7" si="26">F7</f>
        <v>-0.28999999999999998</v>
      </c>
      <c r="J7" s="2904"/>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4"/>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4"/>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2.75">
      <c r="A8" s="2903" t="s">
        <v>3381</v>
      </c>
      <c r="B8" s="2030">
        <v>2024</v>
      </c>
      <c r="C8" s="2041">
        <v>2</v>
      </c>
      <c r="D8" s="2006">
        <v>-0.59</v>
      </c>
      <c r="E8" s="2006">
        <v>-0.21</v>
      </c>
      <c r="F8" s="2006">
        <v>-1.38</v>
      </c>
      <c r="G8" s="2006">
        <v>-1.24</v>
      </c>
      <c r="H8" s="2915">
        <v>0.34</v>
      </c>
      <c r="I8" s="2007">
        <f t="shared" ref="I8:I21" si="37">F8</f>
        <v>-1.38</v>
      </c>
      <c r="J8" s="2904"/>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4"/>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4"/>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2.75">
      <c r="A9" s="2903" t="s">
        <v>3377</v>
      </c>
      <c r="B9" s="2030">
        <v>2024</v>
      </c>
      <c r="C9" s="2041">
        <v>1</v>
      </c>
      <c r="D9" s="2006">
        <v>0.08</v>
      </c>
      <c r="E9" s="2006">
        <v>0.46</v>
      </c>
      <c r="F9" s="2006">
        <v>-0.16</v>
      </c>
      <c r="G9" s="2006">
        <v>0.26</v>
      </c>
      <c r="H9" s="2915">
        <v>0.59</v>
      </c>
      <c r="I9" s="2007">
        <v>0</v>
      </c>
      <c r="J9" s="2904"/>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4"/>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4"/>
      <c r="Y9" s="2027"/>
      <c r="Z9" s="2027"/>
      <c r="AA9" s="2027"/>
      <c r="AB9" s="2027"/>
      <c r="AC9" s="2027"/>
      <c r="AD9" s="2027"/>
    </row>
    <row r="10" spans="1:30" s="2044" customFormat="1" ht="12.75">
      <c r="A10" s="2903" t="s">
        <v>3373</v>
      </c>
      <c r="B10" s="2030">
        <v>2023</v>
      </c>
      <c r="C10" s="2041">
        <v>4</v>
      </c>
      <c r="D10" s="2006">
        <v>0.19</v>
      </c>
      <c r="E10" s="2006">
        <v>0.24</v>
      </c>
      <c r="F10" s="2006">
        <v>-0.16</v>
      </c>
      <c r="G10" s="2006">
        <v>0.17</v>
      </c>
      <c r="H10" s="2915">
        <v>0.61</v>
      </c>
      <c r="I10" s="2007">
        <f>F10</f>
        <v>-0.16</v>
      </c>
      <c r="J10" s="2904"/>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4"/>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4"/>
      <c r="Y10" s="2027"/>
      <c r="Z10" s="2027"/>
      <c r="AA10" s="2027"/>
      <c r="AB10" s="2027"/>
      <c r="AC10" s="2027"/>
      <c r="AD10" s="2027"/>
    </row>
    <row r="11" spans="1:30" s="2044" customFormat="1" ht="12.75">
      <c r="A11" s="2903" t="s">
        <v>3372</v>
      </c>
      <c r="B11" s="2030">
        <v>2023</v>
      </c>
      <c r="C11" s="2041">
        <v>3</v>
      </c>
      <c r="D11" s="2006">
        <v>0.25</v>
      </c>
      <c r="E11" s="2006">
        <v>0.5</v>
      </c>
      <c r="F11" s="2006">
        <v>0.31</v>
      </c>
      <c r="G11" s="2006">
        <v>0.21</v>
      </c>
      <c r="H11" s="2915">
        <v>0.43</v>
      </c>
      <c r="I11" s="2007">
        <f t="shared" si="37"/>
        <v>0.31</v>
      </c>
      <c r="J11" s="2904"/>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4"/>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4"/>
      <c r="Y11" s="2027"/>
      <c r="Z11" s="2027"/>
      <c r="AA11" s="2027"/>
      <c r="AB11" s="2027"/>
      <c r="AC11" s="2027"/>
      <c r="AD11" s="2027"/>
    </row>
    <row r="12" spans="1:30" s="2044" customFormat="1" ht="12.75">
      <c r="A12" s="2903" t="s">
        <v>3370</v>
      </c>
      <c r="B12" s="2030">
        <v>2023</v>
      </c>
      <c r="C12" s="2041">
        <v>2</v>
      </c>
      <c r="D12" s="2006">
        <v>0.91</v>
      </c>
      <c r="E12" s="2006">
        <v>0.66</v>
      </c>
      <c r="F12" s="2006">
        <v>0.47</v>
      </c>
      <c r="G12" s="2006">
        <v>0.96</v>
      </c>
      <c r="H12" s="2915">
        <v>0.71</v>
      </c>
      <c r="I12" s="2007">
        <f t="shared" si="37"/>
        <v>0.47</v>
      </c>
      <c r="J12" s="2904"/>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4"/>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4"/>
      <c r="Y12" s="2027"/>
      <c r="Z12" s="2027"/>
      <c r="AA12" s="2027"/>
      <c r="AB12" s="2027"/>
      <c r="AC12" s="2027"/>
      <c r="AD12" s="2027"/>
    </row>
    <row r="13" spans="1:30" s="2044" customFormat="1" ht="12.75">
      <c r="A13" s="2903" t="s">
        <v>3369</v>
      </c>
      <c r="B13" s="2030">
        <v>2023</v>
      </c>
      <c r="C13" s="2041">
        <v>1</v>
      </c>
      <c r="D13" s="2006">
        <v>0.89</v>
      </c>
      <c r="E13" s="2006">
        <v>0.74</v>
      </c>
      <c r="F13" s="2006">
        <v>0.56999999999999995</v>
      </c>
      <c r="G13" s="2006">
        <v>0.92</v>
      </c>
      <c r="H13" s="2915">
        <v>0.5</v>
      </c>
      <c r="I13" s="2007">
        <f t="shared" si="37"/>
        <v>0.56999999999999995</v>
      </c>
      <c r="J13" s="2904"/>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4"/>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4"/>
      <c r="Y13" s="2027"/>
      <c r="Z13" s="2027"/>
      <c r="AA13" s="2027"/>
      <c r="AB13" s="2027"/>
      <c r="AC13" s="2027"/>
      <c r="AD13" s="2027"/>
    </row>
    <row r="14" spans="1:30" s="2044" customFormat="1" ht="12.75">
      <c r="A14" s="2903" t="s">
        <v>3368</v>
      </c>
      <c r="B14" s="2030">
        <v>2022</v>
      </c>
      <c r="C14" s="2041">
        <v>4</v>
      </c>
      <c r="D14" s="2006">
        <v>0.62</v>
      </c>
      <c r="E14" s="2006">
        <v>0.2</v>
      </c>
      <c r="F14" s="2006">
        <v>0.11</v>
      </c>
      <c r="G14" s="2006">
        <v>0.69</v>
      </c>
      <c r="H14" s="2915">
        <v>0.53</v>
      </c>
      <c r="I14" s="2007">
        <f t="shared" si="37"/>
        <v>0.11</v>
      </c>
      <c r="J14" s="2904"/>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4"/>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4"/>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2.75">
      <c r="A15" s="2903" t="s">
        <v>3366</v>
      </c>
      <c r="B15" s="2030">
        <v>2022</v>
      </c>
      <c r="C15" s="2041">
        <v>3</v>
      </c>
      <c r="D15" s="2006">
        <v>0.66</v>
      </c>
      <c r="E15" s="2006">
        <v>0.32</v>
      </c>
      <c r="F15" s="2006">
        <v>0.23</v>
      </c>
      <c r="G15" s="2006">
        <v>0.72</v>
      </c>
      <c r="H15" s="2915">
        <v>0.63</v>
      </c>
      <c r="I15" s="2007">
        <f t="shared" si="37"/>
        <v>0.23</v>
      </c>
      <c r="J15" s="2904"/>
      <c r="K15" s="2042">
        <f t="shared" si="38"/>
        <v>6.6E-3</v>
      </c>
      <c r="L15" s="2027">
        <f t="shared" si="38"/>
        <v>3.2000000000000002E-3</v>
      </c>
      <c r="M15" s="2027">
        <f t="shared" si="38"/>
        <v>2.3E-3</v>
      </c>
      <c r="N15" s="2027">
        <f t="shared" si="38"/>
        <v>7.1999999999999998E-3</v>
      </c>
      <c r="O15" s="2027">
        <f t="shared" si="38"/>
        <v>6.3E-3</v>
      </c>
      <c r="P15" s="2027">
        <f t="shared" si="58"/>
        <v>2.3E-3</v>
      </c>
      <c r="Q15" s="2904"/>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4"/>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2.75">
      <c r="A16" s="2903" t="s">
        <v>3357</v>
      </c>
      <c r="B16" s="2030">
        <v>2022</v>
      </c>
      <c r="C16" s="2041">
        <v>2</v>
      </c>
      <c r="D16" s="2006">
        <v>0.93</v>
      </c>
      <c r="E16" s="2006">
        <v>0.15</v>
      </c>
      <c r="F16" s="2006">
        <v>0.01</v>
      </c>
      <c r="G16" s="2006">
        <v>1.05</v>
      </c>
      <c r="H16" s="2915">
        <v>1.08</v>
      </c>
      <c r="I16" s="2007">
        <f t="shared" si="37"/>
        <v>0.01</v>
      </c>
      <c r="J16" s="2904"/>
      <c r="K16" s="2042">
        <f t="shared" si="38"/>
        <v>9.300000000000001E-3</v>
      </c>
      <c r="L16" s="2027">
        <f t="shared" si="38"/>
        <v>1.5E-3</v>
      </c>
      <c r="M16" s="2027">
        <f t="shared" si="38"/>
        <v>1E-4</v>
      </c>
      <c r="N16" s="2027">
        <f t="shared" si="38"/>
        <v>1.0500000000000001E-2</v>
      </c>
      <c r="O16" s="2027">
        <f t="shared" si="38"/>
        <v>1.0800000000000001E-2</v>
      </c>
      <c r="P16" s="2027">
        <f t="shared" si="58"/>
        <v>1E-4</v>
      </c>
      <c r="Q16" s="2904"/>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4"/>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2.75">
      <c r="A17" s="2903" t="s">
        <v>2822</v>
      </c>
      <c r="B17" s="2030">
        <v>2022</v>
      </c>
      <c r="C17" s="2041">
        <v>1</v>
      </c>
      <c r="D17" s="2006">
        <v>0.89</v>
      </c>
      <c r="E17" s="2006">
        <v>0.44</v>
      </c>
      <c r="F17" s="2006">
        <v>0.37</v>
      </c>
      <c r="G17" s="2006">
        <v>0.96</v>
      </c>
      <c r="H17" s="2915">
        <v>0.64</v>
      </c>
      <c r="I17" s="2007">
        <f t="shared" si="37"/>
        <v>0.37</v>
      </c>
      <c r="J17" s="2904"/>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4"/>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4"/>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2.75">
      <c r="A18" s="2903" t="s">
        <v>2823</v>
      </c>
      <c r="B18" s="2030">
        <v>2021</v>
      </c>
      <c r="C18" s="2041">
        <v>4</v>
      </c>
      <c r="D18" s="2006">
        <v>1.03</v>
      </c>
      <c r="E18" s="2006">
        <v>0.24</v>
      </c>
      <c r="F18" s="2006">
        <v>7.0000000000000007E-2</v>
      </c>
      <c r="G18" s="2006">
        <v>1.17</v>
      </c>
      <c r="H18" s="2915">
        <v>0.55000000000000004</v>
      </c>
      <c r="I18" s="2007">
        <f t="shared" si="37"/>
        <v>7.0000000000000007E-2</v>
      </c>
      <c r="J18" s="2904"/>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4"/>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4"/>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2.75">
      <c r="A19" s="2903" t="s">
        <v>2824</v>
      </c>
      <c r="B19" s="2030">
        <v>2021</v>
      </c>
      <c r="C19" s="2041">
        <v>3</v>
      </c>
      <c r="D19" s="2006">
        <v>0.47</v>
      </c>
      <c r="E19" s="2006">
        <v>0.41</v>
      </c>
      <c r="F19" s="2006">
        <v>0.24</v>
      </c>
      <c r="G19" s="2006">
        <v>0.48</v>
      </c>
      <c r="H19" s="2915">
        <v>0.48</v>
      </c>
      <c r="I19" s="2007">
        <f t="shared" si="37"/>
        <v>0.24</v>
      </c>
      <c r="J19" s="2904"/>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4"/>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4"/>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2.75">
      <c r="A20" s="2903" t="s">
        <v>2825</v>
      </c>
      <c r="B20" s="2030">
        <v>2021</v>
      </c>
      <c r="C20" s="2041">
        <v>2</v>
      </c>
      <c r="D20" s="2006">
        <v>0.92</v>
      </c>
      <c r="E20" s="2006">
        <v>0.72</v>
      </c>
      <c r="F20" s="2006">
        <v>0.41</v>
      </c>
      <c r="G20" s="2006">
        <v>0.95</v>
      </c>
      <c r="H20" s="2915">
        <v>1.01</v>
      </c>
      <c r="I20" s="2007">
        <f t="shared" si="37"/>
        <v>0.41</v>
      </c>
      <c r="J20" s="2904"/>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4"/>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4"/>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6" customFormat="1" thickBot="1">
      <c r="A21" s="2916" t="s">
        <v>2826</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4.25" thickTop="1"/>
    <row r="23" spans="1:30">
      <c r="A23" s="3141" t="s">
        <v>3387</v>
      </c>
    </row>
    <row r="24" spans="1:30">
      <c r="I24" s="1404" t="s">
        <v>2827</v>
      </c>
    </row>
    <row r="26" spans="1:30" s="2008" customFormat="1" ht="12.75">
      <c r="B26" s="2927" t="s">
        <v>3385</v>
      </c>
      <c r="C26" s="2928"/>
      <c r="D26" s="2928"/>
      <c r="E26" s="2928"/>
      <c r="F26" s="2928"/>
      <c r="G26" s="2928"/>
      <c r="H26" s="2928"/>
      <c r="I26" s="2928"/>
      <c r="J26" s="2894"/>
      <c r="K26" s="2928" t="s">
        <v>2828</v>
      </c>
      <c r="L26" s="2928"/>
      <c r="M26" s="2928"/>
      <c r="N26" s="2928"/>
      <c r="O26" s="2928"/>
      <c r="P26" s="2928"/>
      <c r="Q26" s="2894"/>
      <c r="R26" s="3483" t="s">
        <v>2829</v>
      </c>
      <c r="S26" s="3484"/>
      <c r="T26" s="3484"/>
      <c r="U26" s="3484"/>
      <c r="V26" s="3484"/>
      <c r="W26" s="3484"/>
      <c r="X26" s="2894"/>
      <c r="Y26" s="3483" t="s">
        <v>2830</v>
      </c>
      <c r="Z26" s="3484"/>
      <c r="AA26" s="3484"/>
      <c r="AB26" s="3484"/>
      <c r="AC26" s="3484"/>
      <c r="AD26" s="3484"/>
    </row>
    <row r="27" spans="1:30" s="2009" customFormat="1" ht="14.25" thickBot="1">
      <c r="B27" s="2879"/>
      <c r="C27" s="2880"/>
      <c r="D27" s="2010" t="s">
        <v>2831</v>
      </c>
      <c r="E27" s="2011" t="s">
        <v>2832</v>
      </c>
      <c r="F27" s="2011" t="s">
        <v>2833</v>
      </c>
      <c r="G27" s="2011" t="s">
        <v>2834</v>
      </c>
      <c r="H27" s="2011"/>
      <c r="I27" s="2011" t="s">
        <v>2835</v>
      </c>
      <c r="J27" s="2881"/>
      <c r="K27" s="2010" t="s">
        <v>2831</v>
      </c>
      <c r="L27" s="2011" t="s">
        <v>2832</v>
      </c>
      <c r="M27" s="2011" t="s">
        <v>2833</v>
      </c>
      <c r="N27" s="2011" t="s">
        <v>2834</v>
      </c>
      <c r="O27" s="2011"/>
      <c r="P27" s="2011" t="s">
        <v>2835</v>
      </c>
      <c r="Q27" s="2881"/>
      <c r="R27" s="2010" t="s">
        <v>2831</v>
      </c>
      <c r="S27" s="2011" t="s">
        <v>2832</v>
      </c>
      <c r="T27" s="2011" t="s">
        <v>2833</v>
      </c>
      <c r="U27" s="2011" t="s">
        <v>2834</v>
      </c>
      <c r="V27" s="2011"/>
      <c r="W27" s="2011" t="s">
        <v>2835</v>
      </c>
      <c r="X27" s="2881"/>
      <c r="Y27" s="2010" t="s">
        <v>2831</v>
      </c>
      <c r="Z27" s="2011" t="s">
        <v>2832</v>
      </c>
      <c r="AA27" s="2011" t="s">
        <v>2833</v>
      </c>
      <c r="AB27" s="2011" t="s">
        <v>2834</v>
      </c>
      <c r="AC27" s="2011"/>
      <c r="AD27" s="2011" t="s">
        <v>2835</v>
      </c>
    </row>
    <row r="28" spans="1:30" s="2884" customFormat="1" ht="12.75">
      <c r="A28" s="2882" t="s">
        <v>2836</v>
      </c>
      <c r="B28" s="2883"/>
      <c r="E28" s="2884">
        <f t="shared" ref="E28:G28" si="65">ROUND(AVERAGEIF(E29:E46,"&lt;&gt;0"),2)</f>
        <v>0.26</v>
      </c>
      <c r="F28" s="2884">
        <f t="shared" si="65"/>
        <v>0.19</v>
      </c>
      <c r="G28" s="2884">
        <f t="shared" si="65"/>
        <v>0.38</v>
      </c>
      <c r="I28" s="2884">
        <f>F28</f>
        <v>0.19</v>
      </c>
      <c r="J28" s="2885"/>
      <c r="K28" s="2886"/>
      <c r="L28" s="2887">
        <f t="shared" ref="L28:N28" si="66">ROUND(AVERAGEIF(L29:L46,"&lt;&gt;0"),4)</f>
        <v>2.5999999999999999E-3</v>
      </c>
      <c r="M28" s="2887">
        <f t="shared" si="66"/>
        <v>1.9E-3</v>
      </c>
      <c r="N28" s="2887">
        <f t="shared" si="66"/>
        <v>3.8E-3</v>
      </c>
      <c r="O28" s="2887"/>
      <c r="P28" s="2887">
        <f>M28</f>
        <v>1.9E-3</v>
      </c>
      <c r="Q28" s="2885"/>
      <c r="R28" s="2888"/>
      <c r="S28" s="2889">
        <f>ROUND(SUMPRODUCT(PRODUCT(1+L29:L46)),4)</f>
        <v>1.04</v>
      </c>
      <c r="T28" s="2889">
        <f t="shared" ref="T28:U28" si="67">ROUND(SUMPRODUCT(PRODUCT(1+M29:M46)),4)</f>
        <v>1.0293000000000001</v>
      </c>
      <c r="U28" s="2889">
        <f t="shared" si="67"/>
        <v>1.0583</v>
      </c>
      <c r="V28" s="2889"/>
      <c r="W28" s="2888">
        <f>T28</f>
        <v>1.0293000000000001</v>
      </c>
      <c r="X28" s="2885"/>
      <c r="Y28" s="2890"/>
      <c r="Z28" s="2891">
        <f t="shared" ref="Z28:AB28" si="68">ROUND(AVERAGEIF(Z29:Z46,"&lt;&gt;0"),4)</f>
        <v>4.1000000000000003E-3</v>
      </c>
      <c r="AA28" s="2892">
        <f t="shared" si="68"/>
        <v>3.3E-3</v>
      </c>
      <c r="AB28" s="2890">
        <f t="shared" si="68"/>
        <v>8.0999999999999996E-3</v>
      </c>
      <c r="AC28" s="2893"/>
      <c r="AD28" s="2890">
        <f>AA28</f>
        <v>3.3E-3</v>
      </c>
    </row>
    <row r="29" spans="1:30" s="2008" customFormat="1" ht="12.75">
      <c r="B29" s="2024"/>
      <c r="J29" s="2894"/>
      <c r="K29" s="2895"/>
      <c r="L29" s="2896"/>
      <c r="M29" s="2896"/>
      <c r="N29" s="2896"/>
      <c r="O29" s="2896"/>
      <c r="P29" s="2896"/>
      <c r="Q29" s="2894"/>
      <c r="R29" s="2026"/>
      <c r="S29" s="2897"/>
      <c r="T29" s="2898"/>
      <c r="U29" s="2026"/>
      <c r="V29" s="2899"/>
      <c r="W29" s="2026"/>
      <c r="X29" s="2894"/>
      <c r="Y29" s="2027"/>
      <c r="Z29" s="2900"/>
      <c r="AA29" s="2901"/>
      <c r="AB29" s="2027"/>
      <c r="AC29" s="2902"/>
      <c r="AD29" s="2027"/>
    </row>
    <row r="30" spans="1:30" s="2044" customFormat="1" ht="12.75">
      <c r="A30" s="2039" t="s">
        <v>3380</v>
      </c>
      <c r="B30" s="2030">
        <v>2025</v>
      </c>
      <c r="C30" s="2041">
        <v>1</v>
      </c>
      <c r="D30" s="2006"/>
      <c r="E30" s="2006">
        <v>0</v>
      </c>
      <c r="F30" s="2006">
        <v>0</v>
      </c>
      <c r="G30" s="2006">
        <v>0</v>
      </c>
      <c r="H30" s="2006"/>
      <c r="I30" s="2007">
        <f t="shared" ref="I30" si="69">F30</f>
        <v>0</v>
      </c>
      <c r="J30" s="2904"/>
      <c r="K30" s="2042"/>
      <c r="L30" s="2027">
        <f t="shared" ref="L30" si="70">E30/100</f>
        <v>0</v>
      </c>
      <c r="M30" s="2027">
        <f t="shared" ref="M30" si="71">F30/100</f>
        <v>0</v>
      </c>
      <c r="N30" s="2027">
        <f t="shared" ref="N30" si="72">G30/100</f>
        <v>0</v>
      </c>
      <c r="O30" s="2027"/>
      <c r="P30" s="2027">
        <f>M30</f>
        <v>0</v>
      </c>
      <c r="Q30" s="2904"/>
      <c r="R30" s="2026"/>
      <c r="S30" s="2026">
        <f>ROUND(IF(项目基本情况!$B$8="出让",SUMPRODUCT(PRODUCT(1+L30:L$46)),SUMPRODUCT(PRODUCT(1+L30:L$45))),4)</f>
        <v>1.0364</v>
      </c>
      <c r="T30" s="2026">
        <f>ROUND(IF(项目基本情况!$B$8="出让",SUMPRODUCT(PRODUCT(1+M30:M$46)),SUMPRODUCT(PRODUCT(1+M30:M$45))),4)</f>
        <v>1.0244</v>
      </c>
      <c r="U30" s="2026">
        <f>ROUND(IF(项目基本情况!$B$8="出让",SUMPRODUCT(PRODUCT(1+N30:N$46)),SUMPRODUCT(PRODUCT(1+N30:N$45))),4)</f>
        <v>1.048</v>
      </c>
      <c r="V30" s="2026"/>
      <c r="W30" s="2026">
        <f>T30</f>
        <v>1.0244</v>
      </c>
      <c r="X30" s="2904"/>
      <c r="Y30" s="2027"/>
      <c r="Z30" s="2900">
        <f t="shared" ref="Z30" si="73">IF(E30=0,0,ROUND(AVERAGE(E30:E43)/100,4))</f>
        <v>0</v>
      </c>
      <c r="AA30" s="2900">
        <f t="shared" ref="AA30" si="74">IF(F30=0,0,ROUND(AVERAGE(F30:F43)/100,4))</f>
        <v>0</v>
      </c>
      <c r="AB30" s="2900">
        <f t="shared" ref="AB30" si="75">IF(G30=0,0,ROUND(AVERAGE(G30:G43)/100,4))</f>
        <v>0</v>
      </c>
      <c r="AC30" s="2902"/>
      <c r="AD30" s="2027">
        <f>IF(I30=0,0,ROUND(AVERAGE(I30:I43)/100,4))</f>
        <v>0</v>
      </c>
    </row>
    <row r="31" spans="1:30" s="2914" customFormat="1" ht="12.75">
      <c r="A31" s="2905" t="s">
        <v>3382</v>
      </c>
      <c r="B31" s="2906">
        <v>2024</v>
      </c>
      <c r="C31" s="2907">
        <v>4</v>
      </c>
      <c r="D31" s="2908"/>
      <c r="E31" s="2908">
        <v>0</v>
      </c>
      <c r="F31" s="2908">
        <v>0</v>
      </c>
      <c r="G31" s="2908">
        <v>0</v>
      </c>
      <c r="H31" s="2909"/>
      <c r="I31" s="2910">
        <f t="shared" ref="I31" si="76">F31</f>
        <v>0</v>
      </c>
      <c r="J31" s="2911"/>
      <c r="K31" s="2912"/>
      <c r="L31" s="2913">
        <f t="shared" ref="L31" si="77">E31/100</f>
        <v>0</v>
      </c>
      <c r="M31" s="2913">
        <f t="shared" ref="M31" si="78">F31/100</f>
        <v>0</v>
      </c>
      <c r="N31" s="2913">
        <f t="shared" ref="N31" si="79">G31/100</f>
        <v>0</v>
      </c>
      <c r="O31" s="2913"/>
      <c r="P31" s="2913">
        <f>M31</f>
        <v>0</v>
      </c>
      <c r="Q31" s="2911"/>
      <c r="R31" s="2911"/>
      <c r="S31" s="2911">
        <f>ROUND(IF(项目基本情况!$B$8="出让",SUMPRODUCT(PRODUCT(1+L31:L$46)),SUMPRODUCT(PRODUCT(1+L31:L$45))),4)</f>
        <v>1.0364</v>
      </c>
      <c r="T31" s="2911">
        <f>ROUND(IF(项目基本情况!$B$8="出让",SUMPRODUCT(PRODUCT(1+M31:M$46)),SUMPRODUCT(PRODUCT(1+M31:M$45))),4)</f>
        <v>1.0244</v>
      </c>
      <c r="U31" s="2911">
        <f>ROUND(IF(项目基本情况!$B$8="出让",SUMPRODUCT(PRODUCT(1+N31:N$46)),SUMPRODUCT(PRODUCT(1+N31:N$45))),4)</f>
        <v>1.048</v>
      </c>
      <c r="V31" s="2911"/>
      <c r="W31" s="2911">
        <f>T31</f>
        <v>1.0244</v>
      </c>
      <c r="X31" s="2911"/>
      <c r="Y31" s="2913"/>
      <c r="Z31" s="2929">
        <f t="shared" ref="Z31" si="80">IF(E31=0,0,ROUND(AVERAGE(E31:E44)/100,4))</f>
        <v>0</v>
      </c>
      <c r="AA31" s="2930">
        <f t="shared" ref="AA31" si="81">IF(F31=0,0,ROUND(AVERAGE(F31:F44)/100,4))</f>
        <v>0</v>
      </c>
      <c r="AB31" s="2913">
        <f t="shared" ref="AB31" si="82">IF(G31=0,0,ROUND(AVERAGE(G31:G44)/100,4))</f>
        <v>0</v>
      </c>
      <c r="AC31" s="2931"/>
      <c r="AD31" s="2913">
        <f>IF(I31=0,0,ROUND(AVERAGE(I31:I44)/100,4))</f>
        <v>0</v>
      </c>
    </row>
    <row r="32" spans="1:30" s="2044" customFormat="1" ht="12.75">
      <c r="A32" s="2039" t="s">
        <v>3375</v>
      </c>
      <c r="B32" s="2030">
        <v>2024</v>
      </c>
      <c r="C32" s="2041">
        <v>3</v>
      </c>
      <c r="D32" s="2006"/>
      <c r="E32" s="2006">
        <v>-0.66</v>
      </c>
      <c r="F32" s="2006">
        <v>-0.52</v>
      </c>
      <c r="G32" s="2006">
        <v>-2.87</v>
      </c>
      <c r="H32" s="2006"/>
      <c r="I32" s="2007">
        <f t="shared" ref="I32" si="83">F32</f>
        <v>-0.52</v>
      </c>
      <c r="J32" s="2904"/>
      <c r="K32" s="2042"/>
      <c r="L32" s="2027">
        <f t="shared" ref="L32" si="84">E32/100</f>
        <v>-6.6E-3</v>
      </c>
      <c r="M32" s="2027">
        <f t="shared" ref="M32" si="85">F32/100</f>
        <v>-5.1999999999999998E-3</v>
      </c>
      <c r="N32" s="2027">
        <f t="shared" ref="N32" si="86">G32/100</f>
        <v>-2.87E-2</v>
      </c>
      <c r="O32" s="2027"/>
      <c r="P32" s="2027">
        <f>M32</f>
        <v>-5.1999999999999998E-3</v>
      </c>
      <c r="Q32" s="2904"/>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4"/>
      <c r="Y32" s="2027"/>
      <c r="Z32" s="2900">
        <f t="shared" ref="Z32:AB33" si="87">IF(E32=0,0,ROUND(AVERAGE(E32:E45)/100,4))</f>
        <v>2.5999999999999999E-3</v>
      </c>
      <c r="AA32" s="2900">
        <f t="shared" si="87"/>
        <v>1.6999999999999999E-3</v>
      </c>
      <c r="AB32" s="2900">
        <f t="shared" si="87"/>
        <v>3.3999999999999998E-3</v>
      </c>
      <c r="AC32" s="2902"/>
      <c r="AD32" s="2027">
        <f>IF(I32=0,0,ROUND(AVERAGE(I32:I45)/100,4))</f>
        <v>1.6999999999999999E-3</v>
      </c>
    </row>
    <row r="33" spans="1:30" s="2044" customFormat="1" ht="12.75">
      <c r="A33" s="2903" t="s">
        <v>3383</v>
      </c>
      <c r="B33" s="2030">
        <v>2024</v>
      </c>
      <c r="C33" s="2041">
        <v>2</v>
      </c>
      <c r="D33" s="2006"/>
      <c r="E33" s="2006">
        <v>-0.31</v>
      </c>
      <c r="F33" s="2006">
        <v>-0.39</v>
      </c>
      <c r="G33" s="2006">
        <v>1.23</v>
      </c>
      <c r="H33" s="2915"/>
      <c r="I33" s="2007">
        <f t="shared" ref="I33:I46" si="88">F33</f>
        <v>-0.39</v>
      </c>
      <c r="J33" s="2904"/>
      <c r="K33" s="2042"/>
      <c r="L33" s="2027">
        <f t="shared" ref="L33:N46" si="89">E33/100</f>
        <v>-3.0999999999999999E-3</v>
      </c>
      <c r="M33" s="2027">
        <f t="shared" si="89"/>
        <v>-3.9000000000000003E-3</v>
      </c>
      <c r="N33" s="2027">
        <f t="shared" si="89"/>
        <v>1.23E-2</v>
      </c>
      <c r="O33" s="2027"/>
      <c r="P33" s="2027">
        <f>M33</f>
        <v>-3.9000000000000003E-3</v>
      </c>
      <c r="Q33" s="2904"/>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4"/>
      <c r="Y33" s="2027"/>
      <c r="Z33" s="2900">
        <f t="shared" si="87"/>
        <v>3.3E-3</v>
      </c>
      <c r="AA33" s="2901">
        <f t="shared" si="87"/>
        <v>2.3999999999999998E-3</v>
      </c>
      <c r="AB33" s="2027">
        <f t="shared" si="87"/>
        <v>6.1999999999999998E-3</v>
      </c>
      <c r="AC33" s="2902"/>
      <c r="AD33" s="2027">
        <f>IF(I33=0,0,ROUND(AVERAGE(I33:I46)/100,4))</f>
        <v>2.3999999999999998E-3</v>
      </c>
    </row>
    <row r="34" spans="1:30" s="2044" customFormat="1" ht="12.75">
      <c r="A34" s="2903" t="s">
        <v>3376</v>
      </c>
      <c r="B34" s="2030">
        <v>2024</v>
      </c>
      <c r="C34" s="2041">
        <v>1</v>
      </c>
      <c r="D34" s="2006"/>
      <c r="E34" s="2006">
        <v>0.25</v>
      </c>
      <c r="F34" s="2006">
        <v>0.4</v>
      </c>
      <c r="G34" s="2006">
        <v>-0.63</v>
      </c>
      <c r="H34" s="2915"/>
      <c r="I34" s="2007">
        <f t="shared" ref="I34:I35" si="90">F34</f>
        <v>0.4</v>
      </c>
      <c r="J34" s="2904"/>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4"/>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4"/>
      <c r="Y34" s="2027"/>
      <c r="Z34" s="2900"/>
      <c r="AA34" s="2901"/>
      <c r="AB34" s="2027"/>
      <c r="AC34" s="2902"/>
      <c r="AD34" s="2027"/>
    </row>
    <row r="35" spans="1:30" s="2044" customFormat="1" ht="12.75">
      <c r="A35" s="2903" t="s">
        <v>3374</v>
      </c>
      <c r="B35" s="2030">
        <v>2023</v>
      </c>
      <c r="C35" s="2041">
        <v>4</v>
      </c>
      <c r="D35" s="2006"/>
      <c r="E35" s="2006">
        <v>7.0000000000000007E-2</v>
      </c>
      <c r="F35" s="2006">
        <v>0.09</v>
      </c>
      <c r="G35" s="2006">
        <v>0.03</v>
      </c>
      <c r="H35" s="2915"/>
      <c r="I35" s="2007">
        <f t="shared" si="90"/>
        <v>0.09</v>
      </c>
      <c r="J35" s="2904"/>
      <c r="K35" s="2042"/>
      <c r="L35" s="2027">
        <f t="shared" si="89"/>
        <v>7.000000000000001E-4</v>
      </c>
      <c r="M35" s="2027">
        <f t="shared" si="89"/>
        <v>8.9999999999999998E-4</v>
      </c>
      <c r="N35" s="2027">
        <f t="shared" si="89"/>
        <v>2.9999999999999997E-4</v>
      </c>
      <c r="O35" s="2027"/>
      <c r="P35" s="2027">
        <f t="shared" ref="P35" si="96">M35</f>
        <v>8.9999999999999998E-4</v>
      </c>
      <c r="Q35" s="2904"/>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4"/>
      <c r="Y35" s="2027"/>
      <c r="Z35" s="2900"/>
      <c r="AA35" s="2901"/>
      <c r="AB35" s="2027"/>
      <c r="AC35" s="2902"/>
      <c r="AD35" s="2027"/>
    </row>
    <row r="36" spans="1:30" s="2044" customFormat="1" ht="12.75">
      <c r="A36" s="2903" t="s">
        <v>3372</v>
      </c>
      <c r="B36" s="2030">
        <v>2023</v>
      </c>
      <c r="C36" s="2041">
        <v>3</v>
      </c>
      <c r="D36" s="2006"/>
      <c r="E36" s="2006">
        <v>0.35</v>
      </c>
      <c r="F36" s="2006">
        <v>0.17</v>
      </c>
      <c r="G36" s="2006">
        <v>0.52</v>
      </c>
      <c r="H36" s="2915"/>
      <c r="I36" s="2007">
        <f t="shared" si="88"/>
        <v>0.17</v>
      </c>
      <c r="J36" s="2904"/>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4"/>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4"/>
      <c r="Y36" s="2027"/>
      <c r="Z36" s="2900"/>
      <c r="AA36" s="2901"/>
      <c r="AB36" s="2027"/>
      <c r="AC36" s="2902"/>
      <c r="AD36" s="2027"/>
    </row>
    <row r="37" spans="1:30" s="2044" customFormat="1" ht="12.75">
      <c r="A37" s="2903" t="s">
        <v>3371</v>
      </c>
      <c r="B37" s="2030">
        <v>2023</v>
      </c>
      <c r="C37" s="2041">
        <v>2</v>
      </c>
      <c r="D37" s="2006"/>
      <c r="E37" s="2006">
        <v>0.5</v>
      </c>
      <c r="F37" s="2006">
        <v>0.45</v>
      </c>
      <c r="G37" s="2006">
        <v>0.89</v>
      </c>
      <c r="H37" s="2915"/>
      <c r="I37" s="2007">
        <f t="shared" si="88"/>
        <v>0.45</v>
      </c>
      <c r="J37" s="2904"/>
      <c r="K37" s="2042"/>
      <c r="L37" s="2027">
        <f t="shared" si="98"/>
        <v>5.0000000000000001E-3</v>
      </c>
      <c r="M37" s="2027">
        <f t="shared" si="99"/>
        <v>4.5000000000000005E-3</v>
      </c>
      <c r="N37" s="2027">
        <f t="shared" si="100"/>
        <v>8.8999999999999999E-3</v>
      </c>
      <c r="O37" s="2027"/>
      <c r="P37" s="2027">
        <f t="shared" si="101"/>
        <v>4.5000000000000005E-3</v>
      </c>
      <c r="Q37" s="2904"/>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4"/>
      <c r="Y37" s="2027"/>
      <c r="Z37" s="2900"/>
      <c r="AA37" s="2901"/>
      <c r="AB37" s="2027"/>
      <c r="AC37" s="2902"/>
      <c r="AD37" s="2027"/>
    </row>
    <row r="38" spans="1:30" s="2044" customFormat="1" ht="12.75">
      <c r="A38" s="2903" t="s">
        <v>3369</v>
      </c>
      <c r="B38" s="2030">
        <v>2023</v>
      </c>
      <c r="C38" s="2041">
        <v>1</v>
      </c>
      <c r="D38" s="2006"/>
      <c r="E38" s="2006">
        <v>0.55000000000000004</v>
      </c>
      <c r="F38" s="2006">
        <v>0.59</v>
      </c>
      <c r="G38" s="2006">
        <v>0.64</v>
      </c>
      <c r="H38" s="2915"/>
      <c r="I38" s="2007">
        <f t="shared" si="88"/>
        <v>0.59</v>
      </c>
      <c r="J38" s="2904"/>
      <c r="K38" s="2042"/>
      <c r="L38" s="2027">
        <f t="shared" si="98"/>
        <v>5.5000000000000005E-3</v>
      </c>
      <c r="M38" s="2027">
        <f t="shared" si="99"/>
        <v>5.8999999999999999E-3</v>
      </c>
      <c r="N38" s="2027">
        <f t="shared" si="100"/>
        <v>6.4000000000000003E-3</v>
      </c>
      <c r="O38" s="2027"/>
      <c r="P38" s="2027">
        <f t="shared" si="101"/>
        <v>5.8999999999999999E-3</v>
      </c>
      <c r="Q38" s="2904"/>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4"/>
      <c r="Y38" s="2027"/>
      <c r="Z38" s="2900"/>
      <c r="AA38" s="2901"/>
      <c r="AB38" s="2027"/>
      <c r="AC38" s="2902"/>
      <c r="AD38" s="2027"/>
    </row>
    <row r="39" spans="1:30" s="2044" customFormat="1" ht="12.75">
      <c r="A39" s="2903" t="s">
        <v>3368</v>
      </c>
      <c r="B39" s="2030">
        <v>2022</v>
      </c>
      <c r="C39" s="2041">
        <v>4</v>
      </c>
      <c r="D39" s="2006"/>
      <c r="E39" s="2006">
        <v>0.45</v>
      </c>
      <c r="F39" s="2006">
        <v>0.2</v>
      </c>
      <c r="G39" s="2006">
        <v>0.38</v>
      </c>
      <c r="H39" s="2915"/>
      <c r="I39" s="2007">
        <f t="shared" si="88"/>
        <v>0.2</v>
      </c>
      <c r="J39" s="2904"/>
      <c r="K39" s="2042"/>
      <c r="L39" s="2027">
        <f t="shared" si="89"/>
        <v>4.5000000000000005E-3</v>
      </c>
      <c r="M39" s="2027">
        <f t="shared" si="89"/>
        <v>2E-3</v>
      </c>
      <c r="N39" s="2027">
        <f t="shared" si="89"/>
        <v>3.8E-3</v>
      </c>
      <c r="O39" s="2027"/>
      <c r="P39" s="2027">
        <f t="shared" ref="P39:P46" si="103">M39</f>
        <v>2E-3</v>
      </c>
      <c r="Q39" s="2904"/>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4"/>
      <c r="Y39" s="2027"/>
      <c r="Z39" s="2900">
        <f t="shared" ref="Z39:AD46" si="105">IF(E39=0,0,ROUND(AVERAGE(E39:E47)/100,4))</f>
        <v>4.0000000000000001E-3</v>
      </c>
      <c r="AA39" s="2901">
        <f t="shared" si="105"/>
        <v>2.5999999999999999E-3</v>
      </c>
      <c r="AB39" s="2027">
        <f t="shared" si="105"/>
        <v>7.4000000000000003E-3</v>
      </c>
      <c r="AC39" s="2902"/>
      <c r="AD39" s="2027">
        <f t="shared" si="105"/>
        <v>2.5999999999999999E-3</v>
      </c>
    </row>
    <row r="40" spans="1:30" s="2044" customFormat="1" ht="12.75">
      <c r="A40" s="2903" t="s">
        <v>3367</v>
      </c>
      <c r="B40" s="2030">
        <v>2022</v>
      </c>
      <c r="C40" s="2041">
        <v>3</v>
      </c>
      <c r="D40" s="2006"/>
      <c r="E40" s="2006">
        <v>0.3</v>
      </c>
      <c r="F40" s="2006">
        <v>0.28999999999999998</v>
      </c>
      <c r="G40" s="2006">
        <v>0.83</v>
      </c>
      <c r="H40" s="2915"/>
      <c r="I40" s="2007">
        <f t="shared" si="88"/>
        <v>0.28999999999999998</v>
      </c>
      <c r="J40" s="2904"/>
      <c r="K40" s="2042"/>
      <c r="L40" s="2027">
        <f t="shared" si="89"/>
        <v>3.0000000000000001E-3</v>
      </c>
      <c r="M40" s="2027">
        <f t="shared" si="89"/>
        <v>2.8999999999999998E-3</v>
      </c>
      <c r="N40" s="2027">
        <f t="shared" si="89"/>
        <v>8.3000000000000001E-3</v>
      </c>
      <c r="O40" s="2027"/>
      <c r="P40" s="2027">
        <f t="shared" si="103"/>
        <v>2.8999999999999998E-3</v>
      </c>
      <c r="Q40" s="2904"/>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4"/>
      <c r="Y40" s="2027"/>
      <c r="Z40" s="2900">
        <f t="shared" si="105"/>
        <v>3.8999999999999998E-3</v>
      </c>
      <c r="AA40" s="2901">
        <f t="shared" si="105"/>
        <v>2.7000000000000001E-3</v>
      </c>
      <c r="AB40" s="2027">
        <f t="shared" si="105"/>
        <v>7.9000000000000008E-3</v>
      </c>
      <c r="AC40" s="2902"/>
      <c r="AD40" s="2027">
        <f t="shared" si="105"/>
        <v>2.7000000000000001E-3</v>
      </c>
    </row>
    <row r="41" spans="1:30" s="2044" customFormat="1" ht="12.75">
      <c r="A41" s="2903" t="s">
        <v>3357</v>
      </c>
      <c r="B41" s="2030">
        <v>2022</v>
      </c>
      <c r="C41" s="2041">
        <v>2</v>
      </c>
      <c r="D41" s="2006"/>
      <c r="E41" s="2006">
        <v>-0.11</v>
      </c>
      <c r="F41" s="2006">
        <v>-0.13</v>
      </c>
      <c r="G41" s="2006">
        <v>0.53</v>
      </c>
      <c r="H41" s="2915"/>
      <c r="I41" s="2007">
        <f t="shared" si="88"/>
        <v>-0.13</v>
      </c>
      <c r="J41" s="2904"/>
      <c r="K41" s="2042"/>
      <c r="L41" s="2027">
        <f t="shared" si="89"/>
        <v>-1.1000000000000001E-3</v>
      </c>
      <c r="M41" s="2027">
        <f t="shared" si="89"/>
        <v>-1.2999999999999999E-3</v>
      </c>
      <c r="N41" s="2027">
        <f t="shared" si="89"/>
        <v>5.3E-3</v>
      </c>
      <c r="O41" s="2027"/>
      <c r="P41" s="2027">
        <f t="shared" si="103"/>
        <v>-1.2999999999999999E-3</v>
      </c>
      <c r="Q41" s="2904"/>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4"/>
      <c r="Y41" s="2027"/>
      <c r="Z41" s="2900">
        <f t="shared" si="105"/>
        <v>4.1000000000000003E-3</v>
      </c>
      <c r="AA41" s="2901">
        <f t="shared" si="105"/>
        <v>2.7000000000000001E-3</v>
      </c>
      <c r="AB41" s="2027">
        <f t="shared" si="105"/>
        <v>7.9000000000000008E-3</v>
      </c>
      <c r="AC41" s="2902"/>
      <c r="AD41" s="2027">
        <f t="shared" si="105"/>
        <v>2.7000000000000001E-3</v>
      </c>
    </row>
    <row r="42" spans="1:30" s="2044" customFormat="1" ht="12.75">
      <c r="A42" s="2903" t="s">
        <v>2837</v>
      </c>
      <c r="B42" s="2030">
        <v>2022</v>
      </c>
      <c r="C42" s="2041">
        <v>1</v>
      </c>
      <c r="D42" s="2006"/>
      <c r="E42" s="2006">
        <v>0.6</v>
      </c>
      <c r="F42" s="2006">
        <v>0.45</v>
      </c>
      <c r="G42" s="2006">
        <v>0.53</v>
      </c>
      <c r="H42" s="2915"/>
      <c r="I42" s="2007">
        <f t="shared" si="88"/>
        <v>0.45</v>
      </c>
      <c r="J42" s="2904"/>
      <c r="K42" s="2042"/>
      <c r="L42" s="2027">
        <f t="shared" si="89"/>
        <v>6.0000000000000001E-3</v>
      </c>
      <c r="M42" s="2027">
        <f t="shared" si="89"/>
        <v>4.5000000000000005E-3</v>
      </c>
      <c r="N42" s="2027">
        <f t="shared" si="89"/>
        <v>5.3E-3</v>
      </c>
      <c r="O42" s="2027"/>
      <c r="P42" s="2027">
        <f t="shared" si="103"/>
        <v>4.5000000000000005E-3</v>
      </c>
      <c r="Q42" s="2904"/>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4"/>
      <c r="Y42" s="2027"/>
      <c r="Z42" s="2900">
        <f t="shared" si="105"/>
        <v>5.1000000000000004E-3</v>
      </c>
      <c r="AA42" s="2901">
        <f t="shared" si="105"/>
        <v>3.5000000000000001E-3</v>
      </c>
      <c r="AB42" s="2027">
        <f t="shared" si="105"/>
        <v>8.3999999999999995E-3</v>
      </c>
      <c r="AC42" s="2902"/>
      <c r="AD42" s="2027">
        <f t="shared" si="105"/>
        <v>3.5000000000000001E-3</v>
      </c>
    </row>
    <row r="43" spans="1:30" s="2044" customFormat="1" ht="12.75">
      <c r="A43" s="2903" t="s">
        <v>2838</v>
      </c>
      <c r="B43" s="2030">
        <v>2021</v>
      </c>
      <c r="C43" s="2041">
        <v>4</v>
      </c>
      <c r="D43" s="2006"/>
      <c r="E43" s="2006">
        <v>0.57999999999999996</v>
      </c>
      <c r="F43" s="2006">
        <v>0.08</v>
      </c>
      <c r="G43" s="2006">
        <v>0.68</v>
      </c>
      <c r="H43" s="2915"/>
      <c r="I43" s="2007">
        <f t="shared" si="88"/>
        <v>0.08</v>
      </c>
      <c r="J43" s="2904"/>
      <c r="K43" s="2042"/>
      <c r="L43" s="2027">
        <f t="shared" si="89"/>
        <v>5.7999999999999996E-3</v>
      </c>
      <c r="M43" s="2027">
        <f t="shared" si="89"/>
        <v>8.0000000000000004E-4</v>
      </c>
      <c r="N43" s="2027">
        <f t="shared" si="89"/>
        <v>6.8000000000000005E-3</v>
      </c>
      <c r="O43" s="2027"/>
      <c r="P43" s="2027">
        <f t="shared" si="103"/>
        <v>8.0000000000000004E-4</v>
      </c>
      <c r="Q43" s="2904"/>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4"/>
      <c r="Y43" s="2027"/>
      <c r="Z43" s="2900">
        <f t="shared" si="105"/>
        <v>4.8999999999999998E-3</v>
      </c>
      <c r="AA43" s="2901">
        <f t="shared" si="105"/>
        <v>3.3E-3</v>
      </c>
      <c r="AB43" s="2027">
        <f t="shared" si="105"/>
        <v>9.1999999999999998E-3</v>
      </c>
      <c r="AC43" s="2902"/>
      <c r="AD43" s="2027">
        <f t="shared" si="105"/>
        <v>3.3E-3</v>
      </c>
    </row>
    <row r="44" spans="1:30" s="2044" customFormat="1" ht="12.75">
      <c r="A44" s="2903" t="s">
        <v>2839</v>
      </c>
      <c r="B44" s="2030">
        <v>2021</v>
      </c>
      <c r="C44" s="2041">
        <v>3</v>
      </c>
      <c r="D44" s="2006"/>
      <c r="E44" s="2006">
        <v>0.47</v>
      </c>
      <c r="F44" s="2006">
        <v>0.28000000000000003</v>
      </c>
      <c r="G44" s="2006">
        <v>0.91</v>
      </c>
      <c r="H44" s="2915"/>
      <c r="I44" s="2007">
        <f t="shared" si="88"/>
        <v>0.28000000000000003</v>
      </c>
      <c r="J44" s="2904"/>
      <c r="K44" s="2042"/>
      <c r="L44" s="2027">
        <f t="shared" si="89"/>
        <v>4.6999999999999993E-3</v>
      </c>
      <c r="M44" s="2027">
        <f t="shared" si="89"/>
        <v>2.8000000000000004E-3</v>
      </c>
      <c r="N44" s="2027">
        <f t="shared" si="89"/>
        <v>9.1000000000000004E-3</v>
      </c>
      <c r="O44" s="2027"/>
      <c r="P44" s="2027">
        <f t="shared" si="103"/>
        <v>2.8000000000000004E-3</v>
      </c>
      <c r="Q44" s="2904"/>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4"/>
      <c r="Y44" s="2027"/>
      <c r="Z44" s="2900">
        <f t="shared" si="105"/>
        <v>4.5999999999999999E-3</v>
      </c>
      <c r="AA44" s="2901">
        <f t="shared" si="105"/>
        <v>4.1000000000000003E-3</v>
      </c>
      <c r="AB44" s="2027">
        <f t="shared" si="105"/>
        <v>0.01</v>
      </c>
      <c r="AC44" s="2902"/>
      <c r="AD44" s="2027">
        <f t="shared" si="105"/>
        <v>4.1000000000000003E-3</v>
      </c>
    </row>
    <row r="45" spans="1:30" s="2044" customFormat="1" ht="12.75">
      <c r="A45" s="2903" t="s">
        <v>2840</v>
      </c>
      <c r="B45" s="2030">
        <v>2021</v>
      </c>
      <c r="C45" s="2041">
        <v>2</v>
      </c>
      <c r="D45" s="2006"/>
      <c r="E45" s="2006">
        <v>0.55000000000000004</v>
      </c>
      <c r="F45" s="2006">
        <v>0.46</v>
      </c>
      <c r="G45" s="2006">
        <v>1.1000000000000001</v>
      </c>
      <c r="H45" s="2915"/>
      <c r="I45" s="2007">
        <f t="shared" si="88"/>
        <v>0.46</v>
      </c>
      <c r="J45" s="2904"/>
      <c r="K45" s="2042"/>
      <c r="L45" s="2027">
        <f t="shared" si="89"/>
        <v>5.5000000000000005E-3</v>
      </c>
      <c r="M45" s="2027">
        <f t="shared" si="89"/>
        <v>4.5999999999999999E-3</v>
      </c>
      <c r="N45" s="2027">
        <f t="shared" si="89"/>
        <v>1.1000000000000001E-2</v>
      </c>
      <c r="O45" s="2027"/>
      <c r="P45" s="2027">
        <f t="shared" si="103"/>
        <v>4.5999999999999999E-3</v>
      </c>
      <c r="Q45" s="2904"/>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4"/>
      <c r="Y45" s="2027"/>
      <c r="Z45" s="2900">
        <f t="shared" si="105"/>
        <v>4.4999999999999997E-3</v>
      </c>
      <c r="AA45" s="2901">
        <f t="shared" si="105"/>
        <v>4.7000000000000002E-3</v>
      </c>
      <c r="AB45" s="2027">
        <f t="shared" si="105"/>
        <v>1.04E-2</v>
      </c>
      <c r="AC45" s="2902"/>
      <c r="AD45" s="2027">
        <f t="shared" si="105"/>
        <v>4.7000000000000002E-3</v>
      </c>
    </row>
    <row r="46" spans="1:30" s="2926" customFormat="1" thickBot="1">
      <c r="A46" s="2916" t="s">
        <v>2826</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4.25" thickTop="1"/>
    <row r="48" spans="1:30">
      <c r="A48" s="3141" t="s">
        <v>3386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88" t="s">
        <v>452</v>
      </c>
      <c r="C1" s="3488"/>
      <c r="D1" s="3488"/>
      <c r="E1" s="3488"/>
      <c r="F1" s="3488"/>
      <c r="G1" s="3484" t="s">
        <v>453</v>
      </c>
      <c r="H1" s="3484"/>
      <c r="I1" s="3484"/>
      <c r="J1" s="3484"/>
      <c r="K1" s="3484"/>
      <c r="L1" s="3484"/>
      <c r="N1" s="3484" t="s">
        <v>454</v>
      </c>
      <c r="O1" s="3484"/>
      <c r="P1" s="3484"/>
      <c r="Q1" s="3484"/>
      <c r="S1" s="3484" t="s">
        <v>455</v>
      </c>
      <c r="T1" s="3484"/>
      <c r="U1" s="3484"/>
      <c r="V1" s="3484"/>
      <c r="X1" s="3483" t="s">
        <v>456</v>
      </c>
      <c r="Y1" s="3484"/>
      <c r="Z1" s="3484"/>
      <c r="AA1" s="3484"/>
      <c r="AB1" s="3484"/>
      <c r="AD1" s="3483" t="s">
        <v>457</v>
      </c>
      <c r="AE1" s="3484"/>
      <c r="AF1" s="3484"/>
      <c r="AG1" s="3484"/>
      <c r="AH1" s="3484"/>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3365</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3362</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3363</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3364</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2438</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2315</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2314</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2313</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2310</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2309</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86">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86"/>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86"/>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93"/>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89">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86"/>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86"/>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93"/>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89">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86"/>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86"/>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87"/>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85">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86"/>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86"/>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87"/>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85">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86"/>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86"/>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87"/>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90">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91"/>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91"/>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92"/>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85">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86"/>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86"/>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87"/>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85">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86">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86">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87">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85">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86">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86">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87">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85">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86">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86">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87">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85">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86">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86">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87">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85">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86">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86">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87">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85">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86">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86">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87">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85">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86">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86">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87">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85">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86">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86">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87">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85">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86">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86">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87">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85">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86">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86">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87">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45580</v>
      </c>
      <c r="D1" s="1216" t="s">
        <v>603</v>
      </c>
      <c r="E1" s="1211">
        <f>'数据-取费表'!B22</f>
        <v>2</v>
      </c>
      <c r="F1" s="1216" t="s">
        <v>604</v>
      </c>
      <c r="G1" s="1212">
        <f ca="1">INDIRECT("d"&amp;$K$1)/100</f>
        <v>3.3500000000000002E-2</v>
      </c>
      <c r="H1" s="1216" t="s">
        <v>634</v>
      </c>
      <c r="I1" s="1212">
        <f ca="1">F4/100</f>
        <v>1.4999999999999999E-2</v>
      </c>
      <c r="J1" s="1217">
        <f>IF(C1&gt;C13,0,MATCH(C1,C$13:C$114,-1))+IF(SUMIF(C13:C114,C1,D13:D114)=0,13,12)</f>
        <v>14</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3.35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3.35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3.35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3.35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3.85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3">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4"/>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2311</v>
      </c>
      <c r="C26" s="1206">
        <v>43697</v>
      </c>
      <c r="D26" s="2572">
        <v>4.25</v>
      </c>
      <c r="E26" s="2572">
        <v>4.25</v>
      </c>
      <c r="F26" s="2572">
        <v>4.25</v>
      </c>
      <c r="G26" s="2572">
        <v>4.25</v>
      </c>
      <c r="H26" s="2572">
        <v>4.8499999999999996</v>
      </c>
      <c r="I26" s="2572"/>
      <c r="J26" s="2572"/>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75"/>
      <c r="C27" s="2576">
        <v>42301</v>
      </c>
      <c r="D27" s="2577">
        <v>4.3499999999999996</v>
      </c>
      <c r="E27" s="2577">
        <v>4.3499999999999996</v>
      </c>
      <c r="F27" s="2577">
        <v>4.75</v>
      </c>
      <c r="G27" s="2577">
        <v>4.75</v>
      </c>
      <c r="H27" s="2577">
        <v>4.9000000000000004</v>
      </c>
      <c r="I27" s="2577"/>
      <c r="J27" s="2577"/>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75" t="str">
        <f>IF(项目基本情况!B9="房地产市场价值","估价结果一览表","结果表-2")</f>
        <v>结果表-2</v>
      </c>
      <c r="B1" s="3175"/>
      <c r="C1" s="3175"/>
      <c r="D1" s="3175"/>
      <c r="E1" s="3175"/>
      <c r="F1" s="3175"/>
      <c r="G1" s="3175"/>
      <c r="H1" s="3175"/>
      <c r="I1" s="3175"/>
    </row>
    <row r="2" spans="1:9" ht="30" customHeight="1" thickTop="1">
      <c r="A2" s="3176" t="s">
        <v>928</v>
      </c>
      <c r="B2" s="3176" t="s">
        <v>929</v>
      </c>
      <c r="C2" s="3176" t="s">
        <v>930</v>
      </c>
      <c r="D2" s="3176" t="str">
        <f>结果表!D116</f>
        <v>出让国有建设用地使用权价值</v>
      </c>
      <c r="E2" s="3176"/>
      <c r="F2" s="3176" t="str">
        <f>结果表!F116</f>
        <v>在建建筑物价值</v>
      </c>
      <c r="G2" s="3176"/>
      <c r="H2" s="3176" t="str">
        <f>IF(项目基本情况!B9="房地产市场价值","房地产市场价值","房地产价值")</f>
        <v>房地产价值</v>
      </c>
      <c r="I2" s="3176"/>
    </row>
    <row r="3" spans="1:9" ht="15">
      <c r="A3" s="3171"/>
      <c r="B3" s="3171"/>
      <c r="C3" s="3171"/>
      <c r="D3" s="800" t="s">
        <v>925</v>
      </c>
      <c r="E3" s="800" t="s">
        <v>931</v>
      </c>
      <c r="F3" s="800" t="s">
        <v>925</v>
      </c>
      <c r="G3" s="800" t="s">
        <v>926</v>
      </c>
      <c r="H3" s="800" t="s">
        <v>925</v>
      </c>
      <c r="I3" s="800" t="s">
        <v>926</v>
      </c>
    </row>
    <row r="4" spans="1:9" ht="30">
      <c r="A4" s="1402" t="str">
        <f>项目基本情况!S2</f>
        <v>北京市怀柔区开放路46号楼1至2层23房地产</v>
      </c>
      <c r="B4" s="800">
        <f>项目基本情况!C17</f>
        <v>227.25</v>
      </c>
      <c r="C4" s="800">
        <f>项目基本情况!C18</f>
        <v>0</v>
      </c>
      <c r="D4" s="800">
        <f>结果表!D118</f>
        <v>0</v>
      </c>
      <c r="E4" s="800">
        <f>结果表!E118</f>
        <v>0</v>
      </c>
      <c r="F4" s="800">
        <f>结果表!F118</f>
        <v>0</v>
      </c>
      <c r="G4" s="800">
        <f>结果表!G118</f>
        <v>0</v>
      </c>
      <c r="H4" s="800">
        <f ca="1">结果表!H118</f>
        <v>464.52170000000001</v>
      </c>
      <c r="I4" s="800">
        <f ca="1">结果表!I118</f>
        <v>20441</v>
      </c>
    </row>
    <row r="5" spans="1:9" ht="30" customHeight="1">
      <c r="A5" s="3171" t="s">
        <v>927</v>
      </c>
      <c r="B5" s="3171"/>
      <c r="C5" s="3171"/>
      <c r="D5" s="3171" t="str">
        <f>结果表!D119</f>
        <v>零元整</v>
      </c>
      <c r="E5" s="3171"/>
      <c r="F5" s="3171" t="str">
        <f>结果表!F119</f>
        <v>零元整</v>
      </c>
      <c r="G5" s="3171"/>
      <c r="H5" s="3171" t="str">
        <f ca="1">结果表!H119</f>
        <v>肆佰陆拾肆万伍仟贰佰壹拾柒元整</v>
      </c>
      <c r="I5" s="3171"/>
    </row>
    <row r="6" spans="1:9" ht="15.75">
      <c r="A6" s="3170" t="str">
        <f>结果表!A120</f>
        <v>估价师知悉的法定优先受偿款</v>
      </c>
      <c r="B6" s="3170"/>
      <c r="C6" s="3170"/>
      <c r="D6" s="3170">
        <f>结果表!D120</f>
        <v>0</v>
      </c>
      <c r="E6" s="3170"/>
      <c r="F6" s="3170"/>
      <c r="G6" s="3170"/>
      <c r="H6" s="3170"/>
      <c r="I6" s="3170"/>
    </row>
    <row r="7" spans="1:9" ht="15">
      <c r="A7" s="3171" t="s">
        <v>927</v>
      </c>
      <c r="B7" s="3171"/>
      <c r="C7" s="3171"/>
      <c r="D7" s="3172" t="str">
        <f>结果表!D121</f>
        <v>零元整</v>
      </c>
      <c r="E7" s="3173"/>
      <c r="F7" s="3173"/>
      <c r="G7" s="3173"/>
      <c r="H7" s="3173"/>
      <c r="I7" s="3174"/>
    </row>
    <row r="8" spans="1:9" ht="15.75">
      <c r="A8" s="3170" t="str">
        <f>结果表!A122</f>
        <v>房地产抵押价值</v>
      </c>
      <c r="B8" s="3170"/>
      <c r="C8" s="3170"/>
      <c r="D8" s="3170">
        <f ca="1">结果表!D122</f>
        <v>464.52170000000001</v>
      </c>
      <c r="E8" s="3170"/>
      <c r="F8" s="3170"/>
      <c r="G8" s="3170"/>
      <c r="H8" s="3170"/>
      <c r="I8" s="3170"/>
    </row>
    <row r="9" spans="1:9" ht="15">
      <c r="A9" s="3171" t="s">
        <v>927</v>
      </c>
      <c r="B9" s="3171"/>
      <c r="C9" s="3171"/>
      <c r="D9" s="3171" t="str">
        <f ca="1">结果表!D123</f>
        <v>肆佰陆拾肆万伍仟贰佰壹拾柒元整</v>
      </c>
      <c r="E9" s="3171"/>
      <c r="F9" s="3171"/>
      <c r="G9" s="3171"/>
      <c r="H9" s="3171"/>
      <c r="I9" s="3171"/>
    </row>
    <row r="10" spans="1:9" ht="15.75">
      <c r="A10" s="3170" t="str">
        <f>结果表!A124</f>
        <v/>
      </c>
      <c r="B10" s="3170"/>
      <c r="C10" s="3170"/>
      <c r="D10" s="3170" t="str">
        <f>结果表!D124</f>
        <v>——</v>
      </c>
      <c r="E10" s="3170"/>
      <c r="F10" s="3170"/>
      <c r="G10" s="3170"/>
      <c r="H10" s="3170"/>
      <c r="I10" s="3170"/>
    </row>
    <row r="11" spans="1:9" ht="15">
      <c r="A11" s="3171" t="s">
        <v>927</v>
      </c>
      <c r="B11" s="3171"/>
      <c r="C11" s="3171"/>
      <c r="D11" s="3171" t="e">
        <f>结果表!D125</f>
        <v>#VALUE!</v>
      </c>
      <c r="E11" s="3171"/>
      <c r="F11" s="3171"/>
      <c r="G11" s="3171"/>
      <c r="H11" s="3171"/>
      <c r="I11" s="3171"/>
    </row>
    <row r="12" spans="1:9" ht="15.75">
      <c r="A12" s="3170" t="str">
        <f>结果表!A126</f>
        <v/>
      </c>
      <c r="B12" s="3170"/>
      <c r="C12" s="3170"/>
      <c r="D12" s="3170" t="str">
        <f>结果表!D126</f>
        <v>——</v>
      </c>
      <c r="E12" s="3170"/>
      <c r="F12" s="3170"/>
      <c r="G12" s="3170"/>
      <c r="H12" s="3170"/>
      <c r="I12" s="3170"/>
    </row>
    <row r="13" spans="1:9" ht="15.75" thickBot="1">
      <c r="A13" s="3168" t="s">
        <v>927</v>
      </c>
      <c r="B13" s="3168"/>
      <c r="C13" s="3168"/>
      <c r="D13" s="3168" t="e">
        <f>结果表!D127</f>
        <v>#VALUE!</v>
      </c>
      <c r="E13" s="3168"/>
      <c r="F13" s="3168"/>
      <c r="G13" s="3168"/>
      <c r="H13" s="3168"/>
      <c r="I13" s="3168"/>
    </row>
    <row r="14" spans="1:9" ht="15" thickTop="1">
      <c r="A14" s="3169" t="s">
        <v>932</v>
      </c>
      <c r="B14" s="3169"/>
      <c r="C14" s="3169"/>
      <c r="D14" s="3169"/>
      <c r="E14" s="3169"/>
      <c r="F14" s="3169"/>
      <c r="G14" s="3169"/>
      <c r="H14" s="3169"/>
      <c r="I14" s="3169"/>
    </row>
    <row r="16" spans="1:9" ht="18.75">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183" t="s">
        <v>949</v>
      </c>
      <c r="B1" s="3183"/>
      <c r="C1" s="3183"/>
      <c r="D1" s="3183"/>
    </row>
    <row r="2" spans="1:4" ht="18">
      <c r="A2" s="3184" t="s">
        <v>933</v>
      </c>
      <c r="B2" s="3184"/>
      <c r="C2" s="3184"/>
      <c r="D2" s="3184"/>
    </row>
    <row r="3" spans="1:4" ht="18.75">
      <c r="A3" s="1406" t="s">
        <v>934</v>
      </c>
      <c r="B3" s="1406" t="s">
        <v>935</v>
      </c>
      <c r="C3" s="1406" t="s">
        <v>936</v>
      </c>
      <c r="D3" s="1406" t="s">
        <v>937</v>
      </c>
    </row>
    <row r="4" spans="1:4" ht="56.25" customHeight="1">
      <c r="A4" s="1407" t="str">
        <f>项目基本情况!B4</f>
        <v>郑燚</v>
      </c>
      <c r="B4" s="1408">
        <f ca="1">项目基本情况!C4</f>
        <v>1120070131</v>
      </c>
      <c r="C4" s="1409"/>
      <c r="D4" s="1410" t="s">
        <v>938</v>
      </c>
    </row>
    <row r="5" spans="1:4" ht="56.25" customHeight="1">
      <c r="A5" s="1407" t="str">
        <f>项目基本情况!D4</f>
        <v>崔锴</v>
      </c>
      <c r="B5" s="1408">
        <f ca="1">项目基本情况!E4</f>
        <v>1120100036</v>
      </c>
      <c r="C5" s="1411"/>
      <c r="D5" s="1410" t="s">
        <v>938</v>
      </c>
    </row>
    <row r="6" spans="1:4" ht="18">
      <c r="A6" s="3184" t="s">
        <v>939</v>
      </c>
      <c r="B6" s="3184"/>
      <c r="C6" s="3184"/>
      <c r="D6" s="3184"/>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85" t="s">
        <v>942</v>
      </c>
      <c r="B11" s="3177"/>
      <c r="C11" s="3177"/>
      <c r="D11" s="3177"/>
    </row>
    <row r="12" spans="1:4" ht="15.75">
      <c r="A12" s="31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2"/>
      <c r="C12" s="3182"/>
      <c r="D12" s="3182"/>
    </row>
    <row r="13" spans="1:4" ht="30" customHeight="1">
      <c r="A13" s="31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2"/>
      <c r="C13" s="3182"/>
      <c r="D13" s="3182"/>
    </row>
    <row r="14" spans="1:4" ht="15.75" customHeight="1">
      <c r="A14" s="3177" t="str">
        <f>IF(项目基本情况!B8="抵押","4.本次评估估价师所知悉的法定优先受偿款情况说明如下：","——")</f>
        <v>4.本次评估估价师所知悉的法定优先受偿款情况说明如下：</v>
      </c>
      <c r="B14" s="3182"/>
      <c r="C14" s="3182"/>
      <c r="D14" s="3182"/>
    </row>
    <row r="15" spans="1:4" ht="42" customHeight="1">
      <c r="A15" s="317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7"/>
      <c r="C15" s="3177"/>
      <c r="D15" s="3177"/>
    </row>
    <row r="16" spans="1:4" ht="30" customHeight="1">
      <c r="A16" s="3179" t="s">
        <v>943</v>
      </c>
      <c r="B16" s="3179"/>
      <c r="C16" s="3179"/>
      <c r="D16" s="3179"/>
    </row>
    <row r="17" spans="1:4" ht="144" customHeight="1">
      <c r="A17" s="3179" t="s">
        <v>944</v>
      </c>
      <c r="B17" s="3179"/>
      <c r="C17" s="3179"/>
      <c r="D17" s="3179"/>
    </row>
    <row r="18" spans="1:4" ht="15.75" customHeight="1">
      <c r="A18" s="3177" t="str">
        <f>IF(项目基本情况!B8="抵押",结果表!K120,"——")</f>
        <v>故，本次评估不存在估价师知悉的法定优先受偿款</v>
      </c>
      <c r="B18" s="3177"/>
      <c r="C18" s="3177"/>
      <c r="D18" s="3177"/>
    </row>
    <row r="19" spans="1:4" ht="46.5" customHeight="1">
      <c r="A19" s="31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7"/>
      <c r="C19" s="3177"/>
      <c r="D19" s="3177"/>
    </row>
    <row r="20" spans="1:4" ht="57.75" customHeight="1">
      <c r="A20" s="31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7"/>
      <c r="C20" s="3177"/>
      <c r="D20" s="3177"/>
    </row>
    <row r="21" spans="1:4" ht="57.75" customHeight="1">
      <c r="A21" s="31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0"/>
      <c r="C21" s="3180"/>
      <c r="D21" s="3180"/>
    </row>
    <row r="22" spans="1:4" ht="18.75" customHeight="1">
      <c r="A22" s="3181" t="s">
        <v>945</v>
      </c>
      <c r="B22" s="3181"/>
      <c r="C22" s="3181"/>
      <c r="D22" s="3181"/>
    </row>
    <row r="23" spans="1:4">
      <c r="A23" s="1414"/>
      <c r="B23" s="458"/>
      <c r="C23" s="458"/>
      <c r="D23" s="458"/>
    </row>
    <row r="24" spans="1:4">
      <c r="A24" s="1414"/>
      <c r="B24" s="458"/>
      <c r="C24" s="458"/>
      <c r="D24" s="458"/>
    </row>
    <row r="25" spans="1:4" ht="18.75">
      <c r="A25" s="1415" t="s">
        <v>946</v>
      </c>
    </row>
    <row r="26" spans="1:4" ht="18">
      <c r="A26" s="1386"/>
    </row>
    <row r="27" spans="1:4" ht="18.75">
      <c r="A27" s="1386" t="s">
        <v>947</v>
      </c>
    </row>
    <row r="30" spans="1:4" ht="18.75">
      <c r="D30" s="1415" t="s">
        <v>948</v>
      </c>
    </row>
    <row r="31" spans="1:4" ht="13.5" customHeight="1">
      <c r="C31" s="3178">
        <v>42551</v>
      </c>
      <c r="D31" s="317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191" t="s">
        <v>956</v>
      </c>
      <c r="B15" s="3186" t="s">
        <v>109</v>
      </c>
      <c r="C15" s="3187"/>
    </row>
    <row r="16" spans="1:7" ht="13.5">
      <c r="A16" s="3192"/>
      <c r="B16" s="3186" t="s">
        <v>42</v>
      </c>
      <c r="C16" s="3187"/>
    </row>
    <row r="17" spans="1:3" ht="13.5">
      <c r="A17" s="3192"/>
      <c r="B17" s="3189" t="s">
        <v>957</v>
      </c>
      <c r="C17" s="1428" t="s">
        <v>956</v>
      </c>
    </row>
    <row r="18" spans="1:3" ht="13.5">
      <c r="A18" s="3192"/>
      <c r="B18" s="3189"/>
      <c r="C18" s="1428" t="s">
        <v>958</v>
      </c>
    </row>
    <row r="19" spans="1:3" ht="13.5">
      <c r="A19" s="3192"/>
      <c r="B19" s="3189"/>
      <c r="C19" s="1428" t="s">
        <v>959</v>
      </c>
    </row>
    <row r="20" spans="1:3" ht="13.5">
      <c r="A20" s="3193"/>
      <c r="B20" s="3188" t="s">
        <v>960</v>
      </c>
      <c r="C20" s="3187"/>
    </row>
    <row r="21" spans="1:3" ht="13.5">
      <c r="A21" s="1429" t="s">
        <v>961</v>
      </c>
      <c r="B21" s="1430"/>
      <c r="C21" s="1431"/>
    </row>
    <row r="22" spans="1:3" ht="13.5">
      <c r="A22" s="3190" t="s">
        <v>962</v>
      </c>
      <c r="B22" s="3188" t="s">
        <v>963</v>
      </c>
      <c r="C22" s="3187"/>
    </row>
    <row r="23" spans="1:3" ht="13.5">
      <c r="A23" s="3190"/>
      <c r="B23" s="3188" t="s">
        <v>964</v>
      </c>
      <c r="C23" s="3187"/>
    </row>
    <row r="24" spans="1:3" ht="13.5">
      <c r="A24" s="3190"/>
      <c r="B24" s="3188" t="s">
        <v>965</v>
      </c>
      <c r="C24" s="3187"/>
    </row>
    <row r="25" spans="1:3" ht="13.5">
      <c r="A25" s="3190"/>
      <c r="B25" s="3189" t="s">
        <v>966</v>
      </c>
      <c r="C25" s="1428" t="s">
        <v>967</v>
      </c>
    </row>
    <row r="26" spans="1:3" ht="13.5">
      <c r="A26" s="3190"/>
      <c r="B26" s="3189"/>
      <c r="C26" s="1428" t="s">
        <v>968</v>
      </c>
    </row>
    <row r="27" spans="1:3" ht="13.5">
      <c r="A27" s="3190"/>
      <c r="B27" s="3189"/>
      <c r="C27" s="1428" t="s">
        <v>969</v>
      </c>
    </row>
    <row r="28" spans="1:3" ht="13.5">
      <c r="A28" s="3190"/>
      <c r="B28" s="3189"/>
      <c r="C28" s="1428" t="s">
        <v>970</v>
      </c>
    </row>
    <row r="29" spans="1:3" ht="13.5">
      <c r="A29" s="3190"/>
      <c r="B29" s="3189"/>
      <c r="C29" s="1428" t="s">
        <v>971</v>
      </c>
    </row>
    <row r="30" spans="1:3" ht="13.5">
      <c r="A30" s="3190"/>
      <c r="B30" s="3189"/>
      <c r="C30" s="1428" t="s">
        <v>972</v>
      </c>
    </row>
    <row r="31" spans="1:3" ht="13.5">
      <c r="A31" s="3190"/>
      <c r="B31" s="3189"/>
      <c r="C31" s="1428" t="s">
        <v>973</v>
      </c>
    </row>
    <row r="32" spans="1:3" ht="13.5">
      <c r="A32" s="3190"/>
      <c r="B32" s="3189"/>
      <c r="C32" s="1428" t="s">
        <v>974</v>
      </c>
    </row>
    <row r="33" spans="1:3" ht="13.5">
      <c r="A33" s="3190"/>
      <c r="B33" s="3189"/>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45596</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f ca="1">IF(C10&lt;B2,"已过期",1120100036)</f>
        <v>1120100036</v>
      </c>
      <c r="C10" s="2166">
        <v>45752</v>
      </c>
      <c r="D10" s="2162" t="str">
        <f t="shared" ca="1" si="0"/>
        <v>崔锴（注册号：1120100036）</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2439</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194" t="s">
        <v>2160</v>
      </c>
      <c r="B17" s="3194"/>
      <c r="C17" s="3194"/>
      <c r="D17" s="3194"/>
      <c r="E17" s="3194"/>
      <c r="F17" s="3194"/>
      <c r="G17" s="3194"/>
      <c r="H17" s="3194"/>
    </row>
    <row r="18" spans="1:8" ht="24" customHeight="1">
      <c r="A18" s="3195" t="s">
        <v>2161</v>
      </c>
      <c r="B18" s="3195"/>
      <c r="C18" s="3195"/>
      <c r="D18" s="2159"/>
      <c r="E18" s="3196" t="s">
        <v>2162</v>
      </c>
      <c r="F18" s="3195"/>
      <c r="G18" s="3195"/>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2440</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167</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比较法-商业 (2)</vt:lpstr>
      <vt:lpstr>案例</vt:lpstr>
      <vt:lpstr>Sheet2</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'比较法-商业 (2)'!Print_Area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 (2)'!商业层高</vt:lpstr>
      <vt:lpstr>商业层高</vt:lpstr>
      <vt:lpstr>'比较法-商业 (2)'!商业成新度</vt:lpstr>
      <vt:lpstr>商业成新度</vt:lpstr>
      <vt:lpstr>商业繁华度</vt:lpstr>
      <vt:lpstr>'比较法-商业 (2)'!商业公共部分装修</vt:lpstr>
      <vt:lpstr>商业公共部分装修</vt:lpstr>
      <vt:lpstr>'比较法-商业 (2)'!商业基础设施水平</vt:lpstr>
      <vt:lpstr>商业基础设施水平</vt:lpstr>
      <vt:lpstr>'比较法-商业 (2)'!商业建筑结构</vt:lpstr>
      <vt:lpstr>商业建筑结构</vt:lpstr>
      <vt:lpstr>'比较法-商业 (2)'!商业交易情况</vt:lpstr>
      <vt:lpstr>商业交易情况</vt:lpstr>
      <vt:lpstr>商业街名称</vt:lpstr>
      <vt:lpstr>'比较法-商业 (2)'!商业进深比</vt:lpstr>
      <vt:lpstr>商业进深比</vt:lpstr>
      <vt:lpstr>'比较法-商业 (2)'!商业类型</vt:lpstr>
      <vt:lpstr>商业类型</vt:lpstr>
      <vt:lpstr>'比较法-商业 (2)'!商业临街状况</vt:lpstr>
      <vt:lpstr>商业临街状况</vt:lpstr>
      <vt:lpstr>'比较法-商业 (2)'!商业楼层</vt:lpstr>
      <vt:lpstr>商业楼层</vt:lpstr>
      <vt:lpstr>'比较法-商业 (2)'!商业内部装修</vt:lpstr>
      <vt:lpstr>商业内部装修</vt:lpstr>
      <vt:lpstr>'比较法-商业 (2)'!商业人流量</vt:lpstr>
      <vt:lpstr>商业人流量</vt:lpstr>
      <vt:lpstr>'比较法-商业 (2)'!商业业态</vt:lpstr>
      <vt:lpstr>商业业态</vt:lpstr>
      <vt:lpstr>'比较法-商业 (2)'!商业用途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2024-10-31T02:18:18Z</dcterms:modified>
</cp:coreProperties>
</file>