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I37" i="21" l="1"/>
  <c r="G37" i="21"/>
  <c r="E37" i="21"/>
  <c r="C37" i="21"/>
  <c r="I7" i="21"/>
  <c r="G7" i="21"/>
  <c r="E7" i="21"/>
  <c r="Y6" i="1"/>
  <c r="N6" i="1"/>
  <c r="B55" i="1"/>
  <c r="B56" i="1"/>
  <c r="B57" i="1"/>
  <c r="B58" i="1"/>
  <c r="B59" i="1"/>
  <c r="B54" i="1"/>
  <c r="F19" i="6"/>
  <c r="I13" i="3"/>
  <c r="C11" i="77"/>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c r="A120" i="9"/>
  <c r="H2" i="52"/>
  <c r="A1" i="52"/>
  <c r="A3" i="53"/>
  <c r="Q13" i="71"/>
  <c r="P13" i="71"/>
  <c r="O13" i="71"/>
  <c r="N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BL17" i="3"/>
  <c r="AZ17" i="3"/>
  <c r="BL13" i="3"/>
  <c r="G30" i="6"/>
  <c r="G31" i="6" s="1"/>
  <c r="J56" i="9"/>
  <c r="J57" i="9"/>
  <c r="A24" i="51"/>
  <c r="B18" i="72" s="1"/>
  <c r="U29" i="34"/>
  <c r="E14" i="6"/>
  <c r="E64" i="39" s="1"/>
  <c r="E5" i="6"/>
  <c r="D9" i="11" s="1"/>
  <c r="C9" i="11" s="1"/>
  <c r="E32" i="6"/>
  <c r="L19" i="6" s="1"/>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s="1"/>
  <c r="J33" i="21"/>
  <c r="H33" i="21"/>
  <c r="AB33" i="21" s="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P6" i="1" s="1"/>
  <c r="F30" i="11"/>
  <c r="C48" i="11" s="1"/>
  <c r="E63" i="39"/>
  <c r="T11" i="1"/>
  <c r="AQ9" i="1"/>
  <c r="AR11" i="1"/>
  <c r="E59" i="40"/>
  <c r="E30" i="6"/>
  <c r="K15"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165" i="3"/>
  <c r="K14" i="1"/>
  <c r="BL5" i="3"/>
  <c r="J59" i="9"/>
  <c r="J61" i="9"/>
  <c r="E270" i="3"/>
  <c r="E533" i="3"/>
  <c r="AR6" i="3"/>
  <c r="E561" i="3"/>
  <c r="E538" i="3"/>
  <c r="E439" i="3"/>
  <c r="E380" i="3"/>
  <c r="E231" i="3"/>
  <c r="E216"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B5" i="62"/>
  <c r="B73" i="72"/>
  <c r="AP7" i="1"/>
  <c r="C36" i="69" s="1"/>
  <c r="Q16" i="1"/>
  <c r="F27" i="69" s="1"/>
  <c r="C47" i="69" s="1"/>
  <c r="D45" i="69" s="1"/>
  <c r="AB45" i="21"/>
  <c r="AC33" i="21"/>
  <c r="W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C34" i="69"/>
  <c r="AE7" i="1"/>
  <c r="AE8" i="1"/>
  <c r="AG6" i="1"/>
  <c r="H109" i="9"/>
  <c r="H110" i="9"/>
  <c r="D18" i="53" s="1"/>
  <c r="B35" i="72" s="1"/>
  <c r="D124" i="9"/>
  <c r="D16" i="53"/>
  <c r="B34" i="72"/>
  <c r="D10" i="52"/>
  <c r="H14" i="74"/>
  <c r="D17" i="53"/>
  <c r="B36" i="72"/>
  <c r="D125" i="9"/>
  <c r="D11" i="52"/>
  <c r="B7" i="74"/>
  <c r="H112" i="9"/>
  <c r="D21" i="53"/>
  <c r="B39" i="72" s="1"/>
  <c r="H111" i="9"/>
  <c r="D126" i="9" s="1"/>
  <c r="D59" i="9"/>
  <c r="M55" i="9"/>
  <c r="AD3" i="71"/>
  <c r="B4" i="62"/>
  <c r="B71" i="72"/>
  <c r="C65" i="40"/>
  <c r="G16" i="1"/>
  <c r="F10" i="39" s="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24" i="12"/>
  <c r="C9" i="71"/>
  <c r="D9" i="71"/>
  <c r="D10" i="71"/>
  <c r="D11" i="71"/>
  <c r="U11" i="71"/>
  <c r="S11" i="71"/>
  <c r="T11" i="71"/>
  <c r="AB9" i="71"/>
  <c r="X7" i="71"/>
  <c r="X6" i="71"/>
  <c r="AA7" i="71"/>
  <c r="AA6" i="71"/>
  <c r="X10" i="71"/>
  <c r="Z5" i="71"/>
  <c r="Y6" i="71"/>
  <c r="Z6" i="71"/>
  <c r="AB7" i="71"/>
  <c r="AB6" i="71"/>
  <c r="B6" i="71"/>
  <c r="B5" i="71"/>
  <c r="S7" i="71"/>
  <c r="F8" i="71"/>
  <c r="F7" i="71"/>
  <c r="F6" i="71"/>
  <c r="F5" i="71"/>
  <c r="Y7" i="71"/>
  <c r="Z7" i="71"/>
  <c r="B7" i="49"/>
  <c r="E7" i="49"/>
  <c r="B15" i="49"/>
  <c r="AB3" i="71"/>
  <c r="X3" i="71"/>
  <c r="C8" i="71"/>
  <c r="E8" i="71"/>
  <c r="E7" i="71"/>
  <c r="E10" i="49"/>
  <c r="B6" i="49"/>
  <c r="E14" i="49"/>
  <c r="AF3" i="71"/>
  <c r="P24" i="43"/>
  <c r="B66" i="40" s="1"/>
  <c r="P21" i="43"/>
  <c r="P22" i="43"/>
  <c r="B13" i="49"/>
  <c r="B4" i="49"/>
  <c r="B9" i="49"/>
  <c r="E22" i="49"/>
  <c r="E16" i="49"/>
  <c r="E11" i="49"/>
  <c r="B10" i="49"/>
  <c r="E6" i="49"/>
  <c r="E8" i="49"/>
  <c r="E5" i="49"/>
  <c r="B8" i="49"/>
  <c r="B5" i="49"/>
  <c r="E21" i="49"/>
  <c r="E4" i="49"/>
  <c r="B11" i="49"/>
  <c r="B14" i="49"/>
  <c r="B16" i="49"/>
  <c r="E13" i="49"/>
  <c r="E15" i="49"/>
  <c r="E9" i="49"/>
  <c r="B22" i="49"/>
  <c r="G20" i="43"/>
  <c r="D65" i="40"/>
  <c r="G17" i="43"/>
  <c r="C16" i="43"/>
  <c r="D5" i="43"/>
  <c r="C5" i="43"/>
  <c r="D70" i="39"/>
  <c r="E68" i="39"/>
  <c r="E6" i="71"/>
  <c r="E5" i="71"/>
  <c r="V7" i="71"/>
  <c r="P23" i="43"/>
  <c r="B71" i="39" s="1"/>
  <c r="C7" i="71"/>
  <c r="D8" i="71"/>
  <c r="P25" i="43"/>
  <c r="E65" i="40"/>
  <c r="F63" i="40"/>
  <c r="E41" i="43"/>
  <c r="C41" i="43"/>
  <c r="C20" i="43"/>
  <c r="F68" i="39"/>
  <c r="E70" i="39"/>
  <c r="C6" i="71"/>
  <c r="C5" i="71"/>
  <c r="D5" i="71"/>
  <c r="T7" i="71"/>
  <c r="D6" i="71"/>
  <c r="D7" i="71"/>
  <c r="F65" i="40"/>
  <c r="G63" i="40"/>
  <c r="G68" i="39"/>
  <c r="H68" i="39" s="1"/>
  <c r="F70" i="39"/>
  <c r="M20" i="43"/>
  <c r="C19" i="43"/>
  <c r="C39" i="43" s="1"/>
  <c r="U7" i="71"/>
  <c r="G65" i="40"/>
  <c r="H63" i="40"/>
  <c r="H65" i="40" s="1"/>
  <c r="G70" i="39"/>
  <c r="I63" i="40"/>
  <c r="J63" i="40" s="1"/>
  <c r="I65" i="40"/>
  <c r="L48" i="67"/>
  <c r="F43" i="67"/>
  <c r="F8" i="67"/>
  <c r="J15" i="67"/>
  <c r="AO8" i="1"/>
  <c r="F3" i="73"/>
  <c r="D2" i="35"/>
  <c r="M24" i="15"/>
  <c r="B12" i="76"/>
  <c r="E10" i="76"/>
  <c r="M9" i="15"/>
  <c r="AO10" i="1"/>
  <c r="M26" i="67"/>
  <c r="M23" i="67"/>
  <c r="F4" i="73"/>
  <c r="L47" i="15"/>
  <c r="M6" i="15"/>
  <c r="F9" i="67"/>
  <c r="AO9" i="1"/>
  <c r="B11" i="76"/>
  <c r="F37" i="67"/>
  <c r="F26" i="15"/>
  <c r="F38" i="67"/>
  <c r="D35" i="9"/>
  <c r="D2" i="34"/>
  <c r="D2" i="33"/>
  <c r="F40" i="15"/>
  <c r="M27" i="67"/>
  <c r="B8" i="76"/>
  <c r="AO7" i="1"/>
  <c r="F5" i="73"/>
  <c r="E11" i="76"/>
  <c r="F43" i="15"/>
  <c r="M6" i="67"/>
  <c r="F6" i="67"/>
  <c r="F8" i="15"/>
  <c r="F40" i="67"/>
  <c r="M21" i="67"/>
  <c r="F35" i="67"/>
  <c r="J15" i="15"/>
  <c r="F7" i="67"/>
  <c r="M24" i="67"/>
  <c r="AO13" i="1"/>
  <c r="F7" i="15"/>
  <c r="B9" i="76"/>
  <c r="M28" i="67"/>
  <c r="F13" i="15"/>
  <c r="D7" i="73"/>
  <c r="D6" i="73"/>
  <c r="F31" i="67"/>
  <c r="D4" i="73"/>
  <c r="M23" i="15"/>
  <c r="F9" i="15"/>
  <c r="F41" i="67"/>
  <c r="L47" i="67"/>
  <c r="M26" i="15"/>
  <c r="F16" i="67"/>
  <c r="M22" i="67"/>
  <c r="M8" i="67"/>
  <c r="D2" i="37"/>
  <c r="E12" i="76"/>
  <c r="M22" i="15"/>
  <c r="F42" i="15"/>
  <c r="AO11" i="1"/>
  <c r="F26" i="67"/>
  <c r="B10" i="76"/>
  <c r="M29" i="67"/>
  <c r="D2" i="21"/>
  <c r="F7" i="73"/>
  <c r="AO12" i="1"/>
  <c r="E9" i="76"/>
  <c r="E2" i="68"/>
  <c r="D2" i="36"/>
  <c r="M8" i="15"/>
  <c r="F38" i="15"/>
  <c r="D5" i="73"/>
  <c r="F31" i="15"/>
  <c r="L48" i="15"/>
  <c r="E13" i="76"/>
  <c r="E7" i="76"/>
  <c r="M29" i="15"/>
  <c r="F6" i="73"/>
  <c r="E2" i="69"/>
  <c r="M27" i="15"/>
  <c r="M28" i="15"/>
  <c r="F6" i="15"/>
  <c r="F37" i="15"/>
  <c r="E8" i="76"/>
  <c r="M9" i="67"/>
  <c r="F16" i="15"/>
  <c r="F20" i="31"/>
  <c r="F36" i="67"/>
  <c r="D34" i="9"/>
  <c r="F42" i="67"/>
  <c r="F36" i="15"/>
  <c r="C76" i="15"/>
  <c r="F13" i="67"/>
  <c r="C76" i="67"/>
  <c r="B13" i="76"/>
  <c r="B7" i="76"/>
  <c r="D3" i="73"/>
  <c r="P61" i="15" l="1"/>
  <c r="C92" i="9"/>
  <c r="C94" i="9"/>
  <c r="C30" i="11"/>
  <c r="F30" i="69"/>
  <c r="C30" i="69" s="1"/>
  <c r="F52" i="9"/>
  <c r="D68" i="9"/>
  <c r="F28" i="15"/>
  <c r="C28" i="15" s="1"/>
  <c r="F32" i="67"/>
  <c r="F60" i="67" s="1"/>
  <c r="F28" i="67"/>
  <c r="C28" i="67" s="1"/>
  <c r="C36" i="68"/>
  <c r="F54" i="9"/>
  <c r="M18" i="15"/>
  <c r="F32" i="15"/>
  <c r="F60" i="15" s="1"/>
  <c r="M18" i="67"/>
  <c r="F31" i="12"/>
  <c r="C31" i="12" s="1"/>
  <c r="F30" i="68"/>
  <c r="C5" i="68"/>
  <c r="L27" i="6"/>
  <c r="E15" i="6"/>
  <c r="F27" i="68"/>
  <c r="C29" i="68" s="1"/>
  <c r="D27" i="68" s="1"/>
  <c r="E61" i="39"/>
  <c r="E56" i="40"/>
  <c r="E128" i="3"/>
  <c r="E390" i="3"/>
  <c r="S6" i="3"/>
  <c r="E523" i="3"/>
  <c r="E506" i="3"/>
  <c r="E418" i="3"/>
  <c r="E338" i="3"/>
  <c r="E321" i="3"/>
  <c r="E298" i="3"/>
  <c r="E169"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D3" i="34"/>
  <c r="D14" i="12"/>
  <c r="D17" i="12" s="1"/>
  <c r="C17" i="12" s="1"/>
  <c r="D37" i="11"/>
  <c r="C37" i="11" s="1"/>
  <c r="D3" i="33"/>
  <c r="M18" i="9"/>
  <c r="B118" i="9" s="1"/>
  <c r="B14" i="74" s="1"/>
  <c r="B1" i="74" s="1"/>
  <c r="C7" i="74" s="1"/>
  <c r="D9" i="68"/>
  <c r="C9" i="68" s="1"/>
  <c r="D19" i="12"/>
  <c r="C19" i="12" s="1"/>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F27" i="6"/>
  <c r="E51" i="40"/>
  <c r="E16" i="6"/>
  <c r="E56" i="39"/>
  <c r="E89" i="3"/>
  <c r="E157" i="3"/>
  <c r="E122" i="3"/>
  <c r="E181" i="3"/>
  <c r="E269" i="3"/>
  <c r="E228" i="3"/>
  <c r="E148" i="3"/>
  <c r="E188" i="3"/>
  <c r="E236" i="3"/>
  <c r="E99" i="3"/>
  <c r="E156" i="3"/>
  <c r="E130" i="3"/>
  <c r="E189" i="3"/>
  <c r="E230" i="3"/>
  <c r="E215" i="3"/>
  <c r="E294" i="3"/>
  <c r="E335" i="3"/>
  <c r="E320" i="3"/>
  <c r="E387" i="3"/>
  <c r="E407" i="3"/>
  <c r="AB6" i="3"/>
  <c r="V6" i="3"/>
  <c r="M6" i="3"/>
  <c r="E551" i="3"/>
  <c r="E570" i="3"/>
  <c r="E559" i="3"/>
  <c r="E514" i="3"/>
  <c r="E358" i="3"/>
  <c r="E311" i="3"/>
  <c r="E293" i="3"/>
  <c r="AY6" i="3"/>
  <c r="E6" i="6"/>
  <c r="D9" i="69"/>
  <c r="C9" i="69" s="1"/>
  <c r="C29" i="69"/>
  <c r="D27" i="69" s="1"/>
  <c r="F27" i="11"/>
  <c r="F28" i="12"/>
  <c r="C29" i="12" s="1"/>
  <c r="D28" i="12" s="1"/>
  <c r="H16" i="1"/>
  <c r="C36" i="11"/>
  <c r="O7" i="1"/>
  <c r="P7" i="1" s="1"/>
  <c r="F22" i="43"/>
  <c r="F101" i="43"/>
  <c r="E22" i="43"/>
  <c r="L101" i="43"/>
  <c r="D101" i="43"/>
  <c r="M101" i="43"/>
  <c r="I101" i="43"/>
  <c r="E101" i="43"/>
  <c r="S2" i="43"/>
  <c r="S5" i="43"/>
  <c r="S6" i="43"/>
  <c r="S3" i="43"/>
  <c r="J22" i="43"/>
  <c r="B113" i="43"/>
  <c r="K101" i="43"/>
  <c r="N101" i="43"/>
  <c r="G101" i="43"/>
  <c r="C101" i="43"/>
  <c r="J101" i="43"/>
  <c r="N104" i="46"/>
  <c r="H22"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T4" i="43" s="1"/>
  <c r="V4" i="43" s="1"/>
  <c r="S7" i="43"/>
  <c r="T7" i="1"/>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97" i="3"/>
  <c r="AY219" i="3"/>
  <c r="AY230" i="3"/>
  <c r="AY262" i="3"/>
  <c r="AY247" i="3"/>
  <c r="AY278" i="3"/>
  <c r="AY283" i="3"/>
  <c r="AY87" i="3"/>
  <c r="AY83" i="3"/>
  <c r="AY51" i="3"/>
  <c r="AY66" i="3"/>
  <c r="AY34" i="3"/>
  <c r="AY23" i="3"/>
  <c r="AY207" i="3"/>
  <c r="AY176" i="3"/>
  <c r="AY144" i="3"/>
  <c r="AY155" i="3"/>
  <c r="AY124" i="3"/>
  <c r="AY115" i="3"/>
  <c r="AY95" i="3"/>
  <c r="AY59" i="3"/>
  <c r="AY42" i="3"/>
  <c r="AY188" i="3"/>
  <c r="AY152" i="3"/>
  <c r="AY131" i="3"/>
  <c r="AY281" i="3"/>
  <c r="AY276" i="3"/>
  <c r="AY98" i="3"/>
  <c r="AY82" i="3"/>
  <c r="AY18" i="3"/>
  <c r="AY191" i="3"/>
  <c r="AY171" i="3"/>
  <c r="AY132" i="3"/>
  <c r="AY90" i="3"/>
  <c r="AY31" i="3"/>
  <c r="AY163" i="3"/>
  <c r="AY292"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03" i="3"/>
  <c r="AY67" i="3"/>
  <c r="AY50" i="3"/>
  <c r="AY196" i="3"/>
  <c r="AY160" i="3"/>
  <c r="AY139" i="3"/>
  <c r="AY289" i="3"/>
  <c r="AY74" i="3"/>
  <c r="AY183" i="3"/>
  <c r="AY123"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M14" i="1"/>
  <c r="K16" i="1"/>
  <c r="O9" i="1"/>
  <c r="P9" i="1" s="1"/>
  <c r="O8" i="1"/>
  <c r="P8" i="1" s="1"/>
  <c r="D3" i="21"/>
  <c r="D19" i="11"/>
  <c r="C19" i="11" s="1"/>
  <c r="C17" i="4"/>
  <c r="L18" i="9"/>
  <c r="D3" i="37"/>
  <c r="AR7" i="1"/>
  <c r="F10" i="40"/>
  <c r="S10" i="39"/>
  <c r="AA10" i="39"/>
  <c r="H10" i="40"/>
  <c r="D127" i="9"/>
  <c r="D13" i="52" s="1"/>
  <c r="D12" i="52"/>
  <c r="I14" i="74"/>
  <c r="B8" i="74" s="1"/>
  <c r="C8" i="74" s="1"/>
  <c r="D19" i="53"/>
  <c r="E39" i="43"/>
  <c r="G39" i="43"/>
  <c r="I39" i="43" s="1"/>
  <c r="C29" i="43"/>
  <c r="T14" i="43"/>
  <c r="V14" i="43" s="1"/>
  <c r="T5" i="43"/>
  <c r="V5" i="43" s="1"/>
  <c r="C38" i="43"/>
  <c r="T3" i="43"/>
  <c r="V3" i="43" s="1"/>
  <c r="J65" i="40"/>
  <c r="K63" i="40"/>
  <c r="H70" i="39"/>
  <c r="I68" i="39"/>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T6" i="43"/>
  <c r="V6" i="43" s="1"/>
  <c r="F59" i="34"/>
  <c r="J10" i="40"/>
  <c r="J10" i="39"/>
  <c r="H10" i="39"/>
  <c r="D48" i="35"/>
  <c r="D52" i="37"/>
  <c r="D58" i="33"/>
  <c r="E58" i="33" s="1"/>
  <c r="F58" i="33" s="1"/>
  <c r="G58" i="33" s="1"/>
  <c r="H58" i="33" s="1"/>
  <c r="I58" i="33" s="1"/>
  <c r="J58" i="33" s="1"/>
  <c r="K58" i="33" s="1"/>
  <c r="L58" i="33" s="1"/>
  <c r="M58" i="33" s="1"/>
  <c r="N58" i="33" s="1"/>
  <c r="O58" i="33" s="1"/>
  <c r="C38" i="69"/>
  <c r="C35" i="69"/>
  <c r="D46" i="36"/>
  <c r="D58" i="21"/>
  <c r="C48" i="69"/>
  <c r="E20" i="43"/>
  <c r="K1" i="73"/>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B11" i="70"/>
  <c r="F66" i="67"/>
  <c r="F65" i="15"/>
  <c r="C27" i="15"/>
  <c r="F65" i="67"/>
  <c r="C6" i="15"/>
  <c r="B9" i="70"/>
  <c r="J6" i="15"/>
  <c r="N59" i="15"/>
  <c r="M59" i="15"/>
  <c r="L59" i="15"/>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F59" i="67"/>
  <c r="C14" i="15"/>
  <c r="M17" i="67"/>
  <c r="C16" i="15"/>
  <c r="F59" i="15"/>
  <c r="C17" i="67"/>
  <c r="C14" i="67"/>
  <c r="M17" i="15"/>
  <c r="C17" i="15"/>
  <c r="G1" i="73"/>
  <c r="C16" i="67"/>
  <c r="C48" i="68" l="1"/>
  <c r="C30" i="68"/>
  <c r="C18" i="15"/>
  <c r="C15" i="15"/>
  <c r="E60" i="40"/>
  <c r="E65" i="39"/>
  <c r="C14" i="12"/>
  <c r="C47" i="68"/>
  <c r="D45" i="68" s="1"/>
  <c r="E57" i="40"/>
  <c r="E62" i="39"/>
  <c r="E66" i="39" s="1"/>
  <c r="AC6" i="3"/>
  <c r="AY125" i="3"/>
  <c r="AY118" i="3"/>
  <c r="AY294" i="3"/>
  <c r="AY231" i="3"/>
  <c r="AY214" i="3"/>
  <c r="AY381"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299" i="3"/>
  <c r="AY263" i="3"/>
  <c r="AY246" i="3"/>
  <c r="AY392"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563" i="3"/>
  <c r="AY110" i="3"/>
  <c r="AY47" i="3"/>
  <c r="AY30" i="3"/>
  <c r="AY203" i="3"/>
  <c r="AY140" i="3"/>
  <c r="AY120" i="3"/>
  <c r="AY296" i="3"/>
  <c r="AY233" i="3"/>
  <c r="AY216" i="3"/>
  <c r="AY383" i="3"/>
  <c r="AY347" i="3"/>
  <c r="AY330" i="3"/>
  <c r="AY482" i="3"/>
  <c r="AY440" i="3"/>
  <c r="AY421"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P6" i="3"/>
  <c r="AY493" i="3"/>
  <c r="AY79" i="3"/>
  <c r="AY62" i="3"/>
  <c r="AY19" i="3"/>
  <c r="AY172" i="3"/>
  <c r="AY151" i="3"/>
  <c r="AY301" i="3"/>
  <c r="AY265" i="3"/>
  <c r="AY248" i="3"/>
  <c r="AY394" i="3"/>
  <c r="AY359" i="3"/>
  <c r="AY315" i="3"/>
  <c r="AY485" i="3"/>
  <c r="AY451" i="3"/>
  <c r="AY408" i="3"/>
  <c r="AY500"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31" i="6"/>
  <c r="E27" i="6"/>
  <c r="H6" i="3"/>
  <c r="E6" i="3" s="1"/>
  <c r="D10" i="11"/>
  <c r="C10" i="11" s="1"/>
  <c r="D6" i="6"/>
  <c r="D10" i="69"/>
  <c r="D10" i="68"/>
  <c r="D20" i="12"/>
  <c r="C20" i="12" s="1"/>
  <c r="C18" i="12" s="1"/>
  <c r="C47" i="11"/>
  <c r="D45" i="11" s="1"/>
  <c r="C29" i="11"/>
  <c r="D27" i="11" s="1"/>
  <c r="C104" i="43"/>
  <c r="C105" i="43"/>
  <c r="C106" i="43"/>
  <c r="C107" i="43"/>
  <c r="C103" i="43"/>
  <c r="C102" i="43"/>
  <c r="C109" i="43"/>
  <c r="N102" i="43"/>
  <c r="N103" i="43"/>
  <c r="N106" i="43"/>
  <c r="N104" i="43"/>
  <c r="N109" i="43"/>
  <c r="N105" i="43"/>
  <c r="N107"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E104" i="43"/>
  <c r="E107" i="43"/>
  <c r="E105" i="43"/>
  <c r="E106" i="43"/>
  <c r="E109" i="43"/>
  <c r="E102" i="43"/>
  <c r="E103" i="43"/>
  <c r="M109" i="43"/>
  <c r="M104" i="43"/>
  <c r="M107" i="43"/>
  <c r="M105" i="43"/>
  <c r="M102" i="43"/>
  <c r="M103" i="43"/>
  <c r="M106" i="43"/>
  <c r="L109" i="43"/>
  <c r="L106" i="43"/>
  <c r="L107" i="43"/>
  <c r="L103" i="43"/>
  <c r="L105" i="43"/>
  <c r="L102" i="43"/>
  <c r="L104" i="43"/>
  <c r="F104" i="43"/>
  <c r="F107" i="43"/>
  <c r="F106" i="43"/>
  <c r="F105" i="43"/>
  <c r="F109" i="43"/>
  <c r="F102" i="43"/>
  <c r="F103" i="43"/>
  <c r="H107" i="43"/>
  <c r="H106" i="43"/>
  <c r="H105" i="43"/>
  <c r="H109" i="43"/>
  <c r="H103" i="43"/>
  <c r="H102" i="43"/>
  <c r="H104" i="43"/>
  <c r="J104" i="43"/>
  <c r="J105" i="43"/>
  <c r="J103" i="43"/>
  <c r="J109" i="43"/>
  <c r="J107" i="43"/>
  <c r="J102" i="43"/>
  <c r="J106" i="43"/>
  <c r="G105" i="43"/>
  <c r="G102" i="43"/>
  <c r="G103" i="43"/>
  <c r="G106" i="43"/>
  <c r="G107" i="43"/>
  <c r="G104" i="43"/>
  <c r="G109" i="43"/>
  <c r="K103" i="43"/>
  <c r="K107" i="43"/>
  <c r="K104" i="43"/>
  <c r="K105" i="43"/>
  <c r="K109" i="43"/>
  <c r="K102" i="43"/>
  <c r="K106" i="43"/>
  <c r="I109" i="43"/>
  <c r="I104" i="43"/>
  <c r="I107" i="43"/>
  <c r="I105" i="43"/>
  <c r="I106" i="43"/>
  <c r="I102" i="43"/>
  <c r="I103" i="43"/>
  <c r="D109" i="43"/>
  <c r="D105" i="43"/>
  <c r="D106" i="43"/>
  <c r="D102" i="43"/>
  <c r="D103" i="43"/>
  <c r="D107" i="43"/>
  <c r="D104" i="43"/>
  <c r="B4" i="52"/>
  <c r="B43" i="72" s="1"/>
  <c r="O14" i="1"/>
  <c r="P14" i="1" s="1"/>
  <c r="P16" i="1" s="1"/>
  <c r="C11" i="12" s="1"/>
  <c r="M16" i="1"/>
  <c r="C20" i="11"/>
  <c r="C28" i="11" s="1"/>
  <c r="C27" i="11" s="1"/>
  <c r="O16" i="1"/>
  <c r="AA10" i="40"/>
  <c r="S10" i="40"/>
  <c r="U10" i="40"/>
  <c r="AB10" i="40"/>
  <c r="C49" i="67"/>
  <c r="B38" i="72"/>
  <c r="D20" i="53"/>
  <c r="B40" i="72" s="1"/>
  <c r="C49" i="15"/>
  <c r="E38" i="43"/>
  <c r="G38" i="43"/>
  <c r="I38" i="43" s="1"/>
  <c r="C30" i="43"/>
  <c r="E30" i="43" s="1"/>
  <c r="E29" i="43"/>
  <c r="F7" i="33"/>
  <c r="E46" i="36"/>
  <c r="H7" i="33"/>
  <c r="J7" i="33"/>
  <c r="E52" i="37"/>
  <c r="E48" i="35"/>
  <c r="AC10" i="39"/>
  <c r="W10" i="39"/>
  <c r="E36" i="43"/>
  <c r="G36" i="43"/>
  <c r="I36" i="43" s="1"/>
  <c r="E35" i="43"/>
  <c r="G35" i="43"/>
  <c r="I35" i="43" s="1"/>
  <c r="E37" i="43"/>
  <c r="G37" i="43"/>
  <c r="I37" i="43" s="1"/>
  <c r="K65" i="40"/>
  <c r="L63" i="40"/>
  <c r="E58" i="21"/>
  <c r="F58" i="21" s="1"/>
  <c r="G58" i="21" s="1"/>
  <c r="H58" i="21" s="1"/>
  <c r="I58" i="21" s="1"/>
  <c r="J58" i="21" s="1"/>
  <c r="K58" i="21" s="1"/>
  <c r="L58" i="21" s="1"/>
  <c r="M58" i="21" s="1"/>
  <c r="N58" i="21" s="1"/>
  <c r="O58" i="21" s="1"/>
  <c r="J7" i="21"/>
  <c r="AB10" i="39"/>
  <c r="U10" i="39"/>
  <c r="AC10" i="40"/>
  <c r="W10" i="40"/>
  <c r="G59" i="34"/>
  <c r="E33" i="43"/>
  <c r="C26" i="43" s="1"/>
  <c r="G33" i="43"/>
  <c r="I33" i="43" s="1"/>
  <c r="C27" i="43" s="1"/>
  <c r="E34" i="43"/>
  <c r="G34" i="43"/>
  <c r="I34" i="43" s="1"/>
  <c r="J68" i="39"/>
  <c r="I70" i="39"/>
  <c r="C15" i="67"/>
  <c r="C18" i="67"/>
  <c r="B40" i="1"/>
  <c r="J18" i="67"/>
  <c r="F1" i="67"/>
  <c r="Q52" i="67"/>
  <c r="Q60" i="15"/>
  <c r="Q73" i="15"/>
  <c r="J18" i="15"/>
  <c r="Q61" i="67"/>
  <c r="Q74" i="67"/>
  <c r="Q60" i="67"/>
  <c r="Q73" i="67"/>
  <c r="F11" i="67"/>
  <c r="M11" i="67"/>
  <c r="J10" i="67" s="1"/>
  <c r="J5" i="67" s="1"/>
  <c r="M11" i="15"/>
  <c r="J10" i="15" s="1"/>
  <c r="J5" i="15" s="1"/>
  <c r="F11" i="15"/>
  <c r="Q74" i="15"/>
  <c r="Q61" i="15"/>
  <c r="C32" i="67"/>
  <c r="F1" i="15"/>
  <c r="Q52" i="15"/>
  <c r="C32" i="15"/>
  <c r="M28" i="43"/>
  <c r="O28" i="43"/>
  <c r="P28" i="43"/>
  <c r="N28" i="43"/>
  <c r="AE6" i="1"/>
  <c r="C19" i="15" l="1"/>
  <c r="C20" i="15" s="1"/>
  <c r="C26" i="15" s="1"/>
  <c r="M19" i="9"/>
  <c r="C118" i="9" s="1"/>
  <c r="C14" i="74" s="1"/>
  <c r="B2" i="74" s="1"/>
  <c r="D19" i="6"/>
  <c r="D26" i="6"/>
  <c r="C18" i="4"/>
  <c r="D8" i="6"/>
  <c r="D23" i="6"/>
  <c r="D14" i="6"/>
  <c r="D12" i="6"/>
  <c r="D11" i="6"/>
  <c r="D13" i="6"/>
  <c r="D28" i="6"/>
  <c r="E61" i="40"/>
  <c r="D25" i="6"/>
  <c r="D15" i="6"/>
  <c r="D22" i="6"/>
  <c r="D21" i="6"/>
  <c r="D24" i="6"/>
  <c r="D20" i="6"/>
  <c r="D5" i="6"/>
  <c r="D9" i="6"/>
  <c r="D10" i="6"/>
  <c r="L19" i="9"/>
  <c r="D29" i="6"/>
  <c r="E31" i="6"/>
  <c r="K21" i="6"/>
  <c r="M21" i="6" s="1"/>
  <c r="I21" i="6" s="1"/>
  <c r="S21" i="6" s="1"/>
  <c r="K20" i="6"/>
  <c r="M20" i="6" s="1"/>
  <c r="I20" i="6" s="1"/>
  <c r="S20" i="6" s="1"/>
  <c r="K24" i="6"/>
  <c r="M24" i="6" s="1"/>
  <c r="I24" i="6" s="1"/>
  <c r="S24" i="6" s="1"/>
  <c r="K22" i="6"/>
  <c r="M22" i="6" s="1"/>
  <c r="I22" i="6" s="1"/>
  <c r="K23" i="6"/>
  <c r="M23" i="6" s="1"/>
  <c r="I23" i="6" s="1"/>
  <c r="S23" i="6" s="1"/>
  <c r="K26" i="6"/>
  <c r="M26" i="6" s="1"/>
  <c r="I26" i="6" s="1"/>
  <c r="S26" i="6" s="1"/>
  <c r="K19" i="6"/>
  <c r="S6" i="1" s="1"/>
  <c r="K25" i="6"/>
  <c r="M25" i="6" s="1"/>
  <c r="I25" i="6" s="1"/>
  <c r="S25" i="6" s="1"/>
  <c r="C10" i="69"/>
  <c r="C8" i="69" s="1"/>
  <c r="C5" i="69" s="1"/>
  <c r="D19" i="69"/>
  <c r="C10" i="68"/>
  <c r="D19" i="68"/>
  <c r="D113" i="43"/>
  <c r="C115" i="43"/>
  <c r="C15" i="12"/>
  <c r="C12" i="12"/>
  <c r="N16" i="1"/>
  <c r="L16" i="1"/>
  <c r="C34" i="11"/>
  <c r="C34" i="68"/>
  <c r="AC7" i="21"/>
  <c r="V48" i="21" s="1"/>
  <c r="I48" i="21" s="1"/>
  <c r="W7" i="21"/>
  <c r="C19" i="67"/>
  <c r="C20" i="67" s="1"/>
  <c r="C26" i="67" s="1"/>
  <c r="J70" i="39"/>
  <c r="K68" i="39"/>
  <c r="B2" i="43"/>
  <c r="H59" i="34"/>
  <c r="H7" i="21"/>
  <c r="L65" i="40"/>
  <c r="M63" i="40"/>
  <c r="F52" i="37"/>
  <c r="U7" i="33"/>
  <c r="AB7" i="33"/>
  <c r="T48" i="33" s="1"/>
  <c r="G48" i="33" s="1"/>
  <c r="F46" i="36"/>
  <c r="F7" i="21"/>
  <c r="F48" i="35"/>
  <c r="AC7" i="33"/>
  <c r="V48" i="33" s="1"/>
  <c r="I48" i="33" s="1"/>
  <c r="W7" i="33"/>
  <c r="S7" i="33"/>
  <c r="AA7" i="33"/>
  <c r="R48" i="33" s="1"/>
  <c r="J26" i="15"/>
  <c r="J24" i="15"/>
  <c r="J26" i="67"/>
  <c r="J29" i="67" s="1"/>
  <c r="J24" i="67"/>
  <c r="C53" i="15"/>
  <c r="C48" i="15" s="1"/>
  <c r="C10" i="15"/>
  <c r="C5" i="15" s="1"/>
  <c r="C53" i="67"/>
  <c r="C48" i="67" s="1"/>
  <c r="C10" i="67"/>
  <c r="C5" i="67" s="1"/>
  <c r="F22" i="68"/>
  <c r="F24" i="67"/>
  <c r="C24" i="67" s="1"/>
  <c r="F25" i="12"/>
  <c r="F24" i="15"/>
  <c r="C24" i="15" s="1"/>
  <c r="F22" i="69"/>
  <c r="F22" i="11"/>
  <c r="F41" i="15"/>
  <c r="E6" i="76"/>
  <c r="B6" i="76"/>
  <c r="F69" i="15" l="1"/>
  <c r="J29" i="15"/>
  <c r="AQ6" i="1"/>
  <c r="T6" i="1"/>
  <c r="T16" i="1" s="1"/>
  <c r="S16" i="1"/>
  <c r="AR6" i="1"/>
  <c r="C16" i="12"/>
  <c r="C21" i="12" s="1"/>
  <c r="C22" i="12" s="1"/>
  <c r="C30" i="12" s="1"/>
  <c r="C28" i="12" s="1"/>
  <c r="H22" i="6"/>
  <c r="R22" i="6" s="1"/>
  <c r="S22" i="6"/>
  <c r="H20" i="6"/>
  <c r="R20" i="6" s="1"/>
  <c r="H21" i="6"/>
  <c r="R21" i="6" s="1"/>
  <c r="H26" i="6"/>
  <c r="R26" i="6" s="1"/>
  <c r="D30" i="6"/>
  <c r="D16" i="6"/>
  <c r="D7" i="74"/>
  <c r="D8" i="74"/>
  <c r="K27" i="6"/>
  <c r="M19" i="6"/>
  <c r="H23" i="6"/>
  <c r="R23" i="6" s="1"/>
  <c r="H25" i="6"/>
  <c r="R25" i="6" s="1"/>
  <c r="H24" i="6"/>
  <c r="R24" i="6" s="1"/>
  <c r="C4" i="52"/>
  <c r="B45" i="72" s="1"/>
  <c r="A7" i="51"/>
  <c r="B7" i="72" s="1"/>
  <c r="A10" i="51"/>
  <c r="B9" i="72" s="1"/>
  <c r="D27" i="6"/>
  <c r="C19" i="68"/>
  <c r="C20" i="68" s="1"/>
  <c r="C28" i="68" s="1"/>
  <c r="C27" i="68" s="1"/>
  <c r="D37" i="68"/>
  <c r="C37" i="68" s="1"/>
  <c r="D37" i="69"/>
  <c r="C37" i="69" s="1"/>
  <c r="C33" i="69" s="1"/>
  <c r="C19" i="69"/>
  <c r="C20" i="69" s="1"/>
  <c r="C28" i="69" s="1"/>
  <c r="C27" i="69" s="1"/>
  <c r="E2" i="76"/>
  <c r="C35" i="11"/>
  <c r="C38" i="11"/>
  <c r="F50" i="69"/>
  <c r="F50" i="11"/>
  <c r="F50" i="68"/>
  <c r="C38" i="68"/>
  <c r="C35" i="68"/>
  <c r="B2" i="76"/>
  <c r="C23" i="15"/>
  <c r="C29" i="15" s="1"/>
  <c r="C33" i="15" s="1"/>
  <c r="I52" i="33"/>
  <c r="J52" i="33" s="1"/>
  <c r="G48" i="35"/>
  <c r="G46" i="36"/>
  <c r="G52" i="37"/>
  <c r="B3" i="43"/>
  <c r="I52" i="21"/>
  <c r="J52" i="21" s="1"/>
  <c r="E48" i="33"/>
  <c r="R49" i="33"/>
  <c r="AA7" i="21"/>
  <c r="R48" i="21" s="1"/>
  <c r="S7" i="21"/>
  <c r="G52" i="33"/>
  <c r="H52" i="33" s="1"/>
  <c r="G53" i="33"/>
  <c r="H53" i="33" s="1"/>
  <c r="M65" i="40"/>
  <c r="N63" i="40"/>
  <c r="U7" i="21"/>
  <c r="AB7" i="21"/>
  <c r="T48" i="21" s="1"/>
  <c r="G48" i="21" s="1"/>
  <c r="I59" i="34"/>
  <c r="K70" i="39"/>
  <c r="L68" i="39"/>
  <c r="C23" i="69"/>
  <c r="C44" i="69"/>
  <c r="D41" i="69" s="1"/>
  <c r="C26" i="69"/>
  <c r="D22" i="69" s="1"/>
  <c r="C42" i="69"/>
  <c r="C23" i="68"/>
  <c r="C44" i="68"/>
  <c r="D41" i="68" s="1"/>
  <c r="C26" i="68"/>
  <c r="D22" i="68" s="1"/>
  <c r="C60" i="15"/>
  <c r="C66" i="15"/>
  <c r="C26" i="12"/>
  <c r="D25" i="12" s="1"/>
  <c r="C66" i="67"/>
  <c r="C60" i="67"/>
  <c r="C44" i="11"/>
  <c r="D41" i="11" s="1"/>
  <c r="C25" i="11"/>
  <c r="C24" i="11"/>
  <c r="C23" i="11"/>
  <c r="C26" i="11"/>
  <c r="D22" i="11" s="1"/>
  <c r="C38" i="67"/>
  <c r="C38" i="15"/>
  <c r="C23" i="67"/>
  <c r="C29" i="67" s="1"/>
  <c r="C27" i="12" l="1"/>
  <c r="C25" i="12" s="1"/>
  <c r="C32" i="12" s="1"/>
  <c r="B2" i="12" s="1"/>
  <c r="B3" i="12" s="1"/>
  <c r="D31" i="6"/>
  <c r="I6" i="6" s="1"/>
  <c r="C24" i="68"/>
  <c r="C25" i="68"/>
  <c r="C24" i="69"/>
  <c r="C25" i="69"/>
  <c r="C33" i="11"/>
  <c r="C42" i="11" s="1"/>
  <c r="I19" i="6"/>
  <c r="M27" i="6"/>
  <c r="I5" i="6"/>
  <c r="C39" i="69"/>
  <c r="C43" i="69" s="1"/>
  <c r="C41" i="69" s="1"/>
  <c r="B3" i="76"/>
  <c r="C33" i="68"/>
  <c r="J19" i="15"/>
  <c r="Q49" i="15"/>
  <c r="C36" i="15"/>
  <c r="C57" i="15"/>
  <c r="C61" i="15" s="1"/>
  <c r="J59" i="15"/>
  <c r="J60" i="15" s="1"/>
  <c r="Q48" i="15" s="1"/>
  <c r="J14" i="15"/>
  <c r="J13" i="15" s="1"/>
  <c r="J23" i="15" s="1"/>
  <c r="C13" i="15"/>
  <c r="C75" i="15" s="1"/>
  <c r="L70" i="39"/>
  <c r="M68" i="39"/>
  <c r="G52" i="21"/>
  <c r="H52" i="21" s="1"/>
  <c r="G53" i="21"/>
  <c r="H53" i="21" s="1"/>
  <c r="N65" i="40"/>
  <c r="O63" i="40"/>
  <c r="O65" i="40" s="1"/>
  <c r="H7" i="40" s="1"/>
  <c r="C49" i="33"/>
  <c r="B2" i="33" s="1"/>
  <c r="B3" i="33" s="1"/>
  <c r="C48" i="33"/>
  <c r="H52" i="37"/>
  <c r="H46" i="36"/>
  <c r="H48" i="35"/>
  <c r="F7" i="40"/>
  <c r="J59" i="34"/>
  <c r="R49" i="21"/>
  <c r="E48" i="21"/>
  <c r="E53" i="33"/>
  <c r="F53" i="33" s="1"/>
  <c r="E52" i="33"/>
  <c r="F52" i="33" s="1"/>
  <c r="I53" i="33"/>
  <c r="J53" i="33" s="1"/>
  <c r="C57" i="67"/>
  <c r="C36" i="67"/>
  <c r="J14" i="67"/>
  <c r="Q49" i="67"/>
  <c r="J19" i="67"/>
  <c r="J17" i="67" s="1"/>
  <c r="C33" i="67"/>
  <c r="C31" i="67" s="1"/>
  <c r="C13" i="67"/>
  <c r="J59" i="67"/>
  <c r="J60" i="67" s="1"/>
  <c r="C22" i="11"/>
  <c r="C31" i="11" s="1"/>
  <c r="Q70" i="15" l="1"/>
  <c r="C22" i="69"/>
  <c r="C31" i="69" s="1"/>
  <c r="C22" i="68"/>
  <c r="C31" i="68" s="1"/>
  <c r="C64" i="15"/>
  <c r="C39" i="11"/>
  <c r="C43" i="11" s="1"/>
  <c r="C41" i="11" s="1"/>
  <c r="I27" i="6"/>
  <c r="S19" i="6"/>
  <c r="S27" i="6" s="1"/>
  <c r="H19" i="6"/>
  <c r="C46" i="69"/>
  <c r="C45" i="69" s="1"/>
  <c r="C49" i="69" s="1"/>
  <c r="C51" i="69" s="1"/>
  <c r="C56" i="15"/>
  <c r="C65" i="15" s="1"/>
  <c r="L46" i="15"/>
  <c r="C39" i="68"/>
  <c r="C42" i="68"/>
  <c r="J22" i="15"/>
  <c r="C37" i="15"/>
  <c r="AB7" i="40"/>
  <c r="T42" i="40" s="1"/>
  <c r="G42" i="40" s="1"/>
  <c r="U7" i="40"/>
  <c r="E52" i="21"/>
  <c r="F52" i="21" s="1"/>
  <c r="E53" i="21"/>
  <c r="F53" i="21" s="1"/>
  <c r="I53" i="21"/>
  <c r="J53" i="21" s="1"/>
  <c r="AA7" i="40"/>
  <c r="R42" i="40" s="1"/>
  <c r="S7" i="40"/>
  <c r="I48" i="35"/>
  <c r="J7" i="40"/>
  <c r="C49" i="21"/>
  <c r="B2" i="21" s="1"/>
  <c r="C48" i="21"/>
  <c r="K59" i="34"/>
  <c r="L59" i="34" s="1"/>
  <c r="M59" i="34" s="1"/>
  <c r="N59" i="34" s="1"/>
  <c r="O59" i="34" s="1"/>
  <c r="J7" i="34"/>
  <c r="I46" i="36"/>
  <c r="I52" i="37"/>
  <c r="J52" i="37" s="1"/>
  <c r="K52" i="37" s="1"/>
  <c r="L52" i="37" s="1"/>
  <c r="M52" i="37" s="1"/>
  <c r="N52" i="37" s="1"/>
  <c r="O52" i="37" s="1"/>
  <c r="J7" i="37" s="1"/>
  <c r="F7" i="37"/>
  <c r="H7" i="37"/>
  <c r="M70" i="39"/>
  <c r="N68" i="39"/>
  <c r="Q48" i="67"/>
  <c r="L46" i="67"/>
  <c r="C37" i="67"/>
  <c r="C30" i="67" s="1"/>
  <c r="C39" i="67" s="1"/>
  <c r="C75" i="67"/>
  <c r="Q70" i="67"/>
  <c r="C56" i="67"/>
  <c r="C65" i="67" s="1"/>
  <c r="J22" i="67"/>
  <c r="J13" i="67"/>
  <c r="J23" i="67" s="1"/>
  <c r="C61" i="67"/>
  <c r="C59" i="67" s="1"/>
  <c r="C64" i="67"/>
  <c r="C19" i="9"/>
  <c r="C102" i="9" l="1"/>
  <c r="C21" i="9"/>
  <c r="B3" i="21"/>
  <c r="C52" i="69"/>
  <c r="B2" i="69" s="1"/>
  <c r="B3" i="69" s="1"/>
  <c r="C46" i="11"/>
  <c r="C45" i="11" s="1"/>
  <c r="C49" i="11" s="1"/>
  <c r="C51" i="11" s="1"/>
  <c r="C52" i="11" s="1"/>
  <c r="B2" i="11" s="1"/>
  <c r="B3" i="11" s="1"/>
  <c r="R19" i="6"/>
  <c r="H27" i="6"/>
  <c r="C46" i="68"/>
  <c r="C45" i="68" s="1"/>
  <c r="C43" i="68"/>
  <c r="C41" i="68" s="1"/>
  <c r="W7" i="37"/>
  <c r="AC7" i="37"/>
  <c r="V42" i="37" s="1"/>
  <c r="I42" i="37" s="1"/>
  <c r="AC7" i="34"/>
  <c r="V49" i="34" s="1"/>
  <c r="I49" i="34" s="1"/>
  <c r="W7" i="34"/>
  <c r="AC7" i="40"/>
  <c r="V42" i="40" s="1"/>
  <c r="I42" i="40" s="1"/>
  <c r="W7" i="40"/>
  <c r="J48" i="35"/>
  <c r="K48" i="35" s="1"/>
  <c r="L48" i="35" s="1"/>
  <c r="M48" i="35" s="1"/>
  <c r="N48" i="35" s="1"/>
  <c r="O48" i="35" s="1"/>
  <c r="J7" i="35" s="1"/>
  <c r="H7" i="35"/>
  <c r="F7" i="35"/>
  <c r="R43" i="40"/>
  <c r="E42" i="40"/>
  <c r="J7" i="39"/>
  <c r="S7" i="37"/>
  <c r="AA7" i="37"/>
  <c r="R42" i="37" s="1"/>
  <c r="J16" i="67"/>
  <c r="J25" i="67" s="1"/>
  <c r="O68" i="39"/>
  <c r="O70" i="39" s="1"/>
  <c r="N70" i="39"/>
  <c r="H7" i="39" s="1"/>
  <c r="U7" i="37"/>
  <c r="AB7" i="37"/>
  <c r="T42" i="37" s="1"/>
  <c r="G42" i="37" s="1"/>
  <c r="J46" i="36"/>
  <c r="H7" i="34"/>
  <c r="F7" i="34"/>
  <c r="G47" i="40"/>
  <c r="H47" i="40" s="1"/>
  <c r="G46" i="40"/>
  <c r="H46" i="40" s="1"/>
  <c r="Q69" i="67"/>
  <c r="Q68" i="67" s="1"/>
  <c r="C40" i="67"/>
  <c r="C58" i="67"/>
  <c r="C67" i="67" s="1"/>
  <c r="C68" i="67" s="1"/>
  <c r="C80" i="67"/>
  <c r="C79" i="67" s="1"/>
  <c r="L51" i="67"/>
  <c r="C20" i="9"/>
  <c r="C103" i="9" l="1"/>
  <c r="C56" i="11"/>
  <c r="C57" i="11" s="1"/>
  <c r="C57" i="69"/>
  <c r="C56" i="69" s="1"/>
  <c r="C49" i="68"/>
  <c r="C51" i="68" s="1"/>
  <c r="C52" i="68" s="1"/>
  <c r="B2" i="68" s="1"/>
  <c r="B3" i="68" s="1"/>
  <c r="R27" i="6"/>
  <c r="R6" i="1"/>
  <c r="U7" i="39"/>
  <c r="AB7" i="39"/>
  <c r="T47" i="39" s="1"/>
  <c r="G47" i="39" s="1"/>
  <c r="W7" i="39"/>
  <c r="AC7" i="39"/>
  <c r="V47" i="39" s="1"/>
  <c r="I47" i="39" s="1"/>
  <c r="C43" i="40"/>
  <c r="C42" i="40"/>
  <c r="AB7" i="35"/>
  <c r="T38" i="35" s="1"/>
  <c r="G38" i="35" s="1"/>
  <c r="U7" i="35"/>
  <c r="I46" i="37"/>
  <c r="J46" i="37" s="1"/>
  <c r="AA7" i="34"/>
  <c r="R49" i="34" s="1"/>
  <c r="S7" i="34"/>
  <c r="G46" i="37"/>
  <c r="H46" i="37" s="1"/>
  <c r="G47" i="37"/>
  <c r="H47" i="37" s="1"/>
  <c r="AB7" i="34"/>
  <c r="T49" i="34" s="1"/>
  <c r="G49" i="34" s="1"/>
  <c r="U7" i="34"/>
  <c r="K46" i="36"/>
  <c r="F7" i="39"/>
  <c r="E42" i="37"/>
  <c r="R43" i="37"/>
  <c r="E47" i="40"/>
  <c r="F47" i="40" s="1"/>
  <c r="E46" i="40"/>
  <c r="F46" i="40" s="1"/>
  <c r="AA7" i="35"/>
  <c r="R38" i="35" s="1"/>
  <c r="S7" i="35"/>
  <c r="AC7" i="35"/>
  <c r="V38" i="35" s="1"/>
  <c r="I38" i="35" s="1"/>
  <c r="W7" i="35"/>
  <c r="I47" i="40"/>
  <c r="J47" i="40" s="1"/>
  <c r="I46" i="40"/>
  <c r="J46" i="40" s="1"/>
  <c r="I53" i="34"/>
  <c r="J53" i="34" s="1"/>
  <c r="Q67" i="67"/>
  <c r="L57" i="67"/>
  <c r="L60" i="67" s="1"/>
  <c r="C45" i="67"/>
  <c r="C46" i="67" s="1"/>
  <c r="C71" i="67"/>
  <c r="Q56" i="67"/>
  <c r="C43" i="67"/>
  <c r="Q47" i="67"/>
  <c r="Q53" i="67" s="1"/>
  <c r="Q65" i="67"/>
  <c r="D2" i="67"/>
  <c r="C83" i="67"/>
  <c r="C82" i="67" s="1"/>
  <c r="F35" i="15"/>
  <c r="M21" i="15"/>
  <c r="J20" i="15" l="1"/>
  <c r="J17" i="15" s="1"/>
  <c r="J16" i="15" s="1"/>
  <c r="J25" i="15" s="1"/>
  <c r="C34" i="15"/>
  <c r="C31" i="15" s="1"/>
  <c r="C30" i="15" s="1"/>
  <c r="C39" i="15" s="1"/>
  <c r="F63" i="15"/>
  <c r="C62" i="15" s="1"/>
  <c r="C59" i="15" s="1"/>
  <c r="C58" i="15" s="1"/>
  <c r="C67" i="15" s="1"/>
  <c r="C68" i="15" s="1"/>
  <c r="R16" i="1"/>
  <c r="C57" i="68"/>
  <c r="C56" i="68" s="1"/>
  <c r="C42" i="37"/>
  <c r="C43" i="37"/>
  <c r="B2" i="37" s="1"/>
  <c r="B3" i="37" s="1"/>
  <c r="I42" i="35"/>
  <c r="J42" i="35" s="1"/>
  <c r="R39" i="35"/>
  <c r="E38" i="35"/>
  <c r="E47" i="37"/>
  <c r="F47" i="37" s="1"/>
  <c r="E46" i="37"/>
  <c r="F46" i="37" s="1"/>
  <c r="I47" i="37"/>
  <c r="J47" i="37" s="1"/>
  <c r="I51" i="39"/>
  <c r="J51" i="39" s="1"/>
  <c r="G51" i="39"/>
  <c r="H51" i="39" s="1"/>
  <c r="G52" i="39"/>
  <c r="H52" i="39" s="1"/>
  <c r="AA7" i="39"/>
  <c r="R47" i="39" s="1"/>
  <c r="S7" i="39"/>
  <c r="L46" i="36"/>
  <c r="M46" i="36" s="1"/>
  <c r="N46" i="36" s="1"/>
  <c r="O46" i="36" s="1"/>
  <c r="F7" i="36" s="1"/>
  <c r="G53" i="34"/>
  <c r="H53" i="34" s="1"/>
  <c r="G54" i="34"/>
  <c r="H54" i="34" s="1"/>
  <c r="E49" i="34"/>
  <c r="R50" i="34"/>
  <c r="G42" i="35"/>
  <c r="H42" i="35" s="1"/>
  <c r="G43" i="35"/>
  <c r="H43" i="35"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Q66" i="67"/>
  <c r="Q75" i="67" s="1"/>
  <c r="Q57" i="67"/>
  <c r="Q62" i="67" s="1"/>
  <c r="B3" i="67"/>
  <c r="B2" i="67"/>
  <c r="L51" i="15"/>
  <c r="D15" i="74" l="1"/>
  <c r="Q67" i="15"/>
  <c r="L57" i="15"/>
  <c r="L60" i="15" s="1"/>
  <c r="C71" i="15"/>
  <c r="C40" i="15"/>
  <c r="Q69" i="15"/>
  <c r="Q68" i="15" s="1"/>
  <c r="C80" i="15"/>
  <c r="C79" i="15" s="1"/>
  <c r="C49" i="34"/>
  <c r="C50" i="34"/>
  <c r="B2" i="34" s="1"/>
  <c r="B3" i="34" s="1"/>
  <c r="J7" i="36"/>
  <c r="C39" i="35"/>
  <c r="B2" i="35" s="1"/>
  <c r="B3" i="35" s="1"/>
  <c r="C38" i="35"/>
  <c r="E54" i="34"/>
  <c r="F54" i="34" s="1"/>
  <c r="E53" i="34"/>
  <c r="F53" i="34" s="1"/>
  <c r="I54" i="34"/>
  <c r="J54" i="34" s="1"/>
  <c r="AA7" i="36"/>
  <c r="R36" i="36" s="1"/>
  <c r="S7" i="36"/>
  <c r="E47" i="39"/>
  <c r="R48" i="39"/>
  <c r="E43" i="35"/>
  <c r="F43" i="35" s="1"/>
  <c r="E42" i="35"/>
  <c r="F42" i="35" s="1"/>
  <c r="I43" i="35"/>
  <c r="J43" i="35" s="1"/>
  <c r="H7" i="36"/>
  <c r="F15" i="74" l="1"/>
  <c r="E15" i="74"/>
  <c r="Q65" i="15"/>
  <c r="Q56" i="15"/>
  <c r="C83" i="15"/>
  <c r="C82" i="15" s="1"/>
  <c r="B2" i="15"/>
  <c r="Q47" i="15"/>
  <c r="Q53" i="15" s="1"/>
  <c r="C43" i="15"/>
  <c r="C46" i="15"/>
  <c r="Q66" i="15"/>
  <c r="Q57" i="15"/>
  <c r="E52" i="39"/>
  <c r="F52" i="39" s="1"/>
  <c r="E51" i="39"/>
  <c r="F51" i="39" s="1"/>
  <c r="I52" i="39"/>
  <c r="J52" i="39" s="1"/>
  <c r="E36" i="36"/>
  <c r="R37" i="36"/>
  <c r="U7" i="36"/>
  <c r="AB7" i="36"/>
  <c r="T36" i="36" s="1"/>
  <c r="G36" i="36" s="1"/>
  <c r="C47" i="39"/>
  <c r="C48" i="39"/>
  <c r="W7" i="36"/>
  <c r="AC7" i="36"/>
  <c r="V36" i="36" s="1"/>
  <c r="I36" i="36" s="1"/>
  <c r="D19" i="9"/>
  <c r="AO6" i="1"/>
  <c r="Q62" i="15" l="1"/>
  <c r="D102" i="9"/>
  <c r="D22" i="9"/>
  <c r="D21" i="9"/>
  <c r="G19" i="9"/>
  <c r="B6" i="70"/>
  <c r="B2" i="70" s="1"/>
  <c r="B3" i="70" s="1"/>
  <c r="Q75" i="15"/>
  <c r="B3" i="15"/>
  <c r="G40" i="36"/>
  <c r="H40" i="36" s="1"/>
  <c r="G41" i="36"/>
  <c r="H41" i="36" s="1"/>
  <c r="C36" i="36"/>
  <c r="C37" i="36"/>
  <c r="B2" i="36" s="1"/>
  <c r="B3" i="36" s="1"/>
  <c r="E40" i="36"/>
  <c r="F40" i="36" s="1"/>
  <c r="E41" i="36"/>
  <c r="F41" i="36" s="1"/>
  <c r="I40" i="36"/>
  <c r="J40" i="36" s="1"/>
  <c r="I41" i="36"/>
  <c r="J41" i="36"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D20" i="9"/>
  <c r="G20" i="9" l="1"/>
  <c r="D103" i="9"/>
  <c r="G21" i="9"/>
  <c r="C32" i="9"/>
  <c r="G15" i="74" l="1"/>
  <c r="H118" i="9"/>
  <c r="C35" i="9"/>
  <c r="F118" i="9" s="1"/>
  <c r="C34" i="9" l="1"/>
  <c r="D118" i="9" s="1"/>
  <c r="D4" i="52" s="1"/>
  <c r="B47" i="72" s="1"/>
  <c r="H101" i="9"/>
  <c r="I118" i="9"/>
  <c r="H4" i="52"/>
  <c r="H119" i="9"/>
  <c r="H5" i="52" s="1"/>
  <c r="C104" i="9"/>
  <c r="D14" i="74"/>
  <c r="F4" i="52"/>
  <c r="B51" i="72" s="1"/>
  <c r="F119" i="9"/>
  <c r="F5" i="52" s="1"/>
  <c r="B53" i="72" s="1"/>
  <c r="G118" i="9"/>
  <c r="G4" i="52" s="1"/>
  <c r="B52" i="72" s="1"/>
  <c r="D119" i="9" l="1"/>
  <c r="D5" i="52" s="1"/>
  <c r="B49" i="72" s="1"/>
  <c r="F14" i="74"/>
  <c r="E14" i="74"/>
  <c r="B5" i="74"/>
  <c r="H102" i="9"/>
  <c r="D7" i="53" s="1"/>
  <c r="B21" i="72" s="1"/>
  <c r="C105" i="9"/>
  <c r="E118" i="9"/>
  <c r="E4" i="52" s="1"/>
  <c r="B48" i="72" s="1"/>
  <c r="I4" i="52"/>
  <c r="H107" i="9"/>
  <c r="D5" i="53"/>
  <c r="D45" i="9"/>
  <c r="M48" i="9"/>
  <c r="D6" i="53" l="1"/>
  <c r="B22" i="72" s="1"/>
  <c r="B20" i="72"/>
  <c r="C5" i="74"/>
  <c r="D5" i="74"/>
  <c r="C64" i="9"/>
  <c r="C63" i="9" s="1"/>
  <c r="C67" i="9" s="1"/>
  <c r="C68" i="9" s="1"/>
  <c r="D54" i="9" s="1"/>
  <c r="C93" i="9"/>
  <c r="C86" i="9" s="1"/>
  <c r="D55" i="9"/>
  <c r="M53" i="9" s="1"/>
  <c r="C72" i="9"/>
  <c r="C85" i="9"/>
  <c r="D53" i="9"/>
  <c r="C78" i="9"/>
  <c r="C73" i="9" s="1"/>
  <c r="D52" i="9"/>
  <c r="M49" i="9"/>
  <c r="D13" i="53"/>
  <c r="H108" i="9"/>
  <c r="D15" i="53" s="1"/>
  <c r="B31" i="72" s="1"/>
  <c r="D122" i="9"/>
  <c r="C95" i="9" l="1"/>
  <c r="C96" i="9" s="1"/>
  <c r="E96" i="9" s="1"/>
  <c r="E97" i="9" s="1"/>
  <c r="L68" i="9"/>
  <c r="M68" i="9" s="1"/>
  <c r="L66" i="9"/>
  <c r="M66" i="9" s="1"/>
  <c r="L65" i="9"/>
  <c r="M65" i="9" s="1"/>
  <c r="L67" i="9"/>
  <c r="M67" i="9" s="1"/>
  <c r="L63" i="9"/>
  <c r="M63" i="9" s="1"/>
  <c r="L64" i="9"/>
  <c r="M64" i="9" s="1"/>
  <c r="D123" i="9"/>
  <c r="D9" i="52" s="1"/>
  <c r="G14" i="74"/>
  <c r="B6" i="74" s="1"/>
  <c r="D8" i="52"/>
  <c r="B30" i="72"/>
  <c r="D14" i="53"/>
  <c r="B32" i="72" s="1"/>
  <c r="C79" i="9"/>
  <c r="C97" i="9" l="1"/>
  <c r="D58" i="9" s="1"/>
  <c r="D56" i="9" s="1"/>
  <c r="M54" i="9" s="1"/>
  <c r="N57" i="9" s="1"/>
  <c r="N59" i="9" s="1"/>
  <c r="N60" i="9" s="1"/>
  <c r="M69" i="9"/>
  <c r="N69" i="9" s="1"/>
  <c r="C80" i="9"/>
  <c r="E80" i="9" s="1"/>
  <c r="E81" i="9" s="1"/>
  <c r="C6" i="74"/>
  <c r="D6" i="74"/>
  <c r="P57" i="9" l="1"/>
  <c r="N61"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<sst xmlns="http://schemas.openxmlformats.org/spreadsheetml/2006/main" count="7322" uniqueCount="3103">
  <si>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</si>
  <si>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</si>
  <si>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</si>
  <si>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</si>
  <si>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</si>
  <si>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</si>
  <si>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</si>
  <si>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</si>
  <si>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</si>
  <si>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</si>
  <si>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</si>
  <si>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</si>
  <si>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</si>
  <si>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</si>
  <si>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</si>
  <si>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</si>
  <si>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</si>
  <si>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</si>
  <si>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</si>
  <si>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</si>
  <si>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</si>
  <si>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</si>
  <si>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</si>
  <si>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</si>
  <si>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</si>
  <si>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</si>
  <si>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</si>
  <si>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</si>
  <si>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</si>
  <si>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</si>
  <si>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</si>
  <si>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</si>
  <si>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</si>
  <si>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</si>
  <si>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</si>
  <si>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</si>
  <si>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</si>
  <si>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</si>
  <si>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</si>
  <si>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</si>
  <si>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</si>
  <si>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</si>
  <si>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</si>
  <si>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</si>
  <si>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</si>
  <si>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</si>
  <si>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</si>
  <si>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</si>
  <si>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</si>
  <si>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</si>
  <si>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</si>
  <si>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</si>
  <si>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</si>
  <si>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</si>
  <si>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</si>
  <si>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</si>
  <si>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</si>
  <si>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</si>
  <si>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</si>
  <si>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</si>
  <si>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</si>
  <si>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</si>
  <si>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</si>
  <si>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</si>
  <si>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</si>
  <si>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</si>
  <si>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</si>
  <si>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</si>
  <si>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</si>
  <si>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</si>
  <si>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</si>
  <si>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</si>
  <si>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</si>
  <si>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</si>
  <si>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</si>
  <si>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</si>
  <si>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</si>
  <si>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</si>
  <si>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</si>
  <si>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</si>
  <si>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</si>
  <si>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</si>
  <si>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</si>
  <si>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</si>
  <si>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</si>
  <si>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</si>
  <si>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</si>
  <si>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</si>
  <si>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</si>
  <si>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</si>
  <si>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</si>
  <si>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</si>
  <si>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</si>
  <si>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</si>
  <si>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</si>
  <si>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</si>
  <si>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</si>
  <si>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</si>
  <si>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</si>
  <si>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</si>
  <si>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</si>
  <si>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</si>
  <si>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</si>
  <si>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</si>
  <si>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</si>
  <si>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</si>
  <si>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</si>
  <si>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</si>
  <si>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</si>
  <si>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</si>
  <si>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</si>
  <si>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</si>
  <si>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</si>
  <si>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</si>
  <si>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</si>
  <si>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</si>
  <si>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</si>
  <si>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</si>
  <si>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</si>
  <si>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</si>
  <si>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</si>
  <si>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</si>
  <si>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</si>
  <si>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</si>
  <si>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</si>
  <si>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</si>
  <si>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</si>
  <si>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</si>
  <si>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</si>
  <si>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</si>
  <si>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</si>
  <si>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</si>
  <si>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</si>
  <si>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</si>
  <si>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</si>
  <si>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</si>
  <si>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</si>
  <si>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</si>
  <si>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</si>
  <si>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</si>
  <si>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</si>
  <si>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</si>
  <si>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</si>
  <si>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</si>
  <si>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</si>
  <si>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</si>
  <si>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</si>
  <si>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</si>
  <si>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</si>
  <si>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</si>
  <si>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</si>
  <si>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</si>
  <si>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</si>
  <si>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</si>
  <si>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</si>
  <si>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</si>
  <si>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</si>
  <si>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</si>
  <si>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</si>
  <si>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</si>
  <si>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</si>
  <si>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</si>
  <si>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</si>
  <si>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</si>
  <si>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</si>
  <si>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</si>
  <si>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</si>
  <si>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</si>
  <si>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</si>
  <si>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</si>
  <si>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</si>
  <si>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</si>
  <si>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</si>
  <si>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</si>
  <si>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</si>
  <si>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</si>
  <si>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</si>
  <si>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</si>
  <si>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</si>
  <si>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</si>
  <si>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</si>
  <si>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</si>
  <si>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</si>
  <si>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</si>
  <si>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</si>
  <si>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</si>
  <si>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</si>
  <si>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</si>
  <si>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</si>
  <si>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</si>
  <si>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</si>
  <si>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</si>
  <si>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</si>
  <si>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</si>
  <si>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</si>
  <si>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</si>
  <si>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</si>
  <si>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</si>
  <si>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</si>
  <si>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</si>
  <si>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</si>
  <si>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</si>
  <si>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</si>
  <si>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</si>
  <si>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</si>
  <si>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</si>
  <si>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</si>
  <si>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</si>
  <si>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</si>
  <si>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</si>
  <si>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</si>
  <si>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</si>
  <si>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</si>
  <si>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</si>
  <si>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</si>
  <si>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</si>
  <si>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</si>
  <si>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</si>
  <si>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</si>
  <si>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</si>
  <si>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</si>
  <si>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</si>
  <si>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</si>
  <si>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</si>
  <si>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</si>
  <si>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</si>
  <si>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</si>
  <si>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</si>
  <si>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</si>
  <si>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</si>
  <si>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</si>
  <si>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</si>
  <si>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</si>
  <si>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</si>
  <si>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</si>
  <si>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</si>
  <si>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</si>
  <si>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</si>
  <si>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</si>
  <si>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</si>
  <si>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</si>
  <si>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</si>
  <si>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</si>
  <si>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</si>
  <si>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</si>
  <si>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</si>
  <si>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</si>
  <si>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</si>
  <si>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</si>
  <si>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</si>
  <si>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</si>
  <si>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</si>
  <si>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</si>
  <si>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</si>
  <si>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</si>
  <si>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</si>
  <si>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</si>
  <si>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</si>
  <si>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</si>
  <si>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</si>
  <si>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</si>
  <si>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</si>
  <si>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</si>
  <si>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</si>
  <si>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</si>
  <si>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</si>
  <si>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</si>
  <si>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</si>
  <si>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</si>
  <si>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</si>
  <si>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</si>
  <si>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</si>
  <si>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</si>
  <si>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</si>
  <si>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</si>
  <si>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</si>
  <si>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</si>
  <si>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</si>
  <si>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</si>
  <si>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</si>
  <si>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</si>
  <si>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</si>
  <si>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</si>
  <si>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</si>
  <si>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</si>
  <si>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</si>
  <si>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</si>
  <si>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</si>
  <si>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</si>
  <si>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</si>
  <si>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</si>
  <si>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</si>
  <si>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</si>
  <si>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</si>
  <si>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</si>
  <si>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</si>
  <si>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</si>
  <si>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</si>
  <si>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</si>
  <si>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</si>
  <si>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</si>
  <si>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</si>
  <si>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</si>
  <si>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</si>
  <si>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</si>
  <si>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</si>
  <si>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</si>
  <si>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</si>
  <si>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</si>
  <si>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</si>
  <si>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</si>
  <si>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</si>
  <si>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</si>
  <si>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</si>
  <si>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</si>
  <si>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</si>
  <si>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</si>
  <si>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</si>
  <si>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</si>
  <si>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</si>
  <si>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</si>
  <si>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</si>
  <si>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</si>
  <si>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</si>
  <si>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</si>
  <si>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</si>
  <si>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</si>
  <si>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</si>
  <si>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</si>
  <si>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</si>
  <si>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</si>
  <si>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</si>
  <si>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</si>
  <si>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</si>
  <si>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</si>
  <si>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</si>
  <si>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</si>
  <si>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</si>
  <si>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</si>
  <si>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</si>
  <si>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</si>
  <si>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</si>
  <si>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</si>
  <si>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</si>
  <si>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</si>
  <si>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</si>
  <si>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</si>
  <si>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</si>
  <si>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</si>
  <si>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</si>
  <si>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</si>
  <si>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</si>
  <si>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</si>
  <si>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</si>
  <si>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</si>
  <si>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</si>
  <si>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</si>
  <si>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</si>
  <si>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</si>
  <si>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</si>
  <si>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</si>
  <si>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</si>
  <si>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</si>
  <si>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</si>
  <si>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</si>
  <si>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</si>
  <si>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</si>
  <si>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</si>
  <si>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</si>
  <si>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</si>
  <si>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</si>
  <si>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</si>
  <si>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</si>
  <si>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</si>
  <si>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</si>
  <si>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</si>
  <si>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</si>
  <si>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</si>
  <si>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</si>
  <si>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</si>
  <si>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</si>
  <si>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</si>
  <si>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</si>
  <si>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</si>
  <si>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</si>
  <si>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</si>
  <si>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</si>
  <si>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</si>
  <si>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</si>
  <si>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</si>
  <si>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</si>
  <si>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</si>
  <si>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</si>
  <si>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</si>
  <si>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</si>
  <si>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</si>
  <si>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</si>
  <si>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</si>
  <si>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</si>
  <si>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</si>
  <si>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</si>
  <si>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</si>
  <si>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</si>
  <si>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</si>
  <si>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</si>
  <si>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</si>
  <si>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</si>
  <si>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</si>
  <si>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</si>
  <si>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</si>
  <si>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</si>
  <si>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</si>
  <si>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</si>
  <si>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</si>
  <si>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</si>
  <si>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</si>
  <si>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</si>
  <si>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</si>
  <si>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</si>
  <si>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</si>
  <si>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</si>
  <si>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</si>
  <si>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</si>
  <si>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</si>
  <si>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</si>
  <si>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</si>
  <si>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</si>
  <si>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</si>
  <si>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</si>
  <si>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</si>
  <si>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</si>
  <si>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</si>
  <si>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</si>
  <si>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</si>
  <si>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</si>
  <si>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</si>
  <si>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</si>
  <si>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</si>
  <si>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</si>
  <si>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</si>
  <si>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</si>
  <si>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</si>
  <si>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</si>
  <si>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</si>
  <si>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</si>
  <si>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</si>
  <si>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</si>
  <si>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</si>
  <si>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</si>
  <si>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</si>
  <si>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</si>
  <si>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</si>
  <si>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</si>
  <si>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</si>
  <si>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</si>
  <si>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</si>
  <si>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</si>
  <si>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</si>
  <si>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</si>
  <si>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</si>
  <si>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</si>
  <si>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</si>
  <si>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</si>
  <si>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</si>
  <si>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</si>
  <si>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</si>
  <si>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</si>
  <si>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</si>
  <si>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</si>
  <si>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</si>
  <si>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</si>
  <si>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</si>
  <si>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</si>
  <si>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</si>
  <si>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</si>
  <si>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</si>
  <si>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</si>
  <si>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</si>
  <si>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</si>
  <si>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</si>
  <si>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</si>
  <si>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</si>
  <si>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</si>
  <si>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</si>
  <si>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</si>
  <si>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</si>
  <si>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</si>
  <si>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</si>
  <si>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</si>
  <si>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</si>
  <si>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</si>
  <si>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</si>
  <si>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</si>
  <si>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</si>
  <si>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</si>
  <si>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</si>
  <si>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</si>
  <si>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</si>
  <si>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</si>
  <si>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</si>
  <si>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</si>
  <si>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</si>
  <si>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</si>
  <si>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</si>
  <si>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</si>
  <si>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</si>
  <si>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</si>
  <si>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</si>
  <si>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</si>
  <si>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</si>
  <si>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</si>
  <si>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</si>
  <si>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</si>
  <si>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</si>
  <si>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</si>
  <si>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</si>
  <si>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</si>
  <si>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</si>
  <si>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</si>
  <si>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</si>
  <si>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</si>
  <si>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</si>
  <si>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</si>
  <si>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</si>
  <si>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</si>
  <si>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</si>
  <si>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</si>
  <si>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</si>
  <si>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</si>
  <si>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</si>
  <si>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</si>
  <si>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</si>
  <si>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</si>
  <si>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</si>
  <si>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</si>
  <si>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</si>
  <si>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</si>
  <si>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</si>
  <si>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</si>
  <si>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</si>
  <si>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</si>
  <si>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</si>
  <si>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</si>
  <si>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</si>
  <si>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</si>
  <si>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</si>
  <si>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</si>
  <si>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</si>
  <si>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</si>
  <si>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</si>
  <si>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</si>
  <si>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</si>
  <si>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</si>
  <si>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</si>
  <si>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</si>
  <si>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</si>
  <si>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</si>
  <si>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</si>
  <si>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</si>
  <si>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</si>
  <si>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</si>
  <si>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</si>
  <si>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</si>
  <si>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</si>
  <si>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</si>
  <si>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</si>
  <si>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</si>
  <si>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</si>
  <si>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</si>
  <si>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</si>
  <si>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</si>
  <si>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</si>
  <si>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</si>
  <si>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</si>
  <si>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</si>
  <si>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</si>
  <si>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</si>
  <si>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</si>
  <si>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</si>
  <si>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</si>
  <si>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</si>
  <si>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</si>
  <si>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</si>
  <si>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</si>
  <si>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</si>
  <si>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</si>
  <si>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</si>
  <si>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</si>
  <si>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</si>
  <si>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</si>
  <si>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</si>
  <si>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</si>
  <si>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</si>
  <si>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</si>
  <si>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</si>
  <si>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</si>
  <si>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</si>
  <si>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</si>
  <si>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</si>
  <si>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</si>
  <si>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</si>
  <si>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</si>
  <si>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</si>
  <si>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</si>
  <si>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</si>
  <si>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</si>
  <si>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</si>
  <si>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</si>
  <si>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</si>
  <si>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</si>
  <si>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</si>
  <si>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</si>
  <si>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</si>
  <si>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</si>
  <si>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</si>
  <si>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</si>
  <si>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</si>
  <si>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</si>
  <si>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</si>
  <si>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</si>
  <si>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</si>
  <si>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</si>
  <si>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</si>
  <si>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</si>
  <si>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</si>
  <si>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</si>
  <si>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</si>
  <si>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</si>
  <si>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</si>
  <si>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</si>
  <si>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</si>
  <si>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</si>
  <si>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</si>
  <si>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</si>
  <si>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</si>
  <si>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</si>
  <si>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</si>
  <si>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</si>
  <si>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</si>
  <si>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</si>
  <si>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</si>
  <si>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</si>
  <si>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</si>
  <si>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</si>
  <si>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</si>
  <si>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</si>
  <si>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</si>
  <si>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</si>
  <si>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</si>
  <si>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</si>
  <si>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</si>
  <si>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</si>
  <si>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</si>
  <si>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</si>
  <si>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</si>
  <si>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</si>
  <si>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</si>
  <si>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</si>
  <si>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</si>
  <si>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</si>
  <si>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</si>
  <si>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</si>
  <si>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</si>
  <si>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</si>
  <si>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</si>
  <si>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</si>
  <si>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</si>
  <si>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</si>
  <si>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</si>
  <si>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</si>
  <si>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</si>
  <si>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</si>
  <si>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</si>
  <si>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</si>
  <si>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</si>
  <si>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</si>
  <si>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</si>
  <si>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</si>
  <si>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</si>
  <si>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</si>
  <si>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</si>
  <si>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</si>
  <si>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</si>
  <si>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</si>
  <si>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</si>
  <si>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</si>
  <si>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</si>
  <si>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</si>
  <si>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</si>
  <si>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</si>
  <si>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</si>
  <si>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</si>
  <si>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</si>
  <si>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</si>
  <si>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</si>
  <si>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</si>
  <si>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</si>
  <si>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</si>
  <si>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</si>
  <si>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</si>
  <si>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</si>
  <si>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</si>
  <si>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</si>
  <si>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</si>
  <si>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</si>
  <si>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</si>
  <si>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</si>
  <si>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</si>
  <si>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</si>
  <si>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</si>
  <si>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</si>
  <si>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</si>
  <si>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</si>
  <si>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</si>
  <si>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</si>
  <si>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</si>
  <si>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</si>
  <si>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</si>
  <si>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</si>
  <si>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</si>
  <si>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</si>
  <si>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</si>
  <si>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</si>
  <si>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</si>
  <si>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</si>
  <si>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</si>
  <si>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</si>
  <si>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</si>
  <si>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</si>
  <si>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</si>
  <si>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</si>
  <si>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</si>
  <si>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</si>
  <si>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</si>
  <si>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</si>
  <si>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</si>
  <si>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</si>
  <si>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</si>
  <si>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</si>
  <si>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</si>
  <si>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</si>
  <si>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</si>
  <si>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</si>
  <si>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</si>
  <si>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</si>
  <si>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</si>
  <si>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</si>
  <si>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</si>
  <si>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</si>
  <si>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</si>
  <si>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</si>
  <si>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</si>
  <si>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</si>
  <si>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</si>
  <si>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</si>
  <si>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</si>
  <si>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</si>
  <si>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</si>
  <si>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</si>
  <si>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</si>
  <si>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</si>
  <si>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</si>
  <si>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</si>
  <si>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</si>
  <si>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</si>
  <si>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</si>
  <si>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</si>
  <si>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</si>
  <si>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</si>
  <si>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</si>
  <si>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</si>
  <si>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</si>
  <si>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</si>
  <si>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</si>
  <si>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</si>
  <si>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</si>
  <si>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</si>
  <si>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</si>
  <si>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</si>
  <si>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</si>
  <si>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</si>
  <si>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</si>
  <si>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</si>
  <si>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</si>
  <si>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</si>
  <si>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</si>
  <si>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</si>
  <si>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</si>
  <si>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</si>
  <si>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</si>
  <si>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</si>
  <si>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</si>
  <si>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</si>
  <si>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</si>
  <si>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</si>
  <si>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</si>
  <si>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</si>
  <si>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</si>
  <si>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</si>
  <si>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</si>
  <si>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</si>
  <si>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</si>
  <si>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</si>
  <si>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</si>
  <si>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</si>
  <si>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</si>
  <si>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</si>
  <si>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</si>
  <si>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</si>
  <si>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</si>
  <si>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</si>
  <si>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</si>
  <si>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</si>
  <si>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</si>
  <si>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</si>
  <si>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</si>
  <si>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</si>
  <si>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</si>
  <si>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</si>
  <si>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</si>
  <si>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</si>
  <si>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</si>
  <si>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</si>
  <si>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</si>
  <si>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</si>
  <si>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</si>
  <si>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</si>
  <si>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</si>
  <si>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</si>
  <si>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</si>
  <si>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</si>
  <si>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</si>
  <si>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</si>
  <si>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</si>
  <si>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</si>
  <si>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</si>
  <si>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</si>
  <si>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</si>
  <si>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</si>
  <si>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</si>
  <si>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</si>
  <si>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</si>
  <si>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</si>
  <si>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</si>
  <si>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</si>
  <si>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</si>
  <si>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</si>
  <si>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</si>
  <si>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</si>
  <si>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</si>
  <si>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</si>
  <si>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</si>
  <si>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</si>
  <si>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</si>
  <si>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</si>
  <si>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</si>
  <si>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</si>
  <si>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</si>
  <si>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</si>
  <si>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</si>
  <si>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</si>
  <si>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</si>
  <si>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</si>
  <si>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</si>
  <si>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</si>
  <si>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</si>
  <si>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</si>
  <si>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</si>
  <si>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</si>
  <si>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</si>
  <si>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</si>
  <si>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</si>
  <si>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</si>
  <si>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</si>
  <si>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</si>
  <si>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</si>
  <si>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</si>
  <si>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</si>
  <si>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</si>
  <si>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</si>
  <si>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</si>
  <si>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</si>
  <si>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</si>
  <si>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</si>
  <si>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</si>
  <si>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</si>
  <si>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</si>
  <si>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</si>
  <si>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</si>
  <si>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</si>
  <si>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</si>
  <si>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</si>
  <si>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</si>
  <si>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</si>
  <si>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</si>
  <si>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</si>
  <si>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</si>
  <si>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</si>
  <si>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</si>
  <si>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</si>
  <si>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</si>
  <si>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</si>
  <si>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</si>
  <si>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</si>
  <si>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</si>
  <si>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</si>
  <si>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</si>
  <si>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</si>
  <si>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</si>
  <si>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</si>
  <si>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</si>
  <si>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</si>
  <si>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</si>
  <si>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</si>
  <si>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</si>
  <si>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</si>
  <si>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</si>
  <si>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</si>
  <si>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</si>
  <si>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</si>
  <si>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</si>
  <si>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</si>
  <si>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</si>
  <si>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</si>
  <si>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</si>
  <si>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</si>
  <si>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</si>
  <si>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</si>
  <si>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</si>
  <si>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</si>
  <si>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</si>
  <si>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</si>
  <si>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</si>
  <si>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</si>
  <si>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</si>
  <si>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</si>
  <si>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</si>
  <si>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</si>
  <si>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</si>
  <si>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</si>
  <si>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</si>
  <si>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</si>
  <si>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</si>
  <si>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</si>
  <si>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</si>
  <si>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</si>
  <si>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</si>
  <si>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</si>
  <si>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</si>
  <si>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</si>
  <si>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</si>
  <si>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</si>
  <si>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</si>
  <si>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</si>
  <si>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</si>
  <si>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</si>
  <si>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</si>
  <si>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</si>
  <si>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</si>
  <si>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</si>
  <si>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</si>
  <si>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</si>
  <si>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</si>
  <si>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</si>
  <si>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</si>
  <si>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</si>
  <si>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</si>
  <si>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</si>
  <si>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</si>
  <si>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</si>
  <si>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</si>
  <si>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</si>
  <si>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</si>
  <si>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</si>
  <si>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</si>
  <si>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</si>
  <si>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</si>
  <si>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</si>
  <si>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</si>
  <si>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</si>
  <si>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</si>
  <si>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</si>
  <si>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</si>
  <si>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</si>
  <si>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</si>
  <si>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</si>
  <si>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</si>
  <si>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</si>
  <si>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</si>
  <si>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</si>
  <si>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</si>
  <si>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</si>
  <si>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</si>
  <si>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</si>
  <si>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</si>
  <si>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</si>
  <si>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</si>
  <si>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</si>
  <si>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</si>
  <si>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</si>
  <si>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</si>
  <si>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</si>
  <si>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</si>
  <si>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</si>
  <si>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</si>
  <si>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</si>
  <si>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</si>
  <si>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</si>
  <si>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</si>
  <si>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</si>
  <si>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</si>
  <si>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</si>
  <si>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</si>
  <si>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</si>
  <si>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</si>
  <si>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</si>
  <si>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</si>
  <si>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</si>
  <si>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</si>
  <si>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</si>
  <si>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</si>
  <si>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</si>
  <si>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</si>
  <si>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</si>
  <si>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</si>
  <si>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</si>
  <si>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</si>
  <si>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</si>
  <si>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</si>
  <si>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</si>
  <si>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</si>
  <si>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</si>
  <si>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</si>
  <si>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</si>
  <si>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</si>
  <si>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</si>
  <si>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</si>
  <si>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</si>
  <si>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</si>
  <si>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</si>
  <si>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</si>
  <si>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</si>
  <si>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</si>
  <si>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</si>
  <si>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</si>
  <si>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</si>
  <si>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</si>
  <si>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</si>
  <si>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</si>
  <si>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</si>
  <si>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</si>
  <si>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</si>
  <si>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</si>
  <si>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</si>
  <si>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</si>
  <si>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</si>
  <si>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</si>
  <si>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</si>
  <si>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</si>
  <si>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</si>
  <si>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</si>
  <si>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</si>
  <si>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</si>
  <si>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</si>
  <si>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</si>
  <si>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</si>
  <si>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</si>
  <si>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</si>
  <si>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</si>
  <si>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</si>
  <si>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</si>
  <si>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</si>
  <si>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</si>
  <si>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</si>
  <si>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</si>
  <si>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</si>
  <si>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</si>
  <si>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</si>
  <si>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</si>
  <si>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</si>
  <si>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</si>
  <si>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</si>
  <si>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</si>
  <si>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</si>
  <si>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</si>
  <si>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</si>
  <si>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</si>
  <si>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</si>
  <si>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</si>
  <si>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</si>
  <si>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</si>
  <si>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</si>
  <si>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</si>
  <si>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</si>
  <si>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</si>
  <si>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</si>
  <si>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</si>
  <si>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</si>
  <si>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</si>
  <si>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</si>
  <si>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</si>
  <si>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</si>
  <si>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</si>
  <si>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</si>
  <si>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</si>
  <si>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</si>
  <si>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</si>
  <si>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</si>
  <si>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</si>
  <si>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</si>
  <si>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</si>
  <si>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</si>
  <si>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</si>
  <si>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</si>
  <si>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</si>
  <si>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</si>
  <si>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</si>
  <si>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</si>
  <si>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</si>
  <si>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</si>
  <si>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</si>
  <si>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</si>
  <si>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</si>
  <si>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</si>
  <si>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</si>
  <si>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</si>
  <si>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</si>
  <si>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</si>
  <si>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</si>
  <si>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</si>
  <si>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</si>
  <si>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</si>
  <si>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</si>
  <si>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</si>
  <si>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</si>
  <si>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</si>
  <si>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</si>
  <si>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</si>
  <si>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</si>
  <si>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</si>
  <si>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</si>
  <si>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</si>
  <si>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</si>
  <si>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</si>
  <si>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</si>
  <si>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</si>
  <si>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</si>
  <si>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</si>
  <si>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</si>
  <si>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</si>
  <si>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</si>
  <si>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</si>
  <si>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</si>
  <si>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</si>
  <si>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</si>
  <si>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</si>
  <si>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</si>
  <si>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</si>
  <si>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</si>
  <si>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</si>
  <si>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</si>
  <si>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</si>
  <si>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</si>
  <si>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</si>
  <si>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</si>
  <si>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</si>
  <si>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</si>
  <si>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</si>
  <si>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</si>
  <si>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</si>
  <si>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</si>
  <si>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</si>
  <si>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</si>
  <si>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</si>
  <si>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</si>
  <si>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</si>
  <si>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</si>
  <si>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</si>
  <si>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</si>
  <si>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</si>
  <si>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</si>
  <si>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</si>
  <si>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</si>
  <si>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</si>
  <si>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</si>
  <si>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</si>
  <si>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</si>
  <si>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</si>
  <si>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</si>
  <si>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</si>
  <si>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</si>
  <si>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</si>
  <si>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</si>
  <si>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</si>
  <si>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</si>
  <si>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</si>
  <si>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</si>
  <si>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</si>
  <si>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</si>
  <si>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</si>
  <si>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</si>
  <si>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</si>
  <si>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</si>
  <si>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</si>
  <si>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</si>
  <si>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</si>
  <si>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</si>
  <si>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</si>
  <si>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</si>
  <si>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</si>
  <si>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</si>
  <si>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</si>
  <si>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</si>
  <si>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</si>
  <si>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</si>
  <si>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</si>
  <si>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</si>
  <si>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</si>
  <si>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</si>
  <si>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</si>
  <si>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</si>
  <si>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</si>
  <si>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</si>
  <si>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</si>
  <si>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</si>
  <si>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</si>
  <si>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</si>
  <si>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</si>
  <si>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</si>
  <si>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</si>
  <si>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</si>
  <si>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</si>
  <si>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</si>
  <si>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</si>
  <si>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</si>
  <si>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</si>
  <si>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</si>
  <si>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</si>
  <si>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</si>
  <si>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</si>
  <si>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</si>
  <si>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</si>
  <si>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</si>
  <si>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</si>
  <si>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</si>
  <si>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</si>
  <si>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</si>
  <si>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</si>
  <si>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</si>
  <si>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</si>
  <si>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</si>
  <si>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</si>
  <si>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</si>
  <si>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</si>
  <si>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</si>
  <si>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</si>
  <si>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</si>
  <si>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</si>
  <si>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</si>
  <si>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</si>
  <si>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</si>
  <si>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</si>
  <si>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</si>
  <si>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</si>
  <si>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</si>
  <si>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</si>
  <si>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</si>
  <si>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</si>
  <si>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</si>
  <si>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</si>
  <si>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</si>
  <si>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</si>
  <si>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</si>
  <si>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</si>
  <si>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</si>
  <si>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</si>
  <si>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</si>
  <si>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</si>
  <si>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</si>
  <si>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</si>
  <si>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</si>
  <si>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</si>
  <si>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</si>
  <si>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</si>
  <si>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</si>
  <si>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</si>
  <si>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</si>
  <si>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</si>
  <si>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</si>
  <si>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</si>
  <si>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</si>
  <si>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</si>
  <si>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</si>
  <si>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</si>
  <si>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</si>
  <si>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</si>
  <si>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</si>
  <si>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</si>
  <si>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</si>
  <si>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</si>
  <si>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</si>
  <si>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</si>
  <si>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</si>
  <si>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</si>
  <si>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</si>
  <si>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</si>
  <si>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</si>
  <si>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</si>
  <si>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</si>
  <si>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</si>
  <si>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</si>
  <si>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</si>
  <si>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</si>
  <si>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</si>
  <si>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</si>
  <si>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</si>
  <si>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</si>
  <si>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</si>
  <si>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</si>
  <si>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</si>
  <si>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</si>
  <si>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</si>
  <si>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</si>
  <si>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</si>
  <si>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</si>
  <si>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</si>
  <si>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</si>
  <si>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</si>
  <si>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</si>
  <si>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</si>
  <si>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</si>
  <si>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</si>
  <si>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</si>
  <si>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</si>
  <si>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</si>
  <si>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</si>
  <si>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</si>
  <si>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</si>
  <si>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</si>
  <si>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</si>
  <si>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</si>
  <si>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</si>
  <si>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</si>
  <si>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</si>
  <si>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</si>
  <si>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</si>
  <si>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</si>
  <si>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</si>
  <si>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</si>
  <si>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</si>
  <si>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</si>
  <si>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</si>
  <si>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</si>
  <si>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</si>
  <si>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</si>
  <si>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</si>
  <si>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</si>
  <si>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</si>
  <si>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</si>
  <si>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</si>
  <si>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</si>
  <si>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</si>
  <si>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</si>
  <si>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</si>
  <si>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</si>
  <si>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</si>
  <si>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</si>
  <si>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</si>
  <si>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</si>
  <si>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</si>
  <si>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</si>
  <si>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</si>
  <si>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</si>
  <si>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</si>
  <si>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</si>
  <si>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</si>
  <si>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</si>
  <si>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</si>
  <si>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</si>
  <si>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</si>
  <si>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</si>
  <si>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</si>
  <si>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</si>
  <si>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</si>
  <si>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</si>
  <si>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</si>
  <si>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</si>
  <si>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</si>
  <si>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</si>
  <si>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</si>
  <si>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</si>
  <si>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</si>
  <si>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</si>
  <si>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</si>
  <si>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</si>
  <si>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</si>
  <si>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</si>
  <si>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</si>
  <si>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</si>
  <si>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</si>
  <si>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</si>
  <si>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</si>
  <si>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</si>
  <si>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</si>
  <si>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</si>
  <si>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</si>
  <si>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</si>
  <si>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</si>
  <si>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</si>
  <si>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</si>
  <si>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</si>
  <si>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</si>
  <si>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</si>
  <si>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</si>
  <si>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</si>
  <si>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</si>
  <si>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</si>
  <si>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</si>
  <si>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</si>
  <si>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</si>
  <si>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</si>
  <si>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</si>
  <si>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</si>
  <si>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</si>
  <si>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</si>
  <si>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</si>
  <si>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</si>
  <si>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</si>
  <si>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</si>
  <si>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</si>
  <si>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</si>
  <si>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</si>
  <si>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</si>
  <si>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</si>
  <si>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</si>
  <si>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</si>
  <si>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</si>
  <si>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</si>
  <si>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</si>
  <si>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</si>
  <si>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</si>
  <si>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</si>
  <si>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</si>
  <si>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</si>
  <si>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</si>
  <si>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</si>
  <si>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</si>
  <si>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</si>
  <si>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</si>
  <si>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</si>
  <si>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</si>
  <si>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</si>
  <si>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</si>
  <si>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</si>
  <si>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</si>
  <si>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</si>
  <si>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</si>
  <si>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</si>
  <si>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</si>
  <si>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</si>
  <si>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</si>
  <si>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</si>
  <si>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</si>
  <si>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</si>
  <si>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</si>
  <si>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</si>
  <si>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</si>
  <si>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</si>
  <si>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</si>
  <si>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</si>
  <si>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</si>
  <si>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</si>
  <si>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</si>
  <si>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</si>
  <si>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</si>
  <si>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</si>
  <si>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</si>
  <si>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</si>
  <si>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</si>
  <si>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</si>
  <si>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</si>
  <si>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</si>
  <si>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</si>
  <si>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</si>
  <si>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</si>
  <si>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</si>
  <si>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</si>
  <si>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</si>
  <si>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</si>
  <si>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</si>
  <si>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</si>
  <si>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</si>
  <si>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</si>
  <si>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</si>
  <si>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</si>
  <si>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</si>
  <si>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</si>
  <si>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</si>
  <si>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</si>
  <si>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</si>
  <si>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</si>
  <si>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</si>
  <si>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</si>
  <si>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</si>
  <si>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</si>
  <si>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</si>
  <si>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</si>
  <si>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</si>
  <si>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</si>
  <si>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</si>
  <si>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</si>
  <si>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</si>
  <si>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</si>
  <si>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</si>
  <si>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</si>
  <si>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</si>
  <si>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</si>
  <si>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</si>
  <si>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</si>
  <si>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</si>
  <si>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</si>
  <si>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</si>
  <si>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</si>
  <si>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</si>
  <si>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</si>
  <si>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</si>
  <si>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</si>
  <si>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</si>
  <si>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</si>
  <si>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</si>
  <si>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</si>
  <si>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</si>
  <si>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</si>
  <si>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</si>
  <si>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</si>
  <si>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</si>
  <si>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</si>
  <si>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</si>
  <si>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</si>
  <si>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</si>
  <si>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</si>
  <si>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</si>
  <si>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</si>
  <si>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</si>
  <si>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</si>
  <si>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</si>
  <si>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</si>
  <si>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</si>
  <si>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</si>
  <si>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</si>
  <si>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</si>
  <si>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</si>
  <si>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</si>
  <si>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</si>
  <si>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</si>
  <si>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</si>
  <si>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</si>
  <si>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</si>
  <si>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</si>
  <si>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</si>
  <si>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</si>
  <si>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</si>
  <si>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</si>
  <si>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</si>
  <si>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</si>
  <si>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</si>
  <si>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</si>
  <si>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</si>
  <si>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</si>
  <si>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</si>
  <si>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</si>
  <si>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</si>
  <si>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</si>
  <si>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</si>
  <si>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</si>
  <si>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</si>
  <si>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</si>
  <si>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</si>
  <si>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</si>
  <si>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</si>
  <si>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</si>
  <si>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</si>
  <si>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</si>
  <si>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</si>
  <si>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</si>
  <si>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</si>
  <si>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</si>
  <si>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</si>
  <si>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</si>
  <si>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</si>
  <si>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</si>
  <si>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</si>
  <si>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</si>
  <si>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</si>
  <si>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</si>
  <si>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</si>
  <si>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</si>
  <si>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</si>
  <si>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</si>
  <si>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</si>
  <si>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</si>
  <si>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</si>
  <si>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</si>
  <si>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</si>
  <si>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</si>
  <si>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</si>
  <si>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</si>
  <si>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</si>
  <si>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</si>
  <si>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</si>
  <si>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</si>
  <si>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</si>
  <si>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</si>
  <si>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</si>
  <si>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</si>
  <si>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</si>
  <si>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</si>
  <si>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</si>
  <si>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</si>
  <si>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</si>
  <si>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</si>
  <si>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</si>
  <si>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</si>
  <si>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</si>
  <si>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</si>
  <si>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</si>
  <si>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</si>
  <si>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</si>
  <si>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</si>
  <si>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</si>
  <si>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</si>
  <si>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</si>
  <si>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</si>
  <si>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</si>
  <si>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</si>
  <si>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</si>
  <si>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</si>
  <si>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</si>
  <si>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</si>
  <si>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</si>
  <si>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</si>
  <si>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</si>
  <si>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</si>
  <si>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</si>
  <si>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</si>
  <si>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</si>
  <si>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</si>
  <si>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</si>
  <si>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</si>
  <si>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</si>
  <si>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</si>
  <si>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</si>
  <si>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</si>
  <si>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</si>
  <si>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</si>
  <si>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</si>
  <si>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</si>
  <si>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</si>
  <si>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</si>
  <si>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</si>
  <si>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</si>
  <si>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</si>
  <si>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</si>
  <si>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</si>
  <si>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</si>
  <si>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</si>
  <si>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</si>
  <si>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</si>
  <si>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</si>
  <si>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</si>
  <si>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</si>
  <si>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</si>
  <si>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</si>
  <si>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</si>
  <si>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</si>
  <si>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</si>
  <si>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</si>
  <si>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</si>
  <si>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</si>
  <si>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</si>
  <si>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</si>
  <si>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</si>
  <si>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</si>
  <si>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</si>
  <si>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</si>
  <si>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</si>
  <si>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</si>
  <si>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</si>
  <si>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</si>
  <si>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</si>
  <si>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</si>
  <si>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</si>
  <si>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</si>
  <si>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</si>
  <si>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</si>
  <si>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</si>
  <si>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</si>
  <si>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</si>
  <si>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</si>
  <si>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</si>
  <si>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</si>
  <si>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</si>
  <si>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</si>
  <si>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</si>
  <si>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</si>
  <si>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</si>
  <si>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</si>
  <si>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</si>
  <si>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</si>
  <si>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</si>
  <si>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</si>
  <si>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</si>
  <si>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</si>
  <si>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</si>
  <si>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</si>
  <si>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</si>
  <si>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</si>
  <si>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</si>
  <si>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</si>
  <si>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</si>
  <si>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</si>
  <si>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</si>
  <si>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</si>
  <si>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</si>
  <si>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</si>
  <si>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</si>
  <si>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</si>
  <si>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</si>
  <si>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</si>
  <si>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</si>
  <si>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</si>
  <si>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</si>
  <si>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</si>
  <si>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</si>
  <si>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</si>
  <si>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</si>
  <si>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</si>
  <si>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</si>
  <si>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</si>
  <si>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</si>
  <si>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</si>
  <si>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</si>
  <si>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</si>
  <si>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</si>
  <si>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</si>
  <si>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</si>
  <si>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</si>
  <si>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</si>
  <si>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</si>
  <si>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</si>
  <si>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</si>
  <si>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</si>
  <si>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</si>
  <si>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</si>
  <si>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</si>
  <si>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</si>
  <si>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</si>
  <si>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</si>
  <si>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</si>
  <si>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</si>
  <si>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</si>
  <si>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</si>
  <si>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</si>
  <si>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</si>
  <si>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</si>
  <si>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</si>
  <si>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</si>
  <si>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</si>
  <si>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</si>
  <si>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</si>
  <si>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</si>
  <si>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</si>
  <si>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</si>
  <si>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</si>
  <si>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</si>
  <si>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</si>
  <si>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</si>
  <si>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</si>
  <si>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</si>
  <si>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</si>
  <si>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</si>
  <si>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</si>
  <si>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</si>
  <si>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</si>
  <si>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</si>
  <si>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</si>
  <si>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</si>
  <si>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</si>
  <si>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</si>
  <si>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</si>
  <si>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</si>
  <si>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</si>
  <si>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</si>
  <si>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</si>
  <si>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</si>
  <si>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</si>
  <si>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</si>
  <si>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</si>
  <si>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</si>
  <si>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</si>
  <si>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</si>
  <si>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</si>
  <si>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</si>
  <si>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</si>
  <si>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</si>
  <si>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</si>
  <si>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</si>
  <si>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</si>
  <si>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</si>
  <si>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</si>
  <si>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</si>
  <si>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</si>
  <si>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</si>
  <si>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</si>
  <si>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</si>
  <si>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</si>
  <si>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</si>
  <si>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</si>
  <si>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</si>
  <si>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</si>
  <si>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</si>
  <si>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</si>
  <si>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</si>
  <si>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</si>
  <si>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</si>
  <si>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</si>
  <si>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</si>
  <si>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</si>
  <si>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</si>
  <si>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</si>
  <si>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</si>
  <si>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</si>
  <si>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</si>
  <si>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</si>
  <si>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</si>
  <si>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</si>
  <si>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</si>
  <si>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</si>
  <si>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</si>
  <si>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</si>
  <si>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</si>
  <si>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</si>
  <si>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</si>
  <si>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</si>
  <si>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</si>
  <si>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</si>
  <si>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</si>
  <si>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</si>
  <si>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</si>
  <si>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</si>
  <si>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</si>
  <si>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</si>
  <si>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</si>
  <si>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</si>
  <si>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</si>
  <si>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</si>
  <si>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</si>
  <si>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</si>
  <si>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</si>
  <si>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</si>
  <si>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</si>
  <si>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</si>
  <si>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</si>
  <si>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</si>
  <si>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</si>
  <si>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</si>
  <si>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</si>
  <si>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</si>
  <si>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</si>
  <si>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</si>
  <si>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</si>
  <si>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</si>
  <si>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</si>
  <si>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</si>
  <si>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</si>
  <si>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</si>
  <si>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</si>
  <si>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</si>
  <si>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</si>
  <si>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</si>
  <si>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</si>
  <si>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</si>
  <si>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</si>
  <si>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</si>
  <si>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</si>
  <si>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</si>
  <si>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</si>
  <si>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</si>
  <si>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</si>
  <si>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</si>
  <si>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</si>
  <si>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</si>
  <si>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</si>
  <si>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</si>
  <si>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</si>
  <si>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</si>
  <si>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</si>
  <si>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</si>
  <si>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</si>
  <si>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</si>
  <si>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</si>
  <si>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</si>
  <si>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</si>
  <si>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</si>
  <si>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</si>
  <si>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</si>
  <si>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</si>
  <si>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</si>
  <si>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</si>
  <si>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</si>
  <si>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</si>
  <si>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</si>
  <si>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</si>
  <si>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</si>
  <si>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</si>
  <si>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</si>
  <si>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</si>
  <si>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</si>
  <si>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</si>
  <si>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</si>
  <si>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</si>
  <si>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</si>
  <si>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</si>
  <si>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</si>
  <si>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</si>
  <si>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</si>
  <si>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</si>
  <si>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</si>
  <si>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</si>
  <si>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</si>
  <si>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</si>
  <si>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</si>
  <si>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</si>
  <si>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</si>
  <si>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</si>
  <si>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</si>
  <si>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</si>
  <si>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</si>
  <si>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</si>
  <si>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</si>
  <si>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</si>
  <si>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</si>
  <si>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</si>
  <si>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</si>
  <si>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</si>
  <si>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</si>
  <si>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</si>
  <si>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</si>
  <si>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</si>
  <si>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</si>
  <si>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</si>
  <si>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</si>
  <si>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</si>
  <si>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</si>
  <si>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</si>
  <si>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</si>
  <si>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</si>
  <si>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</si>
  <si>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</si>
  <si>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</si>
  <si>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</si>
  <si>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</si>
  <si>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</si>
  <si>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</si>
  <si>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</si>
  <si>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</si>
  <si>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</si>
  <si>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</si>
  <si>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</si>
  <si>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</si>
  <si>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</si>
  <si>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</si>
  <si>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</si>
  <si>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</si>
  <si>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</si>
  <si>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</si>
  <si>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</si>
  <si>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</si>
  <si>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</si>
  <si>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</si>
  <si>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</si>
  <si>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</si>
  <si>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</si>
  <si>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</si>
  <si>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</si>
  <si>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</si>
  <si>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</si>
  <si>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</si>
  <si>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</si>
  <si>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</si>
  <si>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</si>
  <si>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</si>
  <si>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</si>
  <si>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</si>
  <si>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</si>
  <si>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</si>
  <si>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</si>
  <si>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</si>
  <si>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</si>
  <si>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</si>
  <si>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</si>
  <si>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</si>
  <si>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</si>
  <si>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</si>
  <si>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</si>
  <si>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</si>
  <si>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</si>
  <si>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</si>
  <si>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</si>
  <si>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</si>
  <si>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</si>
  <si>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</si>
  <si>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</si>
  <si>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</si>
  <si>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</si>
  <si>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</si>
  <si>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</si>
  <si>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</si>
  <si>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</si>
  <si>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</si>
  <si>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</si>
  <si>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</si>
  <si>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</si>
  <si>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</si>
  <si>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</si>
  <si>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</si>
  <si>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</si>
  <si>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</si>
  <si>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</si>
  <si>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</si>
  <si>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</si>
  <si>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</si>
  <si>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</si>
  <si>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</si>
  <si>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</si>
  <si>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</si>
  <si>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</si>
  <si>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</si>
  <si>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</si>
  <si>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</si>
  <si>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</si>
  <si>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</si>
  <si>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</si>
  <si>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</si>
  <si>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</si>
  <si>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</si>
  <si>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</si>
  <si>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</si>
  <si>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</si>
  <si>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</si>
  <si>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</si>
  <si>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</si>
  <si>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</si>
  <si>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</si>
  <si>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</si>
  <si>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</si>
  <si>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</si>
  <si>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</si>
  <si>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</si>
  <si>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</si>
  <si>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</si>
  <si>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</si>
  <si>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</si>
  <si>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</si>
  <si>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</si>
  <si>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</si>
  <si>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</si>
  <si>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</si>
  <si>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</si>
  <si>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</si>
  <si>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</si>
  <si>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</si>
  <si>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</si>
  <si>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</si>
  <si>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</si>
  <si>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</si>
  <si>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</si>
  <si>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</si>
  <si>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</si>
  <si>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</si>
  <si>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</si>
  <si>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</si>
  <si>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</si>
  <si>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</si>
  <si>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</si>
  <si>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</si>
  <si>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</si>
  <si>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</si>
  <si>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</si>
  <si>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</si>
  <si>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</si>
  <si>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</si>
  <si>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</si>
  <si>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</si>
  <si>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</si>
  <si>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</si>
  <si>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</si>
  <si>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</si>
  <si>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</si>
  <si>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</si>
  <si>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</si>
  <si>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</si>
  <si>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</si>
  <si>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</si>
  <si>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</si>
  <si>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</si>
  <si>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</si>
  <si>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</si>
  <si>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</si>
  <si>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</si>
  <si>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</si>
  <si>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</si>
  <si>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</si>
  <si>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</si>
  <si>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</si>
  <si>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</si>
  <si>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</si>
  <si>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</si>
  <si>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</si>
  <si>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</si>
  <si>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</si>
  <si>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</si>
  <si>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</si>
  <si>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</si>
  <si>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</si>
  <si>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</si>
  <si>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</si>
  <si>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</si>
  <si>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</si>
  <si>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</si>
  <si>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</si>
  <si>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</si>
  <si>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</si>
  <si>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</si>
  <si>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</si>
  <si>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</si>
  <si>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</si>
  <si>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</si>
  <si>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</si>
  <si>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</si>
  <si>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</si>
  <si>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</si>
  <si>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</si>
  <si>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</si>
  <si>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</si>
  <si>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</si>
  <si>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</si>
  <si>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</si>
  <si>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</si>
  <si>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</si>
  <si>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</si>
  <si>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</si>
  <si>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</si>
  <si>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</si>
  <si>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</si>
  <si>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</si>
  <si>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</si>
  <si>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</si>
  <si>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</si>
  <si>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</si>
  <si>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</si>
  <si>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</si>
  <si>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</si>
  <si>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</si>
  <si>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</si>
  <si>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</si>
  <si>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</si>
  <si>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</si>
  <si>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</si>
  <si>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</si>
  <si>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</si>
  <si>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</si>
  <si>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</si>
  <si>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</si>
  <si>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</si>
  <si>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</si>
  <si>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</si>
  <si>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</si>
  <si>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</si>
  <si>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</si>
  <si>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</si>
  <si>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</si>
  <si>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</si>
  <si>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</si>
  <si>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</si>
  <si>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</si>
  <si>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</si>
  <si>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</si>
  <si>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</si>
  <si>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</si>
  <si>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</si>
  <si>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</si>
  <si>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</si>
  <si>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</si>
  <si>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</si>
  <si>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</si>
  <si>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</si>
  <si>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</si>
  <si>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</si>
  <si>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</si>
  <si>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</si>
  <si>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</si>
  <si>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</si>
  <si>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</si>
  <si>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</si>
  <si>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</si>
  <si>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</si>
  <si>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</si>
  <si>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</si>
  <si>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</si>
  <si>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</si>
  <si>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</si>
  <si>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</si>
  <si>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</si>
  <si>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</si>
  <si>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</si>
  <si>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</si>
  <si>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</si>
  <si>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</si>
  <si>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</si>
  <si>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</si>
  <si>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</si>
  <si>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</si>
  <si>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</si>
  <si>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</si>
  <si>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</si>
  <si>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</si>
  <si>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</si>
  <si>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</si>
  <si>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</si>
  <si>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</si>
  <si>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</si>
  <si>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</si>
  <si>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</si>
  <si>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</si>
  <si>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</si>
  <si>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</si>
  <si>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</si>
  <si>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</si>
  <si>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</si>
  <si>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</si>
  <si>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</si>
  <si>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</si>
  <si>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</si>
  <si>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</si>
  <si>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</si>
  <si>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</si>
  <si>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</si>
  <si>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</si>
  <si>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</si>
  <si>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</si>
  <si>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</si>
  <si>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</si>
  <si>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</si>
  <si>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</si>
  <si>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</si>
  <si>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</si>
  <si>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</si>
  <si>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</si>
  <si>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</si>
  <si>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</si>
  <si>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</si>
  <si>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</si>
  <si>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</si>
  <si>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</si>
  <si>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</si>
  <si>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</si>
  <si>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</si>
  <si>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</si>
  <si>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</si>
  <si>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</si>
  <si>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</si>
  <si>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</si>
  <si>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</si>
  <si>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</si>
  <si>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</si>
  <si>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</si>
  <si>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</si>
  <si>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</si>
  <si>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</si>
  <si>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</si>
  <si>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</si>
  <si>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</si>
  <si>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</si>
  <si>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</si>
  <si>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</si>
  <si>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</si>
  <si>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</si>
  <si>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</si>
  <si>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</si>
  <si>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</si>
  <si>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</si>
  <si>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</si>
  <si>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</si>
  <si>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</si>
  <si>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</si>
  <si>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</si>
  <si>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</si>
  <si>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</si>
  <si>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</si>
  <si>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</si>
  <si>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</si>
  <si>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</si>
  <si>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</si>
  <si>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</si>
  <si>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</si>
  <si>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</si>
  <si>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</si>
  <si>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</si>
  <si>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</si>
  <si>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</si>
  <si>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</si>
  <si>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</si>
  <si>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</si>
  <si>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</si>
  <si>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</si>
  <si>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</si>
  <si>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</si>
  <si>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</si>
  <si>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</si>
  <si>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</si>
  <si>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</si>
  <si>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</si>
  <si>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</si>
  <si>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</si>
  <si>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</si>
  <si>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</si>
  <si>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</si>
  <si>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</si>
  <si>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</si>
  <si>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</si>
  <si>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</si>
  <si>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</si>
  <si>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</si>
  <si>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</si>
  <si>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</si>
  <si>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</si>
  <si>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</si>
  <si>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</si>
  <si>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</si>
  <si>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</si>
  <si>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</si>
  <si>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</si>
  <si>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</si>
  <si>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</si>
  <si>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</si>
  <si>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</si>
  <si>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</si>
  <si>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</si>
  <si>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</si>
  <si>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</si>
  <si>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</si>
  <si>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</si>
  <si>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</si>
  <si>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</si>
  <si>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</si>
  <si>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</si>
  <si>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</si>
  <si>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</si>
  <si>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</si>
  <si>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</si>
  <si>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</si>
  <si>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</si>
  <si>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</si>
  <si>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</si>
  <si>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</si>
  <si>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</si>
  <si>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</si>
  <si>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</si>
  <si>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</si>
  <si>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</si>
  <si>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</si>
  <si>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</si>
  <si>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</si>
  <si>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</si>
  <si>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</si>
  <si>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</si>
  <si>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</si>
  <si>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</si>
  <si>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</si>
  <si>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</si>
  <si>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</si>
  <si>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</si>
  <si>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</si>
  <si>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</si>
  <si>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</si>
  <si>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</si>
  <si>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</si>
  <si>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</si>
  <si>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</si>
  <si>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</si>
  <si>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</si>
  <si>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</si>
  <si>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</si>
  <si>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</si>
  <si>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</si>
  <si>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</si>
  <si>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</si>
  <si>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</si>
  <si>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</si>
  <si>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</si>
  <si>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</si>
  <si>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</si>
  <si>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</si>
  <si>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</si>
  <si>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</si>
  <si>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</si>
  <si>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</si>
  <si>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</si>
  <si>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</si>
  <si>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</si>
  <si>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</si>
  <si>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</si>
  <si>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</si>
  <si>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</si>
  <si>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</si>
  <si>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</si>
  <si>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</si>
  <si>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</si>
  <si>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</si>
  <si>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</si>
  <si>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</si>
  <si>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</si>
  <si>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</si>
  <si>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</si>
  <si>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</si>
  <si>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</si>
  <si>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</si>
  <si>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</si>
  <si>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</si>
  <si>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</si>
  <si>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</si>
  <si>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</si>
  <si>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</si>
  <si>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</si>
  <si>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</si>
  <si>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</si>
  <si>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</si>
  <si>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</si>
  <si>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</si>
  <si>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</si>
  <si>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</si>
  <si>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</si>
  <si>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</si>
  <si>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</si>
  <si>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</si>
  <si>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</si>
  <si>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</si>
  <si>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</si>
  <si>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</si>
  <si>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</si>
  <si>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</si>
  <si>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</si>
  <si>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</si>
  <si>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</si>
  <si>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</si>
  <si>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</si>
  <si>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</si>
  <si>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</si>
  <si>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</si>
  <si>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</si>
  <si>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</si>
  <si>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</si>
  <si>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</si>
  <si>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</si>
  <si>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</si>
  <si>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</si>
  <si>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</si>
  <si>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</si>
  <si>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</si>
  <si>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</si>
  <si>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</si>
  <si>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</si>
  <si>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</si>
  <si>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</si>
  <si>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</si>
  <si>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</si>
  <si>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</si>
  <si>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</si>
  <si>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</si>
  <si>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</si>
  <si>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</si>
  <si>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</si>
  <si>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</si>
  <si>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</si>
  <si>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</si>
  <si>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</si>
  <si>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</si>
  <si>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</si>
  <si>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</si>
  <si>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</si>
  <si>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</si>
  <si>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</si>
  <si>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</si>
  <si>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</si>
  <si>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</si>
  <si>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</si>
  <si>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</si>
  <si>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</si>
  <si>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</si>
  <si>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</si>
  <si>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</si>
  <si>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</si>
  <si>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</si>
  <si>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</si>
  <si>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</si>
  <si>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</si>
  <si>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</si>
  <si>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</si>
  <si>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</si>
  <si>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</si>
  <si>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</si>
  <si>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</si>
  <si>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</si>
  <si>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</si>
  <si>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</si>
  <si>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</si>
  <si>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</si>
  <si>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</si>
  <si>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</si>
  <si>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</si>
  <si>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</si>
  <si>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</si>
  <si>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</si>
  <si>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</si>
  <si>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</si>
  <si>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</si>
  <si>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</si>
  <si>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</si>
  <si>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</si>
  <si>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</si>
  <si>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</si>
  <si>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</si>
  <si>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</si>
  <si>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</si>
  <si>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</si>
  <si>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</si>
  <si>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</si>
  <si>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</si>
  <si>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</si>
  <si>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</si>
  <si>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</si>
  <si>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</si>
  <si>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</si>
  <si>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</si>
  <si>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</si>
  <si>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</si>
  <si>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</si>
  <si>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</si>
  <si>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</si>
  <si>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</si>
  <si>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</si>
  <si>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</si>
  <si>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</si>
  <si>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</si>
  <si>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</si>
  <si>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</si>
  <si>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</si>
  <si>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</si>
  <si>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</si>
  <si>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</si>
  <si>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</si>
  <si>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</si>
  <si>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</si>
  <si>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</si>
  <si>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</si>
  <si>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</si>
  <si>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</si>
  <si>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</si>
  <si>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</si>
  <si>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</si>
  <si>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</si>
  <si>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</si>
  <si>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</si>
  <si>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</si>
  <si>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</si>
  <si>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</si>
  <si>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</si>
  <si>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</si>
  <si>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</si>
  <si>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</si>
  <si>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</si>
  <si>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</si>
  <si>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</si>
  <si>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</si>
  <si>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</si>
  <si>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</si>
  <si>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</si>
  <si>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</si>
  <si>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</si>
  <si>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</si>
  <si>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</si>
  <si>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</si>
  <si>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</si>
  <si>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</si>
  <si>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</si>
  <si>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</si>
  <si>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</si>
  <si>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</si>
  <si>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</si>
  <si>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</si>
  <si>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</si>
  <si>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</si>
  <si>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</si>
  <si>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</si>
  <si>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</si>
  <si>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</si>
  <si>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</si>
  <si>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</si>
  <si>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</si>
  <si>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</si>
  <si>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</si>
  <si>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</si>
  <si>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</si>
  <si>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</si>
  <si>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</si>
  <si>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</si>
  <si>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</si>
  <si>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</si>
  <si>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</si>
  <si>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</si>
  <si>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</si>
  <si>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</si>
  <si>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</si>
  <si>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</si>
  <si>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</si>
  <si>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</si>
  <si>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</si>
  <si>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</si>
  <si>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</si>
  <si>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</si>
  <si>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</si>
  <si>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</si>
  <si>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</si>
  <si>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</si>
  <si>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</si>
  <si>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</si>
  <si>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</si>
  <si>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</si>
  <si>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</si>
  <si>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</si>
  <si>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</si>
  <si>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</si>
  <si>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</si>
  <si>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</si>
  <si>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</si>
  <si>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</si>
  <si>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</si>
  <si>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</si>
  <si>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</si>
  <si>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</si>
  <si>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</si>
  <si>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</si>
  <si>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</si>
  <si>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</si>
  <si>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</si>
  <si>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</si>
  <si>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</si>
  <si>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</si>
  <si>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</si>
  <si>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</si>
  <si>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</si>
  <si>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</si>
  <si>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</si>
  <si>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</si>
  <si>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</si>
  <si>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</si>
  <si>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</si>
  <si>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</si>
  <si>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</si>
  <si>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</si>
  <si>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</si>
  <si>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</si>
  <si>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</si>
  <si>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</si>
  <si>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</si>
  <si>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</si>
  <si>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</si>
  <si>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</si>
  <si>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</si>
  <si>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</si>
  <si>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</si>
  <si>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</si>
  <si>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</si>
  <si>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</si>
  <si>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</si>
  <si>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</si>
  <si>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</si>
  <si>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</si>
  <si>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</si>
  <si>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</si>
  <si>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</si>
  <si>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</si>
  <si>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</si>
  <si>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</si>
  <si>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</si>
  <si>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</si>
  <si>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</si>
  <si>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</si>
  <si>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</si>
  <si>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</si>
  <si>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</si>
  <si>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</si>
  <si>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</si>
  <si>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</si>
  <si>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</si>
  <si>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</si>
  <si>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</si>
  <si>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</si>
  <si>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</si>
  <si>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</si>
  <si>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</si>
  <si>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</si>
  <si>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</si>
  <si>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</si>
  <si>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</si>
  <si>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</si>
  <si>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</si>
  <si>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</si>
  <si>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</si>
  <si>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</si>
  <si>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</si>
  <si>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</si>
  <si>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</si>
  <si>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</si>
  <si>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</si>
  <si>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</si>
  <si>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</si>
  <si>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</si>
  <si>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</si>
  <si>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</si>
  <si>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</si>
  <si>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</si>
  <si>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</si>
  <si>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</si>
  <si>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</si>
  <si>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</si>
  <si>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</si>
  <si>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</si>
  <si>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</si>
  <si>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</si>
  <si>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</si>
  <si>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</si>
  <si>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</si>
  <si>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</si>
  <si>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</si>
  <si>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</si>
  <si>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</si>
  <si>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</si>
  <si>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</si>
  <si>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</si>
  <si>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</si>
  <si>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</si>
  <si>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</si>
  <si>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</si>
  <si>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</si>
  <si>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</si>
  <si>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</si>
  <si>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</si>
  <si>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</si>
  <si>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</si>
  <si>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</si>
  <si>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</si>
  <si>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</si>
  <si>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</si>
  <si>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</si>
  <si>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</si>
  <si>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</si>
  <si>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</si>
  <si>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</si>
  <si>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</si>
  <si>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</si>
  <si>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</si>
  <si>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</si>
  <si>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</si>
  <si>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</si>
  <si>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</si>
  <si>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</si>
  <si>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</si>
  <si>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</si>
  <si>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</si>
  <si>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</si>
  <si>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</si>
  <si>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</si>
  <si>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</si>
  <si>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</si>
  <si>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</si>
  <si>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</si>
  <si>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</si>
  <si>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</si>
  <si>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</si>
  <si>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</si>
  <si>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</si>
  <si>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</si>
  <si>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</si>
  <si>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</si>
  <si>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</si>
  <si>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</si>
  <si>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</si>
  <si>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</si>
  <si>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</si>
  <si>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</si>
  <si>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</si>
  <si>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</si>
  <si>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</si>
  <si>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</si>
  <si>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</si>
  <si>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</si>
  <si>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</si>
  <si>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</si>
  <si>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</si>
  <si>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</si>
  <si>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</si>
  <si>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</si>
  <si>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</si>
  <si>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</si>
  <si>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</si>
  <si>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</si>
  <si>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</si>
  <si>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</si>
  <si>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</si>
  <si>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</si>
  <si>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</si>
  <si>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</si>
  <si>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</si>
  <si>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</si>
  <si>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</si>
  <si>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</si>
  <si>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</si>
  <si>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</si>
  <si>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</si>
  <si>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</si>
  <si>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</si>
  <si>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</si>
  <si>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</si>
  <si>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</si>
  <si>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</si>
  <si>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</si>
  <si>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</si>
  <si>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</si>
  <si>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</si>
  <si>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</si>
  <si>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</si>
  <si>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</si>
  <si>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</si>
  <si>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</si>
  <si>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</si>
  <si>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</si>
  <si>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</si>
  <si>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</si>
  <si>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</si>
  <si>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</si>
  <si>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</si>
  <si>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</si>
  <si>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</si>
  <si>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</si>
  <si>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</si>
  <si>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</si>
  <si>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</si>
  <si>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</si>
  <si>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</si>
  <si>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</si>
  <si>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</si>
  <si>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</si>
  <si>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</si>
  <si>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</si>
  <si>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</si>
  <si>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</si>
  <si>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</si>
  <si>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</si>
  <si>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</si>
  <si>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</si>
  <si>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</si>
  <si>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</si>
  <si>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</si>
  <si>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</si>
  <si>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</si>
  <si>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</si>
  <si>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</si>
  <si>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</si>
  <si>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</si>
  <si>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</si>
  <si>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</si>
  <si>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</si>
  <si>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</si>
  <si>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</si>
  <si>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</si>
  <si>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</si>
  <si>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</si>
  <si>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</si>
  <si>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</si>
  <si>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</si>
  <si>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</si>
  <si>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</si>
  <si>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</si>
  <si>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</si>
  <si>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</si>
  <si>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</si>
  <si>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</si>
  <si>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</si>
  <si>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</si>
  <si>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</si>
  <si>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</si>
  <si>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</si>
  <si>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</si>
  <si>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</si>
  <si>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</si>
  <si>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</si>
  <si>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</si>
  <si>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</si>
  <si>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</si>
  <si>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</si>
  <si>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</si>
  <si>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</si>
  <si>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</si>
  <si>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</si>
  <si>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</si>
  <si>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</si>
  <si>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</si>
  <si>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</si>
  <si>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</si>
  <si>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</si>
  <si>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</si>
  <si>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</si>
  <si>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</si>
  <si>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</si>
  <si>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</si>
  <si>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</si>
  <si>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</si>
  <si>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</si>
  <si>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</si>
  <si>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</si>
  <si>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</si>
  <si>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</si>
  <si>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</si>
  <si>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</si>
  <si>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</si>
  <si>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</si>
  <si>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</si>
  <si>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</si>
  <si>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</si>
  <si>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</si>
  <si>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</si>
  <si>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</si>
  <si>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</si>
  <si>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</si>
  <si>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</si>
  <si>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</si>
  <si>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</si>
  <si>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</si>
  <si>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</si>
  <si>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</si>
  <si>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</si>
  <si>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</si>
  <si>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</si>
  <si>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</si>
  <si>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</si>
  <si>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</si>
  <si>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</si>
  <si>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</si>
  <si>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</si>
  <si>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</si>
  <si>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</si>
  <si>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</si>
  <si>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</si>
  <si>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</si>
  <si>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</si>
  <si>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</si>
  <si>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</si>
  <si>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</si>
  <si>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</si>
  <si>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</si>
  <si>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</si>
  <si>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</si>
  <si>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</si>
  <si>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</si>
  <si>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</si>
  <si>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</si>
  <si>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</si>
  <si>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</si>
  <si>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</si>
  <si>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</si>
  <si>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</si>
  <si>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</si>
  <si>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</si>
  <si>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</si>
  <si>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</si>
  <si>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</si>
  <si>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</si>
  <si>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</si>
  <si>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</si>
  <si>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</si>
  <si>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</si>
  <si>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</si>
  <si>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</si>
  <si>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</si>
  <si>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</si>
  <si>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</si>
  <si>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</si>
  <si>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</si>
  <si>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</si>
  <si>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</si>
  <si>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</si>
  <si>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</si>
  <si>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</si>
  <si>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</si>
  <si>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</si>
  <si>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</si>
  <si>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</si>
  <si>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</si>
  <si>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</si>
  <si>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</si>
  <si>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</si>
  <si>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</si>
  <si>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</si>
  <si>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</si>
  <si>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</si>
  <si>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</si>
  <si>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</si>
  <si>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</si>
  <si>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</si>
  <si>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</si>
  <si>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</si>
  <si>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</si>
  <si>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</si>
  <si>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</si>
  <si>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</si>
  <si>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</si>
  <si>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</si>
  <si>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</si>
  <si>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</si>
  <si>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</si>
  <si>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</si>
  <si>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</si>
  <si>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</si>
  <si>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</si>
  <si>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</si>
  <si>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</si>
  <si>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</si>
  <si>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</si>
  <si>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</si>
  <si>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</si>
  <si>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</si>
  <si>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</si>
  <si>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</si>
  <si>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</si>
  <si>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</si>
  <si>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</si>
  <si>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</si>
  <si>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</si>
  <si>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</si>
  <si>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</si>
  <si>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</si>
  <si>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</si>
  <si>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</si>
  <si>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</si>
  <si>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</si>
  <si>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</si>
  <si>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</si>
  <si>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出让</t>
  </si>
  <si>
    <t>北京市</t>
  </si>
  <si>
    <r>
      <rPr>
        <sz val="12"/>
        <color theme="9" tint="-0.249977111117893"/>
        <rFont val="宋体"/>
        <family val="3"/>
        <charset val="134"/>
      </rPr>
      <t>海淀区联慧路</t>
    </r>
    <r>
      <rPr>
        <sz val="12"/>
        <color theme="9" tint="-0.249977111117893"/>
        <rFont val="Arial"/>
        <family val="2"/>
      </rPr>
      <t>101</t>
    </r>
    <r>
      <rPr>
        <sz val="12"/>
        <color theme="9" tint="-0.249977111117893"/>
        <rFont val="宋体"/>
        <family val="3"/>
        <charset val="134"/>
      </rPr>
      <t>号</t>
    </r>
    <phoneticPr fontId="6" type="noConversion"/>
  </si>
  <si>
    <t>是</t>
  </si>
  <si>
    <t>住宅</t>
  </si>
  <si>
    <t>住宅</t>
    <phoneticPr fontId="3" type="noConversion"/>
  </si>
  <si>
    <t>地上</t>
  </si>
  <si>
    <t>华澳信托拟抵押资产台账（2019.8.23）</t>
  </si>
  <si>
    <t>编号</t>
  </si>
  <si>
    <t>证号</t>
  </si>
  <si>
    <t>面积（㎡）</t>
  </si>
  <si>
    <t>规划用途</t>
  </si>
  <si>
    <t>坐落</t>
  </si>
  <si>
    <t>办证时间</t>
  </si>
  <si>
    <t>黔（2019）黄果树不动产权第0000078号</t>
  </si>
  <si>
    <t>其他商服用地/商业、金融、信息</t>
  </si>
  <si>
    <t>黄果树旅游区大牌坊
（共有宗地面积19286.19㎡）</t>
    <phoneticPr fontId="3" type="noConversion"/>
  </si>
  <si>
    <t>2019.8.16</t>
  </si>
  <si>
    <t>黔（2019）黄果树不动产权第0000079号</t>
  </si>
  <si>
    <t>黔（2019）黄果树不动产权第0000080号</t>
  </si>
  <si>
    <t>黄果树新城演艺中心（规划馆）1层1号</t>
    <phoneticPr fontId="3" type="noConversion"/>
  </si>
  <si>
    <t>黔（2019）黄果树不动产权第0000081号</t>
  </si>
  <si>
    <t>黄果树新城演艺中心（规划馆）2层1号</t>
  </si>
  <si>
    <t>黔（2019）黄果树不动产权第0000082号</t>
  </si>
  <si>
    <t>黄果树新城演艺中心（规划馆）3层1号</t>
  </si>
  <si>
    <t>X京房权证海字第421184号</t>
  </si>
  <si>
    <t>北京市海淀区联慧路101号院1层B座0158</t>
  </si>
  <si>
    <t>2014.5.14</t>
  </si>
  <si>
    <t>京（2019）海不动产权第0012731号</t>
  </si>
  <si>
    <t>北京市海淀区联慧路101号院1层A座0158</t>
  </si>
  <si>
    <t>2019.4.11</t>
  </si>
  <si>
    <t>京（2019）海不动产权第0012511号</t>
  </si>
  <si>
    <t>北京市海淀区联慧路101号院1层B座0148</t>
  </si>
  <si>
    <t>2019.4.15</t>
  </si>
  <si>
    <t>住宅</t>
    <phoneticPr fontId="7" type="noConversion"/>
  </si>
  <si>
    <t>成新度</t>
  </si>
  <si>
    <t>收益法</t>
  </si>
  <si>
    <t>比较法-住宅</t>
  </si>
  <si>
    <t>现房</t>
  </si>
  <si>
    <t>项目局部</t>
  </si>
  <si>
    <t>押一</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</si>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</sst>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indexed="8"/>
      <name val="宋体"/>
      <family val="3"/>
      <charset val="134"/>
    </font>
    <font>
      <sz val="9"/>
      <color indexed="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indexed="1"/>
        <bgColor indexed="0"/>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64"/>
      </top>
      <bottom style="thin">
        <color indexed="0"/>
      </bottom>
      <diagonal/>
    </border>
    <border>
      <left style="thin">
        <color indexed="0"/>
      </left>
      <right style="thin">
        <color indexed="0"/>
      </right>
      <top/>
      <bottom/>
      <diagonal/>
    </border>
    <border>
      <left style="thin">
        <color indexed="0"/>
      </left>
      <right/>
      <top/>
      <bottom/>
      <diagonal/>
    </border>
    <border>
      <left style="thin">
        <color indexed="0"/>
      </left>
      <right style="thin">
        <color indexed="0"/>
      </right>
      <top style="thin">
        <color indexed="64"/>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horizontal="center" vertical="center" wrapText="1"/>
      <protection locked="0"/>
    </xf>
    <xf numFmtId="0" fontId="8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55" fillId="19" borderId="156" xfId="0" applyFont="1" applyFill="1" applyBorder="1" applyAlignment="1">
      <alignment horizontal="left" vertical="center" wrapText="1"/>
    </xf>
    <xf numFmtId="0" fontId="255" fillId="19" borderId="15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55" fillId="19" borderId="159" xfId="0" applyFont="1" applyFill="1" applyBorder="1" applyAlignment="1">
      <alignment horizontal="left" vertical="center" wrapText="1"/>
    </xf>
    <xf numFmtId="0" fontId="255" fillId="19" borderId="160" xfId="0" applyFont="1" applyFill="1" applyBorder="1" applyAlignment="1">
      <alignment horizontal="center" vertical="center" wrapText="1"/>
    </xf>
    <xf numFmtId="0" fontId="255" fillId="19" borderId="1" xfId="0" applyFont="1" applyFill="1" applyBorder="1" applyAlignment="1">
      <alignment horizontal="left" vertical="center" wrapText="1"/>
    </xf>
    <xf numFmtId="0" fontId="255" fillId="19" borderId="1" xfId="0" applyFont="1" applyFill="1" applyBorder="1" applyAlignment="1">
      <alignment horizontal="center" vertical="center" wrapText="1"/>
    </xf>
    <xf numFmtId="0" fontId="3" fillId="0" borderId="13" xfId="0" applyFont="1" applyFill="1" applyBorder="1" applyAlignment="1">
      <alignment horizontal="left" vertical="center" wrapText="1"/>
    </xf>
    <xf numFmtId="179" fontId="84" fillId="0" borderId="1" xfId="0" applyNumberFormat="1" applyFont="1" applyFill="1" applyBorder="1" applyAlignment="1">
      <alignment horizontal="center" vertical="center" wrapText="1"/>
    </xf>
    <xf numFmtId="0" fontId="83" fillId="0" borderId="2" xfId="0" applyFont="1" applyFill="1" applyBorder="1" applyAlignment="1">
      <alignment horizontal="left" vertical="center"/>
    </xf>
    <xf numFmtId="0" fontId="84" fillId="0" borderId="0" xfId="0" applyFont="1" applyFill="1" applyAlignment="1">
      <alignment horizontal="center" vertical="center" wrapText="1"/>
    </xf>
    <xf numFmtId="179" fontId="84" fillId="0" borderId="0" xfId="0" applyNumberFormat="1" applyFont="1" applyFill="1" applyAlignment="1">
      <alignment horizontal="center" vertical="center" wrapText="1"/>
    </xf>
    <xf numFmtId="0" fontId="83" fillId="0" borderId="0" xfId="0" applyFont="1" applyFill="1" applyAlignment="1">
      <alignment horizontal="left"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3" fillId="0" borderId="1" xfId="0" applyFont="1" applyFill="1" applyBorder="1" applyAlignment="1">
      <alignment horizontal="left" vertical="center" wrapText="1"/>
    </xf>
    <xf numFmtId="0" fontId="84" fillId="0" borderId="1" xfId="0" applyFont="1" applyFill="1" applyBorder="1" applyAlignment="1">
      <alignment horizontal="center" vertical="center" wrapText="1"/>
    </xf>
    <xf numFmtId="0" fontId="84" fillId="0" borderId="5" xfId="0" applyFont="1" applyFill="1" applyBorder="1" applyAlignment="1">
      <alignment horizontal="center" vertical="center" wrapText="1"/>
    </xf>
    <xf numFmtId="0" fontId="84" fillId="0" borderId="3" xfId="0" applyFont="1" applyFill="1" applyBorder="1" applyAlignment="1">
      <alignment horizontal="center" vertical="center" wrapText="1"/>
    </xf>
    <xf numFmtId="0" fontId="254" fillId="0" borderId="0" xfId="0" applyFont="1" applyAlignment="1">
      <alignment horizontal="center" vertical="center"/>
    </xf>
    <xf numFmtId="0" fontId="255" fillId="19" borderId="156" xfId="0" applyFont="1" applyFill="1" applyBorder="1" applyAlignment="1">
      <alignment horizontal="center" vertical="center" wrapText="1"/>
    </xf>
    <xf numFmtId="0" fontId="240" fillId="0" borderId="159" xfId="0" applyFont="1" applyBorder="1">
      <alignment vertical="center"/>
    </xf>
    <xf numFmtId="0" fontId="255" fillId="19" borderId="158" xfId="0" applyFont="1" applyFill="1" applyBorder="1" applyAlignment="1">
      <alignment horizontal="center" vertical="center" wrapText="1"/>
    </xf>
    <xf numFmtId="0" fontId="255" fillId="19" borderId="161" xfId="0" applyFont="1" applyFill="1" applyBorder="1" applyAlignment="1">
      <alignment horizontal="center" vertical="center" wrapText="1"/>
    </xf>
    <xf numFmtId="0" fontId="255" fillId="19" borderId="1" xfId="0" applyFont="1" applyFill="1" applyBorder="1" applyAlignment="1">
      <alignment horizontal="center" vertical="center" wrapText="1"/>
    </xf>
    <xf numFmtId="0" fontId="240" fillId="0" borderId="1" xfId="0" applyFont="1" applyBorder="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33;&#39034;&#40644;&#26524;&#26641;&#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4931.05</v>
          </cell>
          <cell r="D14">
            <v>2299</v>
          </cell>
          <cell r="G14">
            <v>2299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北京市海淀区联慧路101号房地产抵押价值预评估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受贵公司委托，我公司对北京市海淀区联慧路101号房地产抵押价值进行了预评估。</v>
      </c>
    </row>
    <row r="7" spans="1:2" s="1593" customFormat="1">
      <c r="A7" s="1591" t="s">
        <v>1260</v>
      </c>
      <c r="B7" s="1592" t="str">
        <f>'预评函-1'!A7</f>
        <v>估价对象为北京市海淀区联慧路101号房地产，为所有。根据《国有土地使用证》[]，估价对象（分摊）出让国有建设用地使用权面积为0平方米，建筑面积为1484.2平方米。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估价对象为北京市海淀区联慧路101号房地产,属开发建设的，该项目尚在开发建设中。根据《国有土地使用证》[]，估价对象（分摊）出让国有建设用地使用权面积为0平方米，规划建筑面积为1484.2平方米。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海淀区联慧路101号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2019年9月5日</v>
      </c>
    </row>
    <row r="13" spans="1:2" s="1593" customFormat="1">
      <c r="A13" s="1591" t="s">
        <v>1223</v>
      </c>
      <c r="B13" s="1592" t="str">
        <f>'预评函-1'!A18</f>
        <v>本次估价的“房地产价值”是指在正常市场情况下，在价值时点2019年9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11104</v>
      </c>
    </row>
    <row r="21" spans="1:2" s="1593" customFormat="1">
      <c r="A21" s="1591" t="s">
        <v>1231</v>
      </c>
      <c r="B21" s="1592">
        <f ca="1">'预评函-2'!D7</f>
        <v>74815</v>
      </c>
    </row>
    <row r="22" spans="1:2" s="1593" customFormat="1">
      <c r="A22" s="1591" t="s">
        <v>1232</v>
      </c>
      <c r="B22" s="1592" t="str">
        <f ca="1">'预评函-2'!D6</f>
        <v>壹亿壹仟壹佰零肆万元整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11104</v>
      </c>
    </row>
    <row r="31" spans="1:2" s="1593" customFormat="1">
      <c r="A31" s="1591" t="s">
        <v>1270</v>
      </c>
      <c r="B31" s="1592">
        <f ca="1">'预评函-2'!D15</f>
        <v>74815</v>
      </c>
    </row>
    <row r="32" spans="1:2" s="1593" customFormat="1">
      <c r="A32" s="1591" t="s">
        <v>1237</v>
      </c>
      <c r="B32" s="1592" t="str">
        <f ca="1">'预评函-2'!D14</f>
        <v>壹亿壹仟壹佰零肆万元整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北京市海淀区联慧路101号房地产</v>
      </c>
    </row>
    <row r="42" spans="1:2" s="1593" customFormat="1">
      <c r="A42" s="1591" t="s">
        <v>1284</v>
      </c>
      <c r="B42" s="1592" t="str">
        <f>'预评函-3'!B2</f>
        <v>建筑面积</v>
      </c>
    </row>
    <row r="43" spans="1:2" s="1593" customFormat="1">
      <c r="A43" s="1591" t="s">
        <v>1285</v>
      </c>
      <c r="B43" s="1592">
        <f>'预评函-3'!B4</f>
        <v>1484.1999999999998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联慧路101号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1" t="s">
        <v>861</v>
      </c>
      <c r="C54" s="2018" t="s">
        <v>1277</v>
      </c>
    </row>
    <row r="55" spans="1:4">
      <c r="A55" s="3016"/>
      <c r="B55" s="2021" t="s">
        <v>862</v>
      </c>
      <c r="C55" s="2018" t="s">
        <v>1278</v>
      </c>
    </row>
    <row r="56" spans="1:4">
      <c r="A56" s="3016"/>
      <c r="B56" s="2021" t="s">
        <v>863</v>
      </c>
      <c r="C56" s="2018" t="s">
        <v>1282</v>
      </c>
    </row>
    <row r="57" spans="1:4">
      <c r="A57" s="301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9" sqref="K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25" t="str">
        <f>IF(B10="北京市","北京市",C10)&amp;F10&amp;IF(结果表!G1="在建","出让国有建设用地使用权及在建建筑物",IF(结果表!G1="土地","出让国有建设用地使用权",))&amp;B9&amp;"预评估"</f>
        <v>北京市海淀区联慧路101号房地产抵押价值预评估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北京市海淀区联慧路101号房地产抵押价值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北京市海淀区联慧路101号房地产</v>
      </c>
    </row>
    <row r="3" spans="1:19" ht="18" customHeight="1">
      <c r="A3" s="2034" t="s">
        <v>1773</v>
      </c>
      <c r="B3" s="2035"/>
      <c r="C3" s="2036" t="s">
        <v>1774</v>
      </c>
      <c r="D3" s="2035">
        <v>43713</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028" t="s">
        <v>1780</v>
      </c>
      <c r="E8" s="2056" t="s">
        <v>3058</v>
      </c>
      <c r="F8" s="2057"/>
      <c r="G8" s="2025"/>
      <c r="H8" s="2025"/>
      <c r="I8" s="2025"/>
      <c r="J8" s="2041"/>
      <c r="K8" s="2042"/>
      <c r="L8" s="2027"/>
      <c r="M8" s="2027"/>
      <c r="N8" s="2028"/>
      <c r="O8" s="2029"/>
      <c r="P8" s="2028"/>
      <c r="Q8" s="2028"/>
      <c r="R8" s="2028"/>
    </row>
    <row r="9" spans="1:19" ht="18" customHeight="1" thickBot="1">
      <c r="A9" s="2039" t="s">
        <v>1781</v>
      </c>
      <c r="B9" s="2058" t="s">
        <v>3058</v>
      </c>
      <c r="C9" s="2059"/>
      <c r="D9" s="3029"/>
      <c r="E9" s="2058" t="s">
        <v>70</v>
      </c>
      <c r="F9" s="2060"/>
      <c r="G9" s="2061"/>
      <c r="H9" s="2061"/>
      <c r="I9" s="2061"/>
      <c r="J9" s="2041"/>
      <c r="K9" s="2053"/>
      <c r="L9" s="2027"/>
      <c r="M9" s="2027"/>
      <c r="N9" s="2028"/>
      <c r="O9" s="2029"/>
      <c r="P9" s="2028"/>
      <c r="Q9" s="2028"/>
      <c r="R9" s="2028"/>
    </row>
    <row r="10" spans="1:19" ht="18" customHeight="1" thickTop="1">
      <c r="A10" s="2062" t="s">
        <v>1782</v>
      </c>
      <c r="B10" s="2063" t="s">
        <v>3060</v>
      </c>
      <c r="C10" s="2064"/>
      <c r="D10" s="2046"/>
      <c r="E10" s="2065" t="s">
        <v>1783</v>
      </c>
      <c r="F10" s="2066" t="s">
        <v>3061</v>
      </c>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955">
        <v>60869</v>
      </c>
      <c r="E13" s="2079"/>
      <c r="F13" s="2079"/>
      <c r="G13" s="2079"/>
      <c r="H13" s="2079"/>
      <c r="I13" s="1047"/>
      <c r="J13" s="2041"/>
      <c r="K13" s="2053"/>
      <c r="L13" s="2027"/>
      <c r="M13" s="2027"/>
      <c r="N13" s="2028"/>
      <c r="O13" s="2029"/>
      <c r="P13" s="2028"/>
      <c r="Q13" s="2028"/>
      <c r="R13" s="2028"/>
    </row>
    <row r="14" spans="1:19" ht="18" customHeight="1">
      <c r="A14" s="2076"/>
      <c r="B14" s="2077"/>
      <c r="C14" s="2078" t="s">
        <v>1794</v>
      </c>
      <c r="D14" s="1050">
        <v>70</v>
      </c>
      <c r="E14" s="1050"/>
      <c r="F14" s="1050"/>
      <c r="G14" s="1050"/>
      <c r="H14" s="1050"/>
      <c r="I14" s="1050"/>
      <c r="J14" s="2041"/>
      <c r="K14" s="2080"/>
      <c r="L14" s="2027"/>
      <c r="M14" s="2027"/>
      <c r="N14" s="2028"/>
      <c r="O14" s="2029"/>
      <c r="P14" s="2028"/>
      <c r="Q14" s="2028"/>
      <c r="R14" s="2028"/>
    </row>
    <row r="15" spans="1:19" ht="18" customHeight="1">
      <c r="A15" s="2062"/>
      <c r="B15" s="2081"/>
      <c r="C15" s="2078" t="s">
        <v>1795</v>
      </c>
      <c r="D15" s="1049">
        <f>IF(B12="出让",IF(D13="","",ROUNDDOWN(MIN((D13-$D$3)/365,D14),2)),D14)</f>
        <v>47</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35"/>
      <c r="C16" s="3036"/>
      <c r="D16" s="3037"/>
      <c r="E16" s="2085" t="s">
        <v>1797</v>
      </c>
      <c r="F16" s="3038"/>
      <c r="G16" s="3039"/>
      <c r="H16" s="3039"/>
      <c r="I16" s="3040"/>
      <c r="J16" s="2028"/>
      <c r="K16" s="2082"/>
      <c r="L16" s="2083"/>
      <c r="M16" s="2083"/>
      <c r="N16" s="2084"/>
      <c r="O16" s="2083"/>
      <c r="P16" s="2084"/>
      <c r="Q16" s="2028"/>
      <c r="R16" s="2028"/>
    </row>
    <row r="17" spans="1:22" ht="18" customHeight="1">
      <c r="A17" s="2086" t="s">
        <v>1798</v>
      </c>
      <c r="B17" s="2034" t="s">
        <v>1799</v>
      </c>
      <c r="C17" s="1054">
        <f>'数据-汇总表'!E3</f>
        <v>1484.1999999999998</v>
      </c>
      <c r="D17" s="2087" t="s">
        <v>1800</v>
      </c>
      <c r="E17" s="3041" t="s">
        <v>1801</v>
      </c>
      <c r="F17" s="3042"/>
      <c r="G17" s="3042"/>
      <c r="H17" s="3042"/>
      <c r="I17" s="3043"/>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44" t="s">
        <v>1804</v>
      </c>
      <c r="F18" s="3045"/>
      <c r="G18" s="3045"/>
      <c r="H18" s="3045"/>
      <c r="I18" s="3046"/>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31" t="s">
        <v>1809</v>
      </c>
      <c r="C20" s="3032"/>
      <c r="D20" s="3033" t="s">
        <v>1810</v>
      </c>
      <c r="E20" s="3034"/>
      <c r="F20" s="2097" t="s">
        <v>1811</v>
      </c>
      <c r="G20" s="2041"/>
      <c r="H20" s="2041"/>
      <c r="I20" s="2041"/>
      <c r="J20" s="2041"/>
      <c r="K20" s="303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8"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8"/>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8"/>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9"/>
      <c r="B30" s="2034" t="s">
        <v>1828</v>
      </c>
      <c r="C30" s="3020"/>
      <c r="D30" s="302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2"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17" t="s">
        <v>1838</v>
      </c>
      <c r="T34" s="2134" t="str">
        <f>NUMBERSTRING(7-K34,1)&amp;"通"</f>
        <v>七通</v>
      </c>
      <c r="U34" s="2028"/>
      <c r="V34" s="2028"/>
    </row>
    <row r="35" spans="1:22" ht="18" customHeight="1">
      <c r="A35" s="2135"/>
      <c r="B35" s="3024" t="s">
        <v>1839</v>
      </c>
      <c r="C35" s="3024"/>
      <c r="D35" s="3024"/>
      <c r="E35" s="302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1484.1999999999998</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1484.1999999999998</v>
      </c>
      <c r="H5" s="16">
        <f t="shared" ref="H5:AT5" si="0">SUM(H13:H656)</f>
        <v>1484.1999999999998</v>
      </c>
      <c r="I5" s="16">
        <f t="shared" si="0"/>
        <v>1484.1999999999998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1484.1999999999998</v>
      </c>
      <c r="BA5" s="18">
        <f t="shared" si="1"/>
        <v>1484.1999999999998</v>
      </c>
      <c r="BB5" s="18">
        <f t="shared" si="1"/>
        <v>1484.1999999999998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3065</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3063</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6" t="s">
        <v>3064</v>
      </c>
      <c r="D13" s="2213" t="s">
        <v>3062</v>
      </c>
      <c r="E13" s="16">
        <f>IF($C$3="是",ROUND($A$3*G13/$B$3,2),ROUND($A$3*(G13-AT13)/$B$3,2))</f>
        <v>0</v>
      </c>
      <c r="F13" s="32"/>
      <c r="G13" s="33">
        <f>H13+AC13+AT13</f>
        <v>1484.1999999999998</v>
      </c>
      <c r="H13" s="20">
        <f>SUMIF(I$12:AB$12,"总值",I13:AB13)</f>
        <v>1484.1999999999998</v>
      </c>
      <c r="I13" s="2214">
        <f>抵押物清单!C8+抵押物清单!C9+抵押物清单!C10</f>
        <v>1484.1999999999998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住宅</v>
      </c>
      <c r="AY13" s="1806">
        <f>ROUND($AY$6*AZ13/$AZ$5,2)</f>
        <v>0</v>
      </c>
      <c r="AZ13" s="16">
        <f>BA13+BL13</f>
        <v>1484.1999999999998</v>
      </c>
      <c r="BA13" s="16">
        <f>SUM(BB13:BK13)</f>
        <v>1484.1999999999998</v>
      </c>
      <c r="BB13" s="16">
        <f>IF($D13="是",I13-J13,0)</f>
        <v>1484.1999999999998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2"/>
  <sheetViews>
    <sheetView workbookViewId="0">
      <selection activeCell="F29" sqref="F29"/>
    </sheetView>
  </sheetViews>
  <sheetFormatPr defaultColWidth="9" defaultRowHeight="13.5"/>
  <cols>
    <col min="1" max="1" width="5.75" customWidth="1"/>
    <col min="2" max="2" width="30.375" customWidth="1"/>
    <col min="3" max="3" width="12.375" customWidth="1"/>
    <col min="4" max="4" width="8.875" customWidth="1"/>
    <col min="6" max="6" width="25.5" customWidth="1"/>
    <col min="7" max="7" width="10" customWidth="1"/>
  </cols>
  <sheetData>
    <row r="1" spans="1:7" ht="22.5" customHeight="1">
      <c r="A1" s="3053" t="s">
        <v>3066</v>
      </c>
      <c r="B1" s="3053"/>
      <c r="C1" s="3053"/>
      <c r="D1" s="3053"/>
      <c r="E1" s="3053"/>
      <c r="F1" s="3053"/>
      <c r="G1" s="3053"/>
    </row>
    <row r="2" spans="1:7">
      <c r="A2" s="2957" t="s">
        <v>3067</v>
      </c>
      <c r="B2" s="2957" t="s">
        <v>3068</v>
      </c>
      <c r="C2" s="2957" t="s">
        <v>3069</v>
      </c>
      <c r="D2" s="2957" t="s">
        <v>3070</v>
      </c>
      <c r="E2" s="3050" t="s">
        <v>3071</v>
      </c>
      <c r="F2" s="3050"/>
      <c r="G2" s="2957" t="s">
        <v>3072</v>
      </c>
    </row>
    <row r="3" spans="1:7">
      <c r="A3" s="2958">
        <v>1</v>
      </c>
      <c r="B3" s="2959" t="s">
        <v>3073</v>
      </c>
      <c r="C3" s="2960">
        <v>280.41000000000003</v>
      </c>
      <c r="D3" s="3054" t="s">
        <v>3074</v>
      </c>
      <c r="E3" s="3056" t="s">
        <v>3075</v>
      </c>
      <c r="F3" s="3056"/>
      <c r="G3" s="2961" t="s">
        <v>3076</v>
      </c>
    </row>
    <row r="4" spans="1:7">
      <c r="A4" s="2958">
        <v>2</v>
      </c>
      <c r="B4" s="2962" t="s">
        <v>3077</v>
      </c>
      <c r="C4" s="2963">
        <v>67.5</v>
      </c>
      <c r="D4" s="3055"/>
      <c r="E4" s="3057"/>
      <c r="F4" s="3057"/>
      <c r="G4" s="2961" t="s">
        <v>3076</v>
      </c>
    </row>
    <row r="5" spans="1:7">
      <c r="A5" s="2958">
        <v>3</v>
      </c>
      <c r="B5" s="2964" t="s">
        <v>3078</v>
      </c>
      <c r="C5" s="2965">
        <v>2096.9899999999998</v>
      </c>
      <c r="D5" s="3058" t="s">
        <v>3074</v>
      </c>
      <c r="E5" s="3058" t="s">
        <v>3079</v>
      </c>
      <c r="F5" s="3058"/>
      <c r="G5" s="2961" t="s">
        <v>3076</v>
      </c>
    </row>
    <row r="6" spans="1:7">
      <c r="A6" s="2958">
        <v>4</v>
      </c>
      <c r="B6" s="2964" t="s">
        <v>3080</v>
      </c>
      <c r="C6" s="2965">
        <v>2207.8000000000002</v>
      </c>
      <c r="D6" s="3059"/>
      <c r="E6" s="3058" t="s">
        <v>3081</v>
      </c>
      <c r="F6" s="3058"/>
      <c r="G6" s="2961" t="s">
        <v>3076</v>
      </c>
    </row>
    <row r="7" spans="1:7">
      <c r="A7" s="2958">
        <v>5</v>
      </c>
      <c r="B7" s="2964" t="s">
        <v>3082</v>
      </c>
      <c r="C7" s="2965">
        <v>278.35000000000002</v>
      </c>
      <c r="D7" s="3059"/>
      <c r="E7" s="3058" t="s">
        <v>3083</v>
      </c>
      <c r="F7" s="3058"/>
      <c r="G7" s="2966" t="s">
        <v>3076</v>
      </c>
    </row>
    <row r="8" spans="1:7">
      <c r="A8" s="2958">
        <v>6</v>
      </c>
      <c r="B8" s="2961" t="s">
        <v>3084</v>
      </c>
      <c r="C8" s="2958">
        <v>164.4</v>
      </c>
      <c r="D8" s="2958" t="s">
        <v>3063</v>
      </c>
      <c r="E8" s="3049" t="s">
        <v>3085</v>
      </c>
      <c r="F8" s="3049"/>
      <c r="G8" s="2961" t="s">
        <v>3086</v>
      </c>
    </row>
    <row r="9" spans="1:7">
      <c r="A9" s="2958">
        <v>7</v>
      </c>
      <c r="B9" s="2961" t="s">
        <v>3087</v>
      </c>
      <c r="C9" s="2958">
        <v>255</v>
      </c>
      <c r="D9" s="2958" t="s">
        <v>3063</v>
      </c>
      <c r="E9" s="3049" t="s">
        <v>3088</v>
      </c>
      <c r="F9" s="3049"/>
      <c r="G9" s="2961" t="s">
        <v>3089</v>
      </c>
    </row>
    <row r="10" spans="1:7">
      <c r="A10" s="2958">
        <v>8</v>
      </c>
      <c r="B10" s="2961" t="s">
        <v>3090</v>
      </c>
      <c r="C10" s="2958">
        <v>1064.8</v>
      </c>
      <c r="D10" s="2958" t="s">
        <v>3063</v>
      </c>
      <c r="E10" s="3049" t="s">
        <v>3091</v>
      </c>
      <c r="F10" s="3049"/>
      <c r="G10" s="2961" t="s">
        <v>3092</v>
      </c>
    </row>
    <row r="11" spans="1:7">
      <c r="A11" s="3050" t="s">
        <v>40</v>
      </c>
      <c r="B11" s="3050"/>
      <c r="C11" s="2957">
        <f>SUM(C3:C10)</f>
        <v>6415.25</v>
      </c>
      <c r="D11" s="2967"/>
      <c r="E11" s="3051"/>
      <c r="F11" s="3052"/>
      <c r="G11" s="2968"/>
    </row>
    <row r="12" spans="1:7">
      <c r="A12" s="2969"/>
      <c r="B12" s="2969"/>
      <c r="C12" s="2969"/>
      <c r="D12" s="2970"/>
      <c r="E12" s="2969"/>
      <c r="F12" s="2969"/>
      <c r="G12" s="2971"/>
    </row>
  </sheetData>
  <mergeCells count="13">
    <mergeCell ref="A1:G1"/>
    <mergeCell ref="E2:F2"/>
    <mergeCell ref="D3:D4"/>
    <mergeCell ref="E3:F4"/>
    <mergeCell ref="D5:D7"/>
    <mergeCell ref="E5:F5"/>
    <mergeCell ref="E6:F6"/>
    <mergeCell ref="E7:F7"/>
    <mergeCell ref="E8:F8"/>
    <mergeCell ref="E9:F9"/>
    <mergeCell ref="E10:F10"/>
    <mergeCell ref="A11:B11"/>
    <mergeCell ref="E11:F1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69" t="s">
        <v>1935</v>
      </c>
      <c r="B2" s="3069"/>
      <c r="C2" s="3069"/>
      <c r="D2" s="967" t="s">
        <v>1911</v>
      </c>
      <c r="E2" s="2227" t="s">
        <v>1912</v>
      </c>
      <c r="F2" s="1392"/>
      <c r="G2" s="2228"/>
      <c r="H2" s="2229"/>
      <c r="I2" s="2230" t="s">
        <v>1936</v>
      </c>
      <c r="J2" s="1392"/>
      <c r="K2" s="1392"/>
      <c r="L2" s="1392"/>
      <c r="M2" s="1392"/>
      <c r="N2" s="1427"/>
      <c r="O2" s="1392"/>
      <c r="P2" s="1392"/>
    </row>
    <row r="3" spans="1:16" ht="15.75" thickBot="1">
      <c r="A3" s="3070" t="s">
        <v>1909</v>
      </c>
      <c r="B3" s="3070"/>
      <c r="C3" s="3070"/>
      <c r="D3" s="46">
        <f>'数据-基础表'!AY6</f>
        <v>0</v>
      </c>
      <c r="E3" s="46">
        <f>'数据-基础表'!AZ5</f>
        <v>1484.1999999999998</v>
      </c>
      <c r="F3" s="1392"/>
      <c r="G3" s="1399"/>
      <c r="H3" s="1247" t="s">
        <v>1910</v>
      </c>
      <c r="I3" s="55" t="e">
        <f>ROUND('数据-基础表'!B3/'数据-基础表'!A3,2)</f>
        <v>#DIV/0!</v>
      </c>
      <c r="J3" s="1392"/>
      <c r="K3" s="1392"/>
      <c r="L3" s="1392"/>
      <c r="M3" s="1392"/>
      <c r="N3" s="1427"/>
      <c r="O3" s="1392"/>
      <c r="P3" s="1392"/>
    </row>
    <row r="4" spans="1:16" ht="15">
      <c r="A4" s="3071"/>
      <c r="B4" s="3072"/>
      <c r="C4" s="3073"/>
      <c r="D4" s="2231" t="s">
        <v>1911</v>
      </c>
      <c r="E4" s="2232" t="s">
        <v>1912</v>
      </c>
      <c r="F4" s="1392"/>
      <c r="G4" s="2233" t="s">
        <v>1937</v>
      </c>
      <c r="H4" s="1247" t="s">
        <v>1917</v>
      </c>
      <c r="I4" s="55" t="e">
        <f>ROUND(SUMIF('数据-基础表'!I9:AS9,"地上",'数据-基础表'!I5:AS5)/'数据-基础表'!A3,2)</f>
        <v>#DIV/0!</v>
      </c>
      <c r="J4" s="1392"/>
      <c r="K4" s="1392"/>
      <c r="L4" s="1392"/>
      <c r="M4" s="1392"/>
      <c r="N4" s="1427"/>
      <c r="O4" s="1392"/>
      <c r="P4" s="1392"/>
    </row>
    <row r="5" spans="1:16">
      <c r="A5" s="47" t="s">
        <v>1913</v>
      </c>
      <c r="B5" s="3074" t="s">
        <v>1914</v>
      </c>
      <c r="C5" s="3074"/>
      <c r="D5" s="48">
        <f>ROUND($D$3*E5/$E$3,2)</f>
        <v>0</v>
      </c>
      <c r="E5" s="49">
        <f>SUMIF('数据-基础表'!$11:$11,"住宅",'数据-基础表'!$5:$5)</f>
        <v>1484.1999999999998</v>
      </c>
      <c r="F5" s="1392"/>
      <c r="G5" s="1399"/>
      <c r="H5" s="1247" t="s">
        <v>1910</v>
      </c>
      <c r="I5" s="55" t="e">
        <f>ROUND(E31/D31,2)</f>
        <v>#DIV/0!</v>
      </c>
      <c r="J5" s="1392"/>
      <c r="K5" s="1392"/>
      <c r="L5" s="1392"/>
      <c r="M5" s="1392"/>
      <c r="N5" s="1392"/>
      <c r="O5" s="1392"/>
      <c r="P5" s="1392"/>
    </row>
    <row r="6" spans="1:16" ht="15" thickBot="1">
      <c r="A6" s="2234"/>
      <c r="B6" s="3074" t="s">
        <v>1915</v>
      </c>
      <c r="C6" s="3074"/>
      <c r="D6" s="48">
        <f>ROUND($D$3*E6/$E$3,2)</f>
        <v>0</v>
      </c>
      <c r="E6" s="49">
        <f>E3-E5</f>
        <v>0</v>
      </c>
      <c r="F6" s="1392"/>
      <c r="G6" s="2235" t="s">
        <v>1916</v>
      </c>
      <c r="H6" s="1399" t="s">
        <v>1917</v>
      </c>
      <c r="I6" s="939" t="e">
        <f>ROUND(F31/D31,2)</f>
        <v>#DIV/0!</v>
      </c>
      <c r="J6" s="1392"/>
      <c r="K6" s="1392"/>
      <c r="L6" s="1392"/>
      <c r="M6" s="1392"/>
      <c r="N6" s="1392"/>
      <c r="O6" s="1392"/>
      <c r="P6" s="1392"/>
    </row>
    <row r="7" spans="1:16" ht="15">
      <c r="A7" s="3066"/>
      <c r="B7" s="3067"/>
      <c r="C7" s="3068"/>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1484.1999999999998</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0</v>
      </c>
      <c r="E16" s="53">
        <f>SUM(E8:E15)</f>
        <v>1484.1999999999998</v>
      </c>
      <c r="F16" s="1392"/>
      <c r="G16" s="2237"/>
      <c r="H16" s="2240" t="s">
        <v>1939</v>
      </c>
      <c r="I16" s="2241"/>
      <c r="J16" s="1392"/>
      <c r="K16" s="3063" t="s">
        <v>1939</v>
      </c>
      <c r="L16" s="3064"/>
      <c r="M16" s="3064"/>
      <c r="N16" s="3064"/>
      <c r="O16" s="3064"/>
      <c r="P16" s="3065"/>
    </row>
    <row r="17" spans="1:19" ht="15">
      <c r="A17" s="2242" t="s">
        <v>1940</v>
      </c>
      <c r="B17" s="2243" t="s">
        <v>1941</v>
      </c>
      <c r="C17" s="2244" t="s">
        <v>1942</v>
      </c>
      <c r="D17" s="2245" t="s">
        <v>1930</v>
      </c>
      <c r="E17" s="2246" t="s">
        <v>1931</v>
      </c>
      <c r="F17" s="2247"/>
      <c r="G17" s="2248"/>
      <c r="H17" s="2249" t="s">
        <v>1943</v>
      </c>
      <c r="I17" s="2250" t="s">
        <v>1928</v>
      </c>
      <c r="J17" s="1392"/>
      <c r="K17" s="3060" t="s">
        <v>1944</v>
      </c>
      <c r="L17" s="3061"/>
      <c r="M17" s="3062"/>
      <c r="N17" s="3060" t="s">
        <v>1945</v>
      </c>
      <c r="O17" s="3061"/>
      <c r="P17" s="3062"/>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72" t="s">
        <v>3093</v>
      </c>
      <c r="D19" s="48">
        <f>ROUND($D$3*E19/$E$3,2)</f>
        <v>0</v>
      </c>
      <c r="E19" s="56">
        <f t="shared" ref="E19:E26" si="1">SUM(F19:G19)</f>
        <v>1484.1999999999998</v>
      </c>
      <c r="F19" s="57">
        <f>'数据-基础表'!I5</f>
        <v>1484.1999999999998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1484.1999999999998</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0</v>
      </c>
      <c r="E27" s="1394">
        <f>IF(SUM(E19:E26)='数据-基础表'!BA5,SUM(E19:E26),IF(F27="地上面积有误","面积有误","地下面积有误"))</f>
        <v>1484.1999999999998</v>
      </c>
      <c r="F27" s="1393">
        <f>IF(SUM(F19:F26)=E8,SUM(F19:F26),"地上面积有误")</f>
        <v>1484.1999999999998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1484.1999999999998</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0</v>
      </c>
      <c r="E31" s="729">
        <f>E27+E30</f>
        <v>1484.1999999999998</v>
      </c>
      <c r="F31" s="730">
        <f>F27+F30</f>
        <v>1484.1999999999998</v>
      </c>
      <c r="G31" s="731">
        <f>G27+G30</f>
        <v>0</v>
      </c>
      <c r="H31" s="1392"/>
      <c r="I31" s="1392"/>
      <c r="J31" s="1392"/>
      <c r="K31" s="1392"/>
      <c r="L31" s="1392"/>
      <c r="M31" s="1392"/>
      <c r="N31" s="1392"/>
      <c r="O31" s="1392"/>
      <c r="P31" s="1392"/>
    </row>
    <row r="32" spans="1:19">
      <c r="A32" s="2233"/>
      <c r="B32" s="2233" t="s">
        <v>1963</v>
      </c>
      <c r="C32" s="2233"/>
      <c r="D32" s="2233"/>
      <c r="E32" s="1274">
        <f>SUMIF(C19:C26,"*住宅*",E19:E26)</f>
        <v>1484.1999999999998</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43713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3094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住宅</v>
      </c>
      <c r="B6" s="2307" t="str">
        <f>IF(A6=0,"","经营性")</f>
        <v>经营性</v>
      </c>
      <c r="C6" s="2308" t="s">
        <v>3063</v>
      </c>
      <c r="D6" s="1051">
        <f>SUMIF(项目基本情况!D$12:I$12,C6,项目基本情况!D$14:I$14)</f>
        <v>70</v>
      </c>
      <c r="E6" s="1048">
        <f>IF(B6="","",SUMIF(项目基本情况!D$12:I$12,C6,项目基本情况!D$13:I$13))</f>
        <v>60869</v>
      </c>
      <c r="F6" s="72">
        <f>SUMIF(项目基本情况!D$12:I$12,C6,项目基本情况!D$15:I$15)</f>
        <v>47</v>
      </c>
      <c r="G6" s="73">
        <f>IF(ISERROR(ROUND(POWER(1+H6,D6-F6)*(POWER(1+H6,F6)-1)/(POWER(1+H6,D6)-1),3)),0,ROUND(POWER(1+H6,D6-F6)*(POWER(1+H6,F6)-1)/(POWER(1+H6,D6)-1),3))</f>
        <v>0.91600000000000004</v>
      </c>
      <c r="H6" s="802">
        <v>4.4999999999999998E-2</v>
      </c>
      <c r="I6" s="802">
        <v>0.05</v>
      </c>
      <c r="J6" s="74">
        <v>8.5000000000000006E-2</v>
      </c>
      <c r="K6" s="1251">
        <f>SUMIF('数据-汇总表'!C$19:C$33,A6,'数据-汇总表'!E$19:E$33)</f>
        <v>1484.1999999999998</v>
      </c>
      <c r="L6" s="803">
        <v>2800</v>
      </c>
      <c r="M6" s="75">
        <f t="shared" ref="M6:M14" si="0">ROUND(K6*L6/10000,0)</f>
        <v>416</v>
      </c>
      <c r="N6" s="801">
        <f>ROUND(((1-(2019-1998)/60)+85%)/2,2)</f>
        <v>0.75</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4.5</v>
      </c>
      <c r="V6" s="79">
        <v>0.03</v>
      </c>
      <c r="W6" s="79">
        <v>0.1</v>
      </c>
      <c r="X6" s="1261"/>
      <c r="Y6" s="80">
        <f>N6</f>
        <v>0.75</v>
      </c>
      <c r="Z6" s="81"/>
      <c r="AA6" s="74"/>
      <c r="AB6" s="74"/>
      <c r="AC6" s="1261"/>
      <c r="AD6" s="82"/>
      <c r="AE6" s="1262">
        <f ca="1">IF(AN6="",0,SUMIF(INDIRECT("'"&amp;AN6&amp;"'"&amp;"!E:E"),$AE$5,INDIRECT("'"&amp;AN6&amp;"'"&amp;"!F:F")))</f>
        <v>47</v>
      </c>
      <c r="AF6" s="1804"/>
      <c r="AG6" s="147">
        <f>IF(AF6="",0,AE6-AF6)</f>
        <v>0</v>
      </c>
      <c r="AH6" s="83"/>
      <c r="AI6" s="85">
        <v>365</v>
      </c>
      <c r="AJ6" s="86"/>
      <c r="AK6" s="87">
        <v>1.4999999999999999E-2</v>
      </c>
      <c r="AL6" s="88">
        <v>1.5E-3</v>
      </c>
      <c r="AM6" s="89">
        <v>0.01</v>
      </c>
      <c r="AN6" s="2309" t="s">
        <v>3095</v>
      </c>
      <c r="AO6" s="55">
        <f ca="1">SUMIF(INDIRECT("'"&amp;AN6&amp;"'"&amp;"!A:A"),"总价",INDIRECT("'"&amp;AN6&amp;"'"&amp;"!B:B"))</f>
        <v>5058</v>
      </c>
      <c r="AP6" s="2310">
        <f>IF(C6="住宅",K6*L6,0)</f>
        <v>4155759.9999999995</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0.91600000000000004</v>
      </c>
      <c r="H16" s="99">
        <f>ROUND(SUMPRODUCT(H6:H13,K6:K13)/SUMPRODUCT((H6:H13&gt;0)*(K6:K13)),3)</f>
        <v>4.4999999999999998E-2</v>
      </c>
      <c r="I16" s="100"/>
      <c r="J16" s="100"/>
      <c r="K16" s="101">
        <f>SUM(K6:K15)</f>
        <v>1484.1999999999998</v>
      </c>
      <c r="L16" s="102">
        <f>ROUND(M16*10000/SUM(K6:K14),0)</f>
        <v>2803</v>
      </c>
      <c r="M16" s="102">
        <f>SUM(M6:M14)</f>
        <v>416</v>
      </c>
      <c r="N16" s="103">
        <f>ROUND(SUMPRODUCT(M6:M14,N6:N14)/M16,3)</f>
        <v>0.75</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160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v>200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0.03</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24</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269</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5" t="s">
        <v>2080</v>
      </c>
      <c r="B1" s="3076"/>
      <c r="C1" s="3076"/>
      <c r="D1" s="3076"/>
      <c r="E1" s="3076"/>
      <c r="F1" s="3076"/>
      <c r="G1" s="307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6415.25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13403</v>
      </c>
      <c r="C5" s="1743">
        <f ca="1">ROUND(B5*10000/$B$1,0)</f>
        <v>20892</v>
      </c>
      <c r="D5" s="1743" t="e">
        <f ca="1">ROUND(B5*10000/$B$2,0)</f>
        <v>#DIV/0!</v>
      </c>
      <c r="E5" s="1742"/>
      <c r="F5" s="1740"/>
      <c r="G5" s="1740"/>
    </row>
    <row r="6" spans="1:10" ht="16.5">
      <c r="A6" s="1743" t="s">
        <v>1352</v>
      </c>
      <c r="B6" s="1743">
        <f ca="1">SUM(G14:G23)</f>
        <v>13403</v>
      </c>
      <c r="C6" s="1743">
        <f ca="1">ROUND(B6*10000/$B$1,0)</f>
        <v>20892</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1484.1999999999998</v>
      </c>
      <c r="C14" s="1741">
        <f>结果表!C118</f>
        <v>0</v>
      </c>
      <c r="D14" s="1741">
        <f ca="1">结果表!H118</f>
        <v>11104</v>
      </c>
      <c r="E14" s="1741">
        <f ca="1">ROUND(D14*10000/B14,0)</f>
        <v>74815</v>
      </c>
      <c r="F14" s="1741" t="e">
        <f ca="1">ROUND(D14*10000/C14,0)</f>
        <v>#DIV/0!</v>
      </c>
      <c r="G14" s="1741">
        <f ca="1">结果表!D122</f>
        <v>11104</v>
      </c>
      <c r="H14" s="1741" t="str">
        <f>结果表!D124</f>
        <v>——</v>
      </c>
      <c r="I14" s="1741" t="str">
        <f>结果表!D126</f>
        <v>——</v>
      </c>
      <c r="J14" s="1740"/>
    </row>
    <row r="15" spans="1:10" ht="16.5">
      <c r="A15" s="1739" t="s">
        <v>1345</v>
      </c>
      <c r="B15" s="1746">
        <f>[1]系统读取表!$B$14</f>
        <v>4931.05</v>
      </c>
      <c r="C15" s="1746"/>
      <c r="D15" s="1746">
        <f ca="1">[1]系统读取表!$D$14</f>
        <v>2299</v>
      </c>
      <c r="E15" s="1741">
        <f t="shared" ref="E15:E23" ca="1" si="0">ROUND(D15*10000/B15,0)</f>
        <v>4662</v>
      </c>
      <c r="F15" s="1741" t="e">
        <f t="shared" ref="F15:F23" ca="1" si="1">ROUND(D15*10000/C15,0)</f>
        <v>#DIV/0!</v>
      </c>
      <c r="G15" s="1747">
        <f ca="1">[1]系统读取表!$G$14</f>
        <v>2299</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22" sqref="K2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c r="D1" s="2419"/>
      <c r="E1" s="2419"/>
      <c r="F1" s="2421" t="s">
        <v>2118</v>
      </c>
      <c r="G1" s="2070" t="s">
        <v>3097</v>
      </c>
      <c r="H1" s="2422" t="str">
        <f>IF(G1="现房","——","估价对象范围")</f>
        <v>——</v>
      </c>
      <c r="I1" s="2423" t="s">
        <v>3098</v>
      </c>
    </row>
    <row r="2" spans="1:12" ht="21.75" customHeight="1" thickBot="1">
      <c r="A2" s="3110" t="str">
        <f>项目基本情况!S2</f>
        <v>北京市海淀区联慧路101号房地产</v>
      </c>
      <c r="B2" s="3111"/>
      <c r="C2" s="3111"/>
      <c r="D2" s="3111"/>
      <c r="E2" s="3111"/>
      <c r="F2" s="3111"/>
      <c r="G2" s="3111"/>
      <c r="H2" s="3111"/>
      <c r="I2" s="3112"/>
    </row>
    <row r="3" spans="1:12" ht="12.75">
      <c r="A3" s="3114" t="s">
        <v>2119</v>
      </c>
      <c r="B3" s="3115"/>
      <c r="C3" s="3115"/>
      <c r="D3" s="3115"/>
      <c r="E3" s="3115"/>
      <c r="F3" s="3115"/>
      <c r="G3" s="3115"/>
      <c r="H3" s="3115"/>
      <c r="I3" s="3115"/>
    </row>
    <row r="4" spans="1:12" ht="14.25">
      <c r="A4" s="2426" t="s">
        <v>2120</v>
      </c>
      <c r="B4" s="2427" t="s">
        <v>2121</v>
      </c>
      <c r="C4" s="2428" t="s">
        <v>3096</v>
      </c>
      <c r="D4" s="2428" t="s">
        <v>3095</v>
      </c>
      <c r="E4" s="3107" t="s">
        <v>2122</v>
      </c>
      <c r="F4" s="3108"/>
      <c r="G4" s="3108"/>
      <c r="H4" s="3108"/>
      <c r="I4" s="311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2123</v>
      </c>
      <c r="B5" s="3017">
        <v>25</v>
      </c>
      <c r="C5" s="3093"/>
      <c r="D5" s="3113"/>
      <c r="E5" s="140" t="s">
        <v>2124</v>
      </c>
      <c r="F5" s="2430"/>
      <c r="G5" s="2430"/>
      <c r="H5" s="2430"/>
      <c r="I5" s="1831"/>
    </row>
    <row r="6" spans="1:12" ht="12.75">
      <c r="A6" s="3090"/>
      <c r="B6" s="3017"/>
      <c r="C6" s="3094"/>
      <c r="D6" s="3113"/>
      <c r="E6" s="140" t="s">
        <v>2125</v>
      </c>
      <c r="F6" s="2430"/>
      <c r="G6" s="2430"/>
      <c r="H6" s="2430"/>
      <c r="I6" s="1831"/>
    </row>
    <row r="7" spans="1:12" ht="12.75">
      <c r="A7" s="3090"/>
      <c r="B7" s="3017"/>
      <c r="C7" s="3095"/>
      <c r="D7" s="3113"/>
      <c r="E7" s="140" t="s">
        <v>2126</v>
      </c>
      <c r="F7" s="2430"/>
      <c r="G7" s="2430"/>
      <c r="H7" s="2430"/>
      <c r="I7" s="1831"/>
    </row>
    <row r="8" spans="1:12" ht="12.75">
      <c r="A8" s="3090" t="s">
        <v>2127</v>
      </c>
      <c r="B8" s="3017">
        <v>15</v>
      </c>
      <c r="C8" s="3093"/>
      <c r="D8" s="3113"/>
      <c r="E8" s="140" t="s">
        <v>2128</v>
      </c>
      <c r="F8" s="2430"/>
      <c r="G8" s="2430"/>
      <c r="H8" s="2430"/>
      <c r="I8" s="1831"/>
    </row>
    <row r="9" spans="1:12" ht="12.75">
      <c r="A9" s="3090"/>
      <c r="B9" s="3017"/>
      <c r="C9" s="3095"/>
      <c r="D9" s="3113"/>
      <c r="E9" s="140" t="s">
        <v>2129</v>
      </c>
      <c r="F9" s="2430"/>
      <c r="G9" s="2430"/>
      <c r="H9" s="2430"/>
      <c r="I9" s="1831"/>
    </row>
    <row r="10" spans="1:12" ht="12.75">
      <c r="A10" s="3090" t="s">
        <v>2130</v>
      </c>
      <c r="B10" s="3017">
        <v>15</v>
      </c>
      <c r="C10" s="3093"/>
      <c r="D10" s="3113"/>
      <c r="E10" s="140" t="s">
        <v>2131</v>
      </c>
      <c r="F10" s="2430"/>
      <c r="G10" s="2430"/>
      <c r="H10" s="2430"/>
      <c r="I10" s="1831"/>
    </row>
    <row r="11" spans="1:12" ht="12.75">
      <c r="A11" s="3090"/>
      <c r="B11" s="3017"/>
      <c r="C11" s="3095"/>
      <c r="D11" s="3113"/>
      <c r="E11" s="140" t="s">
        <v>2132</v>
      </c>
      <c r="F11" s="2430"/>
      <c r="G11" s="2430"/>
      <c r="H11" s="2430"/>
      <c r="I11" s="1831"/>
    </row>
    <row r="12" spans="1:12" ht="12.75">
      <c r="A12" s="3090" t="s">
        <v>2133</v>
      </c>
      <c r="B12" s="3017">
        <v>15</v>
      </c>
      <c r="C12" s="3093"/>
      <c r="D12" s="3113"/>
      <c r="E12" s="140" t="s">
        <v>2134</v>
      </c>
      <c r="F12" s="2430"/>
      <c r="G12" s="2430"/>
      <c r="H12" s="2430"/>
      <c r="I12" s="1831"/>
    </row>
    <row r="13" spans="1:12" ht="12.75">
      <c r="A13" s="3090"/>
      <c r="B13" s="3017"/>
      <c r="C13" s="3095"/>
      <c r="D13" s="3113"/>
      <c r="E13" s="140" t="s">
        <v>2135</v>
      </c>
      <c r="F13" s="2430"/>
      <c r="G13" s="2430"/>
      <c r="H13" s="2430"/>
      <c r="I13" s="1831"/>
    </row>
    <row r="14" spans="1:12" ht="12.75">
      <c r="A14" s="3090" t="s">
        <v>2136</v>
      </c>
      <c r="B14" s="3017">
        <v>30</v>
      </c>
      <c r="C14" s="3093">
        <v>8</v>
      </c>
      <c r="D14" s="3113">
        <v>2</v>
      </c>
      <c r="E14" s="140" t="s">
        <v>2137</v>
      </c>
      <c r="F14" s="2430"/>
      <c r="G14" s="2430"/>
      <c r="H14" s="2430"/>
      <c r="I14" s="1831"/>
    </row>
    <row r="15" spans="1:12" ht="12.75">
      <c r="A15" s="3090"/>
      <c r="B15" s="3017"/>
      <c r="C15" s="3094"/>
      <c r="D15" s="3113"/>
      <c r="E15" s="140" t="s">
        <v>2138</v>
      </c>
      <c r="F15" s="2430"/>
      <c r="G15" s="2430"/>
      <c r="H15" s="2430"/>
      <c r="I15" s="1831"/>
    </row>
    <row r="16" spans="1:12" ht="12.75">
      <c r="A16" s="3090"/>
      <c r="B16" s="3017"/>
      <c r="C16" s="3095"/>
      <c r="D16" s="3113"/>
      <c r="E16" s="140" t="s">
        <v>2139</v>
      </c>
      <c r="F16" s="2430"/>
      <c r="G16" s="2430"/>
      <c r="H16" s="2430"/>
      <c r="I16" s="1831"/>
    </row>
    <row r="17" spans="1:35" ht="15">
      <c r="A17" s="2431" t="s">
        <v>2140</v>
      </c>
      <c r="B17" s="64"/>
      <c r="C17" s="141">
        <f>SUM(C5:C16)</f>
        <v>8</v>
      </c>
      <c r="D17" s="141">
        <f>SUM(D5:D16)</f>
        <v>2</v>
      </c>
      <c r="E17" s="138"/>
      <c r="F17" s="138"/>
      <c r="G17" s="138"/>
      <c r="H17" s="138"/>
      <c r="I17" s="138"/>
      <c r="K17" s="2429"/>
      <c r="L17" s="2432" t="s">
        <v>2141</v>
      </c>
      <c r="M17" s="2432" t="s">
        <v>2142</v>
      </c>
    </row>
    <row r="18" spans="1:35" ht="15.75" thickBot="1">
      <c r="A18" s="2433" t="s">
        <v>2143</v>
      </c>
      <c r="B18" s="2434"/>
      <c r="C18" s="142">
        <f>ROUND(C17/SUM(C17:D17),2)</f>
        <v>0.8</v>
      </c>
      <c r="D18" s="142">
        <f>1-C18</f>
        <v>0.19999999999999996</v>
      </c>
      <c r="E18" s="138"/>
      <c r="F18" s="138"/>
      <c r="G18" s="138"/>
      <c r="H18" s="138"/>
      <c r="I18" s="138"/>
      <c r="K18" s="2429" t="s">
        <v>2144</v>
      </c>
      <c r="L18" s="2429">
        <f>IF(C1="",'数据-汇总表'!E3,SUMIF(项目类型,C1,'数据-汇总表'!E17:E26)+SUMIF(项目类型,C1,'数据-汇总表'!I17:I26))</f>
        <v>1484.1999999999998</v>
      </c>
      <c r="M18" s="2429">
        <f>IF(C1="",'数据-汇总表'!E3,SUMIF(项目类型,C1,'数据-汇总表'!E17:E26))</f>
        <v>1484.1999999999998</v>
      </c>
    </row>
    <row r="19" spans="1:35" ht="15">
      <c r="A19" s="2435" t="s">
        <v>2145</v>
      </c>
      <c r="B19" s="2436" t="s">
        <v>2146</v>
      </c>
      <c r="C19" s="143">
        <f ca="1">SUMIF(INDIRECT("'"&amp;C4&amp;"'"&amp;"!A:A"),结果表!B19,INDIRECT("'"&amp;C4&amp;"'"&amp;"!B:B"))</f>
        <v>12616</v>
      </c>
      <c r="D19" s="144">
        <f ca="1">SUMIF(INDIRECT("'"&amp;D4&amp;"'"&amp;"!A:A"),结果表!B19,INDIRECT("'"&amp;D4&amp;"'"&amp;"!B:B"))</f>
        <v>5058</v>
      </c>
      <c r="E19" s="2435" t="s">
        <v>2147</v>
      </c>
      <c r="F19" s="2436" t="s">
        <v>2146</v>
      </c>
      <c r="G19" s="145">
        <f ca="1">ROUND(C19*$C$18+D19*$D$18,0)</f>
        <v>11104</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47" t="s">
        <v>2150</v>
      </c>
      <c r="C20" s="146">
        <f ca="1">SUMIF(INDIRECT("'"&amp;C4&amp;"'"&amp;"!A:A"),结果表!B20,INDIRECT("'"&amp;C4&amp;"'"&amp;"!B:B"))</f>
        <v>85000</v>
      </c>
      <c r="D20" s="147">
        <f ca="1">SUMIF(INDIRECT("'"&amp;D4&amp;"'"&amp;"!A:A"),结果表!B20,INDIRECT("'"&amp;D4&amp;"'"&amp;"!B:B"))</f>
        <v>34079</v>
      </c>
      <c r="E20" s="2438"/>
      <c r="F20" s="1247" t="s">
        <v>2150</v>
      </c>
      <c r="G20" s="148">
        <f ca="1">ROUND(C20*$C$18+D20*$D$18,0)</f>
        <v>74816</v>
      </c>
      <c r="H20" s="980" t="s">
        <v>2151</v>
      </c>
      <c r="I20" s="138"/>
    </row>
    <row r="21" spans="1:35" ht="15" customHeight="1" thickBot="1">
      <c r="A21" s="1000"/>
      <c r="B21" s="2439" t="s">
        <v>2152</v>
      </c>
      <c r="C21" s="789" t="e">
        <f ca="1">ROUND(C19*10000/L19,0)</f>
        <v>#DIV/0!</v>
      </c>
      <c r="D21" s="790" t="e">
        <f ca="1">ROUND(D19*10000/L19,0)</f>
        <v>#DIV/0!</v>
      </c>
      <c r="E21" s="1000"/>
      <c r="F21" s="2439" t="s">
        <v>2152</v>
      </c>
      <c r="G21" s="149" t="e">
        <f ca="1">ROUND(G19*10000/L19,0)</f>
        <v>#DIV/0!</v>
      </c>
      <c r="H21" s="2440" t="s">
        <v>2151</v>
      </c>
      <c r="I21" s="138"/>
    </row>
    <row r="22" spans="1:35" ht="15" thickBot="1">
      <c r="A22" s="2281" t="s">
        <v>2153</v>
      </c>
      <c r="B22" s="2441"/>
      <c r="C22" s="2442"/>
      <c r="D22" s="791">
        <f ca="1">IF(C19&lt;D19,D19/C19-1,C19/D19-1)</f>
        <v>1.4942665085013838</v>
      </c>
      <c r="E22" s="138"/>
      <c r="F22" s="138"/>
      <c r="G22" s="138"/>
      <c r="H22" s="138"/>
      <c r="I22" s="138"/>
    </row>
    <row r="23" spans="1:35" ht="13.5" thickBot="1">
      <c r="A23" s="2419"/>
      <c r="B23" s="2419"/>
      <c r="C23" s="2419"/>
      <c r="D23" s="2419"/>
      <c r="E23" s="138"/>
      <c r="F23" s="138"/>
      <c r="G23" s="138"/>
      <c r="H23" s="138"/>
      <c r="I23" s="138"/>
    </row>
    <row r="24" spans="1:35" ht="14.25">
      <c r="A24" s="3084" t="s">
        <v>2154</v>
      </c>
      <c r="B24" s="2436" t="s">
        <v>2146</v>
      </c>
      <c r="C24" s="145">
        <f>IF(B30=0,0,D30)</f>
        <v>0</v>
      </c>
      <c r="D24" s="2443"/>
      <c r="E24" s="138"/>
      <c r="F24" s="138"/>
      <c r="G24" s="138"/>
      <c r="H24" s="138"/>
      <c r="I24" s="138"/>
    </row>
    <row r="25" spans="1:35" ht="14.25">
      <c r="A25" s="3085"/>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7"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11104</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102" t="s">
        <v>2168</v>
      </c>
      <c r="B36" s="2462" t="s">
        <v>2169</v>
      </c>
      <c r="C36" s="154"/>
      <c r="D36" s="2463"/>
      <c r="E36" s="2464"/>
      <c r="F36" s="2465"/>
      <c r="G36" s="138"/>
      <c r="H36" s="138"/>
      <c r="I36" s="138"/>
    </row>
    <row r="37" spans="1:15" ht="15.75" thickBot="1">
      <c r="A37" s="3103"/>
      <c r="B37" s="2267" t="s">
        <v>2170</v>
      </c>
      <c r="C37" s="156"/>
      <c r="D37" s="1392"/>
      <c r="E37" s="1392"/>
      <c r="F37" s="2465"/>
      <c r="G37" s="138"/>
      <c r="H37" s="138"/>
      <c r="I37" s="138"/>
    </row>
    <row r="38" spans="1:15" ht="15.75" thickBot="1">
      <c r="A38" s="3104"/>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81" t="s">
        <v>2182</v>
      </c>
      <c r="B45" s="3082"/>
      <c r="C45" s="3083"/>
      <c r="D45" s="164">
        <f ca="1">ROUND(H101*F45,0)</f>
        <v>11104</v>
      </c>
      <c r="E45" s="165" t="s">
        <v>2183</v>
      </c>
      <c r="F45" s="166">
        <v>1</v>
      </c>
      <c r="G45" s="167" t="s">
        <v>2184</v>
      </c>
      <c r="H45" s="138"/>
      <c r="I45" s="138"/>
      <c r="J45" s="3141" t="s">
        <v>2185</v>
      </c>
      <c r="K45" s="3141"/>
      <c r="L45" s="3141"/>
      <c r="M45" s="3141"/>
      <c r="N45" s="3141"/>
      <c r="O45" s="3141"/>
    </row>
    <row r="46" spans="1:15" ht="14.25" customHeight="1">
      <c r="A46" s="3078" t="s">
        <v>2186</v>
      </c>
      <c r="B46" s="3079"/>
      <c r="C46" s="3079"/>
      <c r="D46" s="3079"/>
      <c r="E46" s="3079"/>
      <c r="F46" s="3079"/>
      <c r="G46" s="3080"/>
      <c r="H46" s="2481"/>
      <c r="I46" s="168"/>
      <c r="J46" s="1809">
        <v>1</v>
      </c>
      <c r="K46" s="3141" t="s">
        <v>2187</v>
      </c>
      <c r="L46" s="3141"/>
      <c r="M46" s="3161"/>
      <c r="N46" s="3161"/>
      <c r="O46" s="3161"/>
    </row>
    <row r="47" spans="1:15" ht="12" customHeight="1">
      <c r="A47" s="169" t="s">
        <v>2188</v>
      </c>
      <c r="B47" s="170"/>
      <c r="C47" s="171"/>
      <c r="D47" s="172" t="s">
        <v>2189</v>
      </c>
      <c r="E47" s="24" t="s">
        <v>2190</v>
      </c>
      <c r="F47" s="173" t="s">
        <v>2191</v>
      </c>
      <c r="G47" s="174" t="s">
        <v>2192</v>
      </c>
      <c r="H47" s="2481"/>
      <c r="I47" s="168"/>
      <c r="J47" s="1809">
        <v>2</v>
      </c>
      <c r="K47" s="3141" t="s">
        <v>2193</v>
      </c>
      <c r="L47" s="3141"/>
      <c r="M47" s="3162">
        <f>'数据-取费表'!B2</f>
        <v>43713</v>
      </c>
      <c r="N47" s="3162"/>
      <c r="O47" s="3162"/>
    </row>
    <row r="48" spans="1:15" ht="25.5">
      <c r="A48" s="3109" t="s">
        <v>2194</v>
      </c>
      <c r="B48" s="3092"/>
      <c r="C48" s="3092"/>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141" t="s">
        <v>2197</v>
      </c>
      <c r="L48" s="3141"/>
      <c r="M48" s="3163">
        <f ca="1">H101</f>
        <v>11104</v>
      </c>
      <c r="N48" s="3163"/>
      <c r="O48" s="3163"/>
    </row>
    <row r="49" spans="1:35" ht="25.5" customHeight="1">
      <c r="A49" s="176" t="s">
        <v>2198</v>
      </c>
      <c r="B49" s="3077" t="s">
        <v>2199</v>
      </c>
      <c r="C49" s="3077"/>
      <c r="D49" s="177">
        <v>0</v>
      </c>
      <c r="E49" s="23" t="s">
        <v>2200</v>
      </c>
      <c r="F49" s="28" t="s">
        <v>34</v>
      </c>
      <c r="G49" s="3147"/>
      <c r="H49" s="138"/>
      <c r="I49" s="2484"/>
      <c r="J49" s="1809">
        <v>4</v>
      </c>
      <c r="K49" s="3141" t="str">
        <f>IF(项目基本情况!E8="房地产抵押价值","房地产抵押价值","抵押担保权已注销时的房地产抵押价值")</f>
        <v>房地产抵押价值</v>
      </c>
      <c r="L49" s="3141"/>
      <c r="M49" s="3163">
        <f ca="1">IF(项目基本情况!E8="房地产抵押价值",H107,H109)</f>
        <v>11104</v>
      </c>
      <c r="N49" s="3163"/>
      <c r="O49" s="3163"/>
    </row>
    <row r="50" spans="1:35" ht="25.5" customHeight="1">
      <c r="A50" s="178"/>
      <c r="B50" s="3077" t="s">
        <v>2201</v>
      </c>
      <c r="C50" s="3077"/>
      <c r="D50" s="179"/>
      <c r="E50" s="31"/>
      <c r="F50" s="180"/>
      <c r="G50" s="3148"/>
      <c r="H50" s="138"/>
      <c r="I50" s="2484"/>
      <c r="J50" s="3141" t="s">
        <v>2202</v>
      </c>
      <c r="K50" s="3141"/>
      <c r="L50" s="3141"/>
      <c r="M50" s="3141"/>
      <c r="N50" s="3141"/>
      <c r="O50" s="3141"/>
    </row>
    <row r="51" spans="1:35" ht="12" customHeight="1">
      <c r="A51" s="181"/>
      <c r="B51" s="3077" t="s">
        <v>2203</v>
      </c>
      <c r="C51" s="3077"/>
      <c r="D51" s="182"/>
      <c r="E51" s="30"/>
      <c r="F51" s="180"/>
      <c r="G51" s="3149"/>
      <c r="H51" s="138"/>
      <c r="I51" s="2484"/>
      <c r="J51" s="2485" t="s">
        <v>2204</v>
      </c>
      <c r="K51" s="3141" t="s">
        <v>2205</v>
      </c>
      <c r="L51" s="3141"/>
      <c r="M51" s="2485" t="s">
        <v>2206</v>
      </c>
      <c r="N51" s="2485" t="s">
        <v>2207</v>
      </c>
      <c r="O51" s="2485" t="s">
        <v>2208</v>
      </c>
    </row>
    <row r="52" spans="1:35" ht="24" customHeight="1">
      <c r="A52" s="183" t="s">
        <v>2209</v>
      </c>
      <c r="B52" s="3077" t="s">
        <v>2210</v>
      </c>
      <c r="C52" s="3077"/>
      <c r="D52" s="182">
        <f ca="1">ROUND(D45*'数据-取费表'!B41/(1+'数据-取费表'!C42),0)</f>
        <v>592</v>
      </c>
      <c r="E52" s="11" t="s">
        <v>2211</v>
      </c>
      <c r="F52" s="184">
        <f>'数据-取费表'!B41</f>
        <v>5.6000000000000001E-2</v>
      </c>
      <c r="G52" s="2486"/>
      <c r="H52" s="138"/>
      <c r="I52" s="2484"/>
      <c r="J52" s="1809">
        <v>1</v>
      </c>
      <c r="K52" s="3142" t="s">
        <v>2212</v>
      </c>
      <c r="L52" s="3142"/>
      <c r="M52" s="1751">
        <f>D48</f>
        <v>0</v>
      </c>
      <c r="N52" s="1809" t="str">
        <f>E48</f>
        <v>销售额×税（费）率</v>
      </c>
      <c r="O52" s="1752" t="str">
        <f>F48</f>
        <v>免征</v>
      </c>
    </row>
    <row r="53" spans="1:35" ht="12" customHeight="1">
      <c r="A53" s="183" t="s">
        <v>2213</v>
      </c>
      <c r="B53" s="3100" t="s">
        <v>2214</v>
      </c>
      <c r="C53" s="3101"/>
      <c r="D53" s="182">
        <f ca="1">ROUND(D45*'数据-取费表'!B41/(1+'数据-取费表'!C42),0)</f>
        <v>592</v>
      </c>
      <c r="E53" s="11" t="s">
        <v>2211</v>
      </c>
      <c r="F53" s="184">
        <f>'数据-取费表'!B41</f>
        <v>5.6000000000000001E-2</v>
      </c>
      <c r="G53" s="2486"/>
      <c r="H53" s="138"/>
      <c r="I53" s="2484"/>
      <c r="J53" s="1809">
        <v>2</v>
      </c>
      <c r="K53" s="3142" t="s">
        <v>2215</v>
      </c>
      <c r="L53" s="3142"/>
      <c r="M53" s="1751">
        <f t="shared" ref="M53:O54" ca="1" si="0">D55</f>
        <v>6</v>
      </c>
      <c r="N53" s="1809" t="str">
        <f t="shared" si="0"/>
        <v>销售额×税（费）率</v>
      </c>
      <c r="O53" s="1752">
        <f t="shared" si="0"/>
        <v>5.0000000000000001E-4</v>
      </c>
    </row>
    <row r="54" spans="1:35" ht="12" customHeight="1">
      <c r="A54" s="183" t="s">
        <v>2216</v>
      </c>
      <c r="B54" s="3100" t="s">
        <v>2217</v>
      </c>
      <c r="C54" s="3101"/>
      <c r="D54" s="182">
        <f ca="1">C68</f>
        <v>592</v>
      </c>
      <c r="E54" s="30" t="s">
        <v>2218</v>
      </c>
      <c r="F54" s="184">
        <f>'数据-取费表'!B41</f>
        <v>5.6000000000000001E-2</v>
      </c>
      <c r="G54" s="2486"/>
      <c r="H54" s="2487"/>
      <c r="I54" s="2484"/>
      <c r="J54" s="1809">
        <v>3</v>
      </c>
      <c r="K54" s="3142" t="s">
        <v>2219</v>
      </c>
      <c r="L54" s="3142"/>
      <c r="M54" s="1751">
        <f t="shared" ca="1" si="0"/>
        <v>6285</v>
      </c>
      <c r="N54" s="1809" t="str">
        <f t="shared" si="0"/>
        <v>增值额×税（费）率</v>
      </c>
      <c r="O54" s="1753" t="str">
        <f t="shared" si="0"/>
        <v>——</v>
      </c>
    </row>
    <row r="55" spans="1:35" ht="24" customHeight="1">
      <c r="A55" s="3091" t="s">
        <v>2220</v>
      </c>
      <c r="B55" s="3092"/>
      <c r="C55" s="3092"/>
      <c r="D55" s="185">
        <f ca="1">IF(H55="个人住宅",0,ROUND(D45*I55,0))</f>
        <v>6</v>
      </c>
      <c r="E55" s="11" t="s">
        <v>2221</v>
      </c>
      <c r="F55" s="184">
        <f>IF(H55="正常",I55,"免征")</f>
        <v>5.0000000000000001E-4</v>
      </c>
      <c r="G55" s="2486"/>
      <c r="H55" s="2483" t="s">
        <v>2222</v>
      </c>
      <c r="I55" s="186">
        <f>'数据-取费表'!B49</f>
        <v>5.0000000000000001E-4</v>
      </c>
      <c r="J55" s="1809" t="str">
        <f>IF(H59="非个人房产","",4)</f>
        <v/>
      </c>
      <c r="K55" s="3142" t="str">
        <f>IF(H59="非个人房产","——","个人所得税")</f>
        <v>——</v>
      </c>
      <c r="L55" s="3142"/>
      <c r="M55" s="1754" t="str">
        <f>D59</f>
        <v>——</v>
      </c>
      <c r="N55" s="1807" t="str">
        <f>E59</f>
        <v>——</v>
      </c>
      <c r="O55" s="1755" t="str">
        <f>F59</f>
        <v>——</v>
      </c>
    </row>
    <row r="56" spans="1:35" ht="24.75">
      <c r="A56" s="3091" t="s">
        <v>2223</v>
      </c>
      <c r="B56" s="3092"/>
      <c r="C56" s="3092"/>
      <c r="D56" s="185">
        <f ca="1">IF(H56="个人住宅",D57,D58)</f>
        <v>6285</v>
      </c>
      <c r="E56" s="11" t="s">
        <v>2224</v>
      </c>
      <c r="F56" s="184" t="str">
        <f>IF(H56="正常",F58,"免征")</f>
        <v>——</v>
      </c>
      <c r="G56" s="2488" t="s">
        <v>2225</v>
      </c>
      <c r="H56" s="2489" t="s">
        <v>2222</v>
      </c>
      <c r="I56" s="2490"/>
      <c r="J56" s="1809" t="str">
        <f>IF(项目基本情况!K6="上海银行",IF(J55="",4,J55+1),"")</f>
        <v/>
      </c>
      <c r="K56" s="3165" t="str">
        <f>IF(项目基本情况!K6="上海银行","其他处置费用","")</f>
        <v/>
      </c>
      <c r="L56" s="3166"/>
      <c r="M56" s="1751" t="str">
        <f>IF(项目基本情况!K6="上海银行",M69,"")</f>
        <v/>
      </c>
      <c r="N56" s="3168" t="str">
        <f>IF(项目基本情况!K6="上海银行","包含处置中涉及的律师、诉讼、拍卖、评估等费用","")</f>
        <v/>
      </c>
      <c r="O56" s="3169"/>
    </row>
    <row r="57" spans="1:35" ht="12.75">
      <c r="A57" s="183" t="s">
        <v>2198</v>
      </c>
      <c r="B57" s="3107" t="s">
        <v>2226</v>
      </c>
      <c r="C57" s="3116"/>
      <c r="D57" s="187">
        <v>0</v>
      </c>
      <c r="E57" s="23" t="s">
        <v>2200</v>
      </c>
      <c r="F57" s="155"/>
      <c r="G57" s="2486"/>
      <c r="H57" s="2490"/>
      <c r="I57" s="2490"/>
      <c r="J57" s="3142">
        <f>IF(AND(J55="",J56=""),4,IF(项目基本情况!K6="上海银行",结果表!J56+1,结果表!J55+1))</f>
        <v>4</v>
      </c>
      <c r="K57" s="3142" t="s">
        <v>2227</v>
      </c>
      <c r="L57" s="2491" t="s">
        <v>2228</v>
      </c>
      <c r="M57" s="1756"/>
      <c r="N57" s="1757">
        <f ca="1">SUMIF(M52:M56,"&lt;9e307")</f>
        <v>6291</v>
      </c>
      <c r="O57" s="2492"/>
      <c r="P57" s="1750">
        <f ca="1">N57/M49</f>
        <v>0.56655259365994237</v>
      </c>
    </row>
    <row r="58" spans="1:35" ht="24.75">
      <c r="A58" s="183" t="s">
        <v>2209</v>
      </c>
      <c r="B58" s="3107" t="s">
        <v>2229</v>
      </c>
      <c r="C58" s="3108"/>
      <c r="D58" s="185">
        <f ca="1">IF(H58="转让取得",C81,C97)</f>
        <v>6285</v>
      </c>
      <c r="E58" s="11" t="s">
        <v>2224</v>
      </c>
      <c r="F58" s="24" t="s">
        <v>34</v>
      </c>
      <c r="G58" s="2486"/>
      <c r="H58" s="2489" t="s">
        <v>2230</v>
      </c>
      <c r="I58" s="2490"/>
      <c r="J58" s="3142"/>
      <c r="K58" s="3142"/>
      <c r="L58" s="2491" t="s">
        <v>2231</v>
      </c>
      <c r="M58" s="1758"/>
      <c r="N58" s="2493" t="str">
        <f ca="1">NUMBERSTRING(INT(N57*10000),2)&amp;"元整"</f>
        <v>陆仟贰佰玖拾壹万元整</v>
      </c>
      <c r="O58" s="2494"/>
    </row>
    <row r="59" spans="1:35" ht="24.75" thickBot="1">
      <c r="A59" s="3145" t="s">
        <v>2232</v>
      </c>
      <c r="B59" s="3146"/>
      <c r="C59" s="3146"/>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43">
        <f>J57+1</f>
        <v>5</v>
      </c>
      <c r="K59" s="3142" t="s">
        <v>2234</v>
      </c>
      <c r="L59" s="1809" t="s">
        <v>2228</v>
      </c>
      <c r="M59" s="1759"/>
      <c r="N59" s="1760">
        <f ca="1">M49-N57</f>
        <v>4813</v>
      </c>
      <c r="O59" s="2496"/>
    </row>
    <row r="60" spans="1:35" ht="12" customHeight="1">
      <c r="A60" s="2497"/>
      <c r="B60" s="2419"/>
      <c r="C60" s="2419"/>
      <c r="D60" s="2419"/>
      <c r="E60" s="2166"/>
      <c r="F60" s="2490"/>
      <c r="G60" s="2490"/>
      <c r="H60" s="2498"/>
      <c r="I60" s="138"/>
      <c r="J60" s="3144"/>
      <c r="K60" s="3142"/>
      <c r="L60" s="2491" t="s">
        <v>2231</v>
      </c>
      <c r="M60" s="1758"/>
      <c r="N60" s="2493" t="str">
        <f ca="1">NUMBERSTRING(INT(N59*10000),2)&amp;"元整"</f>
        <v>肆仟捌佰壹拾叁万元整</v>
      </c>
      <c r="O60" s="2494"/>
    </row>
    <row r="61" spans="1:35" ht="13.5" thickBot="1">
      <c r="A61" s="3089" t="s">
        <v>2235</v>
      </c>
      <c r="B61" s="3089"/>
      <c r="C61" s="3089"/>
      <c r="D61" s="3089"/>
      <c r="E61" s="3089"/>
      <c r="F61" s="2490"/>
      <c r="G61" s="2490"/>
      <c r="H61" s="2498"/>
      <c r="I61" s="138"/>
      <c r="J61" s="1809">
        <f>J59+1</f>
        <v>6</v>
      </c>
      <c r="K61" s="3142" t="s">
        <v>2236</v>
      </c>
      <c r="L61" s="3142"/>
      <c r="M61" s="1761"/>
      <c r="N61" s="1762">
        <f ca="1">ROUND(N59*10000/'数据-汇总表'!E3,0)</f>
        <v>32428</v>
      </c>
      <c r="O61" s="2499"/>
    </row>
    <row r="62" spans="1:35" ht="12.75">
      <c r="A62" s="3105" t="s">
        <v>2237</v>
      </c>
      <c r="B62" s="3106"/>
      <c r="C62" s="1801"/>
      <c r="D62" s="1801" t="s">
        <v>2238</v>
      </c>
      <c r="E62" s="192" t="s">
        <v>2239</v>
      </c>
      <c r="F62" s="2490"/>
      <c r="G62" s="2490"/>
      <c r="H62" s="2498"/>
      <c r="I62" s="138"/>
    </row>
    <row r="63" spans="1:35" ht="12.75">
      <c r="A63" s="203" t="s">
        <v>775</v>
      </c>
      <c r="B63" s="193" t="s">
        <v>2240</v>
      </c>
      <c r="C63" s="194">
        <f ca="1">ROUND((C64+C65)/(1+'数据-取费表'!C42),0)</f>
        <v>10575</v>
      </c>
      <c r="D63" s="195"/>
      <c r="E63" s="196"/>
      <c r="F63" s="2490"/>
      <c r="G63" s="2490"/>
      <c r="H63" s="2498"/>
      <c r="I63" s="138"/>
      <c r="J63" s="3167" t="s">
        <v>2241</v>
      </c>
      <c r="K63" s="2500" t="s">
        <v>2242</v>
      </c>
      <c r="L63" s="1749">
        <f ca="1">IF(M49&gt;10000,M49*0.5%,IF(AND(M49&gt;1000,M49&lt;=10000),M49*1%,IF(AND(M49&gt;100,M49&lt;=1000),M49*3%,IF(AND(M49&gt;10,M49&lt;=100),M49*5%,M49*8%))))</f>
        <v>55.52</v>
      </c>
      <c r="M63" s="24">
        <f ca="1">ROUND(L63,1)</f>
        <v>55.5</v>
      </c>
      <c r="Z63" s="2424"/>
      <c r="AI63" s="2425"/>
    </row>
    <row r="64" spans="1:35" ht="14.25" customHeight="1">
      <c r="A64" s="197" t="s">
        <v>770</v>
      </c>
      <c r="B64" s="198" t="s">
        <v>2243</v>
      </c>
      <c r="C64" s="199">
        <f ca="1">D45</f>
        <v>11104</v>
      </c>
      <c r="D64" s="200" t="s">
        <v>32</v>
      </c>
      <c r="E64" s="201"/>
      <c r="F64" s="2490"/>
      <c r="G64" s="2490"/>
      <c r="H64" s="2498"/>
      <c r="I64" s="138"/>
      <c r="J64" s="3167"/>
      <c r="K64" s="2500" t="s">
        <v>2244</v>
      </c>
      <c r="L64" s="1749">
        <f ca="1">IF(M49&gt;2000,M49*0.5%,IF(AND(M49&gt;1000,M49&lt;=2000),M49*0.6%,IF(AND(M49&gt;500,M49&lt;=1000),M49*0.7%,IF(AND(M49&gt;200,M49&lt;=500),M49*0.8%,IF(AND(M49&gt;100,M49&lt;=200),M49*0.9%,IF(AND(M49&gt;50,M49&lt;=100),M49*1%,IF(AND(M49&gt;20,M49&lt;=50),M49*1.5%,IF(AND(M49&gt;10,M49&lt;=20),M49*2%,IF(AND(M49&gt;1,M49&lt;=10),M49*2.5%)))))))))</f>
        <v>55.52</v>
      </c>
      <c r="M64" s="24">
        <f t="shared" ref="M64:M65" ca="1" si="1">ROUND(L64,1)</f>
        <v>55.5</v>
      </c>
      <c r="N64" s="138" t="s">
        <v>2245</v>
      </c>
      <c r="Z64" s="2424"/>
      <c r="AI64" s="2425"/>
    </row>
    <row r="65" spans="1:35" ht="14.25" customHeight="1">
      <c r="A65" s="197" t="s">
        <v>771</v>
      </c>
      <c r="B65" s="198" t="s">
        <v>2246</v>
      </c>
      <c r="C65" s="202"/>
      <c r="D65" s="200"/>
      <c r="E65" s="201"/>
      <c r="F65" s="2490"/>
      <c r="G65" s="2490"/>
      <c r="H65" s="2498"/>
      <c r="I65" s="138"/>
      <c r="J65" s="3167"/>
      <c r="K65" s="2500" t="s">
        <v>2247</v>
      </c>
      <c r="L65" s="1749">
        <f ca="1">IF(M49&gt;1000,M49*0.1%,IF(AND(M49&gt;500,M49&lt;=1000),M49*0.5%,IF(AND(M49&gt;50,M49&lt;=500),M49*1%,IF(AND(M49&gt;1,M49&lt;=50),M49*1.5%))))</f>
        <v>11.104000000000001</v>
      </c>
      <c r="M65" s="24">
        <f t="shared" ca="1" si="1"/>
        <v>11.1</v>
      </c>
      <c r="N65" s="138" t="s">
        <v>2245</v>
      </c>
      <c r="Z65" s="2424"/>
      <c r="AI65" s="2425"/>
    </row>
    <row r="66" spans="1:35" ht="14.25" customHeight="1">
      <c r="A66" s="203" t="s">
        <v>772</v>
      </c>
      <c r="B66" s="204" t="s">
        <v>2248</v>
      </c>
      <c r="C66" s="205"/>
      <c r="D66" s="206" t="s">
        <v>32</v>
      </c>
      <c r="E66" s="1773" t="s">
        <v>1367</v>
      </c>
      <c r="F66" s="2490"/>
      <c r="G66" s="2490"/>
      <c r="H66" s="2498"/>
      <c r="I66" s="138"/>
      <c r="J66" s="3167"/>
      <c r="K66" s="2500" t="s">
        <v>2249</v>
      </c>
      <c r="L66" s="1749">
        <f ca="1">M49*0.5%</f>
        <v>55.52</v>
      </c>
      <c r="M66" s="24">
        <f ca="1">IF(L66&gt;0.5,0.5,ROUND(L66,0))</f>
        <v>0.5</v>
      </c>
      <c r="N66" s="138" t="s">
        <v>2250</v>
      </c>
      <c r="Z66" s="2424"/>
      <c r="AI66" s="2425"/>
    </row>
    <row r="67" spans="1:35" ht="14.25" customHeight="1">
      <c r="A67" s="203" t="s">
        <v>773</v>
      </c>
      <c r="B67" s="204" t="s">
        <v>2251</v>
      </c>
      <c r="C67" s="207">
        <f ca="1">C63-C66</f>
        <v>10575</v>
      </c>
      <c r="D67" s="200" t="s">
        <v>32</v>
      </c>
      <c r="E67" s="201"/>
      <c r="F67" s="2490"/>
      <c r="G67" s="2490"/>
      <c r="H67" s="2498"/>
      <c r="I67" s="138"/>
      <c r="J67" s="3167"/>
      <c r="K67" s="2500" t="s">
        <v>2252</v>
      </c>
      <c r="L67" s="1749">
        <f ca="1">IF(M49&gt;=10000,(8.25+(M49-10000)*0.01%),IF(AND(M49&gt;=8000,M49&lt;10000),(7.85+(M49-8000)*0.02%),IF(AND(M49&gt;=5000,M49&lt;8000),(6.65+(M49-5000)*0.04%),IF(AND(M49&gt;=2000,M49&lt;5000),(4.25+(PM49-2000)*0.08%),IF(AND(M49&gt;=1000,M49&lt;2000),(2.75+(M49-1000)*0.15%),IF(AND(M49&gt;=100,M49&lt;1000),(0.5+(M49-100)*0.25%),IF(AND(M49&gt;0,M49&lt;100),M49*0.5%)))))))</f>
        <v>8.3604000000000003</v>
      </c>
      <c r="M67" s="24">
        <f ca="1">ROUND(L67*0.9,1)</f>
        <v>7.5</v>
      </c>
      <c r="Z67" s="2424"/>
      <c r="AI67" s="2425"/>
    </row>
    <row r="68" spans="1:35" ht="14.25" customHeight="1" thickBot="1">
      <c r="A68" s="208" t="s">
        <v>774</v>
      </c>
      <c r="B68" s="209" t="s">
        <v>2253</v>
      </c>
      <c r="C68" s="210">
        <f ca="1">IF(C67&lt;=0,0,ROUND(C67*D68,0))</f>
        <v>592</v>
      </c>
      <c r="D68" s="211">
        <f>'数据-取费表'!B41</f>
        <v>5.6000000000000001E-2</v>
      </c>
      <c r="E68" s="212"/>
      <c r="F68" s="2490"/>
      <c r="G68" s="2490"/>
      <c r="H68" s="2498"/>
      <c r="I68" s="138"/>
      <c r="J68" s="3167"/>
      <c r="K68" s="2500" t="s">
        <v>2254</v>
      </c>
      <c r="L68" s="1749">
        <f ca="1">IF(M49&gt;10000,M49*0.5%,IF(AND(M49&gt;5000,M49&lt;=10000),M49*1%,IF(AND(M49&gt;1000,M49&lt;=5000),M49*2%,IF(AND(M49&gt;200,M49&lt;=1000),M49*3%,M49*5%))))</f>
        <v>55.52</v>
      </c>
      <c r="M68" s="24">
        <f ca="1">ROUND(L68,1)</f>
        <v>55.5</v>
      </c>
      <c r="Z68" s="2424"/>
      <c r="AI68" s="2425"/>
    </row>
    <row r="69" spans="1:35" s="2447" customFormat="1" ht="16.5" customHeight="1">
      <c r="A69" s="2501"/>
      <c r="B69" s="2502"/>
      <c r="C69" s="2503"/>
      <c r="D69" s="2504"/>
      <c r="E69" s="2505"/>
      <c r="F69" s="2166"/>
      <c r="G69" s="2166"/>
      <c r="H69" s="2165"/>
      <c r="I69" s="2419"/>
      <c r="J69" s="3167"/>
      <c r="K69" s="2500" t="s">
        <v>2255</v>
      </c>
      <c r="L69" s="2506"/>
      <c r="M69" s="24">
        <f ca="1">ROUND(SUM(M63:M68),0)</f>
        <v>186</v>
      </c>
      <c r="N69" s="1750">
        <f ca="1">M69/M49</f>
        <v>1.67507204610951E-2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6" t="s">
        <v>2256</v>
      </c>
      <c r="B70" s="3127"/>
      <c r="C70" s="3127"/>
      <c r="D70" s="3127"/>
      <c r="E70" s="3127"/>
      <c r="F70" s="3127"/>
      <c r="G70" s="3127"/>
      <c r="H70" s="312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5" t="s">
        <v>2237</v>
      </c>
      <c r="B71" s="3106"/>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10575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63</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100" t="s">
        <v>2265</v>
      </c>
      <c r="F76" s="3077"/>
      <c r="G76" s="3077"/>
      <c r="H76" s="312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63</v>
      </c>
      <c r="D78" s="226">
        <f>'数据-取费表'!B43</f>
        <v>6.000000000000001E-3</v>
      </c>
      <c r="E78" s="3086" t="s">
        <v>2270</v>
      </c>
      <c r="F78" s="3087"/>
      <c r="G78" s="3087"/>
      <c r="H78" s="309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10512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166.85714285714286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6285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6" t="s">
        <v>2274</v>
      </c>
      <c r="B83" s="3127"/>
      <c r="C83" s="3127"/>
      <c r="D83" s="3127"/>
      <c r="E83" s="3127"/>
      <c r="F83" s="3127"/>
      <c r="G83" s="3127"/>
      <c r="H83" s="312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5" t="s">
        <v>2237</v>
      </c>
      <c r="B84" s="3106"/>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10575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63</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86" t="s">
        <v>2283</v>
      </c>
      <c r="F91" s="3087"/>
      <c r="G91" s="3087"/>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86" t="s">
        <v>2287</v>
      </c>
      <c r="F92" s="3087"/>
      <c r="G92" s="3087"/>
      <c r="H92" s="309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63</v>
      </c>
      <c r="D93" s="226">
        <f>'数据-取费表'!B43</f>
        <v>6.000000000000001E-3</v>
      </c>
      <c r="E93" s="3086" t="s">
        <v>2270</v>
      </c>
      <c r="F93" s="3087"/>
      <c r="G93" s="3087"/>
      <c r="H93" s="309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097" t="s">
        <v>2291</v>
      </c>
      <c r="F94" s="3098"/>
      <c r="G94" s="3098"/>
      <c r="H94" s="309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10512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166.85714285714286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6285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71" t="s">
        <v>2293</v>
      </c>
      <c r="B100" s="3072"/>
      <c r="C100" s="3072"/>
      <c r="D100" s="3088"/>
      <c r="E100" s="3072" t="s">
        <v>2294</v>
      </c>
      <c r="F100" s="3072"/>
      <c r="G100" s="3072"/>
      <c r="H100" s="3088"/>
      <c r="I100" s="138"/>
    </row>
    <row r="101" spans="1:35" ht="18.75" customHeight="1">
      <c r="A101" s="3150" t="s">
        <v>2295</v>
      </c>
      <c r="B101" s="3151"/>
      <c r="C101" s="736" t="str">
        <f>C4</f>
        <v>比较法-住宅</v>
      </c>
      <c r="D101" s="737" t="str">
        <f>D4</f>
        <v>收益法</v>
      </c>
      <c r="E101" s="3164" t="s">
        <v>2296</v>
      </c>
      <c r="F101" s="3118"/>
      <c r="G101" s="2521" t="s">
        <v>2297</v>
      </c>
      <c r="H101" s="1045">
        <f ca="1">H118</f>
        <v>11104</v>
      </c>
      <c r="I101" s="138"/>
    </row>
    <row r="102" spans="1:35" ht="18.75" customHeight="1">
      <c r="A102" s="3120" t="s">
        <v>2298</v>
      </c>
      <c r="B102" s="2521" t="s">
        <v>2297</v>
      </c>
      <c r="C102" s="736">
        <f ca="1">C19</f>
        <v>12616</v>
      </c>
      <c r="D102" s="737">
        <f ca="1">D19</f>
        <v>5058</v>
      </c>
      <c r="E102" s="3164"/>
      <c r="F102" s="3118"/>
      <c r="G102" s="2521" t="s">
        <v>2299</v>
      </c>
      <c r="H102" s="371">
        <f ca="1">I118</f>
        <v>74815</v>
      </c>
      <c r="I102" s="138"/>
    </row>
    <row r="103" spans="1:35" ht="42.75" customHeight="1">
      <c r="A103" s="3120"/>
      <c r="B103" s="2521" t="s">
        <v>2299</v>
      </c>
      <c r="C103" s="738">
        <f ca="1">C20</f>
        <v>85000</v>
      </c>
      <c r="D103" s="739">
        <f ca="1">D20</f>
        <v>34079</v>
      </c>
      <c r="E103" s="3159" t="s">
        <v>2300</v>
      </c>
      <c r="F103" s="3160"/>
      <c r="G103" s="2522" t="s">
        <v>2301</v>
      </c>
      <c r="H103" s="1045">
        <f>IF(D36="正常操作",H104+H105+H106,H105+H106)</f>
        <v>0</v>
      </c>
      <c r="I103" s="138"/>
    </row>
    <row r="104" spans="1:35" ht="18.75" customHeight="1">
      <c r="A104" s="3120" t="s">
        <v>2302</v>
      </c>
      <c r="B104" s="2523" t="s">
        <v>2297</v>
      </c>
      <c r="C104" s="740">
        <f ca="1">H118</f>
        <v>11104</v>
      </c>
      <c r="D104" s="741"/>
      <c r="E104" s="2267" t="s">
        <v>2303</v>
      </c>
      <c r="F104" s="2258"/>
      <c r="G104" s="2522" t="s">
        <v>2301</v>
      </c>
      <c r="H104" s="1046">
        <f>IF(D36="同一抵押权人同一抵押物续贷",C36&amp;"（未扣减，详见特别提示）",C36)</f>
        <v>0</v>
      </c>
      <c r="I104" s="138"/>
    </row>
    <row r="105" spans="1:35" ht="18.75" customHeight="1" thickBot="1">
      <c r="A105" s="3121"/>
      <c r="B105" s="2524" t="s">
        <v>2299</v>
      </c>
      <c r="C105" s="742">
        <f ca="1">I118</f>
        <v>74815</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117" t="str">
        <f>IF(项目基本情况!E8="已注销","——","3.房地产抵押价值")</f>
        <v>3.房地产抵押价值</v>
      </c>
      <c r="F107" s="3118"/>
      <c r="G107" s="2521" t="s">
        <v>2297</v>
      </c>
      <c r="H107" s="1045">
        <f ca="1">IF(E107="——","——",H101-H103)</f>
        <v>11104</v>
      </c>
      <c r="I107" s="138"/>
    </row>
    <row r="108" spans="1:35" ht="18.75" customHeight="1">
      <c r="A108" s="138"/>
      <c r="B108" s="138"/>
      <c r="C108" s="138"/>
      <c r="D108" s="138"/>
      <c r="E108" s="3117"/>
      <c r="F108" s="3118"/>
      <c r="G108" s="2521" t="s">
        <v>2299</v>
      </c>
      <c r="H108" s="371">
        <f ca="1">ROUND(H107*10000/'数据-汇总表'!E3,0)</f>
        <v>74815</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21" t="s">
        <v>2297</v>
      </c>
      <c r="H109" s="348" t="str">
        <f>IF(E109="——","——",H101-H105-H106)</f>
        <v>——</v>
      </c>
      <c r="I109" s="138"/>
    </row>
    <row r="110" spans="1:35" ht="18.75" customHeight="1">
      <c r="A110" s="138"/>
      <c r="B110" s="138"/>
      <c r="C110" s="138"/>
      <c r="D110" s="138"/>
      <c r="E110" s="3117"/>
      <c r="F110" s="3118"/>
      <c r="G110" s="2521" t="s">
        <v>2299</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21" t="s">
        <v>2297</v>
      </c>
      <c r="H111" s="1045" t="str">
        <f>IF(E111="——","——",N59)</f>
        <v>——</v>
      </c>
      <c r="I111" s="138"/>
    </row>
    <row r="112" spans="1:35" ht="18.75" customHeight="1" thickBot="1">
      <c r="A112" s="138"/>
      <c r="B112" s="138"/>
      <c r="C112" s="138"/>
      <c r="D112" s="138"/>
      <c r="E112" s="3154"/>
      <c r="F112" s="3155"/>
      <c r="G112" s="2526" t="s">
        <v>2299</v>
      </c>
      <c r="H112" s="790" t="str">
        <f>IF(E111="——","——",N61)</f>
        <v>——</v>
      </c>
      <c r="I112" s="138"/>
    </row>
    <row r="113" spans="1:11" ht="18.75" customHeight="1">
      <c r="A113" s="138"/>
      <c r="B113" s="138"/>
      <c r="C113" s="138"/>
      <c r="D113" s="138"/>
      <c r="E113" s="3122" t="s">
        <v>2305</v>
      </c>
      <c r="F113" s="3122"/>
      <c r="G113" s="3122"/>
      <c r="H113" s="3122"/>
      <c r="I113" s="138"/>
    </row>
    <row r="114" spans="1:11" ht="3.75" customHeight="1">
      <c r="A114" s="2419"/>
      <c r="B114" s="2419"/>
      <c r="C114" s="2419"/>
      <c r="D114" s="2419"/>
      <c r="E114" s="2497"/>
      <c r="F114" s="2497"/>
      <c r="G114" s="2497"/>
      <c r="H114" s="2497"/>
      <c r="I114" s="2419"/>
    </row>
    <row r="115" spans="1:11" ht="18.75" customHeight="1">
      <c r="A115" s="3135" t="s">
        <v>2307</v>
      </c>
      <c r="B115" s="3136"/>
      <c r="C115" s="3136"/>
      <c r="D115" s="3136"/>
      <c r="E115" s="3136"/>
      <c r="F115" s="3136"/>
      <c r="G115" s="3136"/>
      <c r="H115" s="3136"/>
      <c r="I115" s="3137"/>
    </row>
    <row r="116" spans="1:11" ht="27" customHeight="1">
      <c r="A116" s="3017" t="s">
        <v>2308</v>
      </c>
      <c r="B116" s="3123" t="s">
        <v>2309</v>
      </c>
      <c r="C116" s="3123" t="s">
        <v>2310</v>
      </c>
      <c r="D116" s="3139" t="s">
        <v>2311</v>
      </c>
      <c r="E116" s="3140"/>
      <c r="F116" s="3131" t="s">
        <v>2312</v>
      </c>
      <c r="G116" s="3131"/>
      <c r="H116" s="3017" t="s">
        <v>2313</v>
      </c>
      <c r="I116" s="3017"/>
    </row>
    <row r="117" spans="1:11" ht="18.75" customHeight="1">
      <c r="A117" s="3017"/>
      <c r="B117" s="3124"/>
      <c r="C117" s="3124"/>
      <c r="D117" s="1795" t="s">
        <v>2314</v>
      </c>
      <c r="E117" s="1795" t="s">
        <v>2315</v>
      </c>
      <c r="F117" s="1795" t="s">
        <v>2314</v>
      </c>
      <c r="G117" s="1795" t="s">
        <v>2316</v>
      </c>
      <c r="H117" s="1795" t="s">
        <v>2314</v>
      </c>
      <c r="I117" s="1795" t="s">
        <v>2316</v>
      </c>
    </row>
    <row r="118" spans="1:11" ht="24.75" customHeight="1">
      <c r="A118" s="2527" t="str">
        <f>项目基本情况!S2</f>
        <v>北京市海淀区联慧路101号房地产</v>
      </c>
      <c r="B118" s="1795">
        <f>M18</f>
        <v>1484.1999999999998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11104</v>
      </c>
      <c r="I118" s="1795">
        <f ca="1">ROUND(IF(D32="楼面单价",C32,H118*10000/B118),0)</f>
        <v>74815</v>
      </c>
    </row>
    <row r="119" spans="1:11" ht="18.75" customHeight="1">
      <c r="A119" s="3017" t="s">
        <v>2317</v>
      </c>
      <c r="B119" s="3017"/>
      <c r="C119" s="3017"/>
      <c r="D119" s="3128" t="e">
        <f ca="1">NUMBERSTRING(INT(D118*10000),2)&amp;"元整"</f>
        <v>#REF!</v>
      </c>
      <c r="E119" s="3130"/>
      <c r="F119" s="3128" t="e">
        <f ca="1">NUMBERSTRING(INT(F118*10000),2)&amp;"元整"</f>
        <v>#REF!</v>
      </c>
      <c r="G119" s="3130"/>
      <c r="H119" s="3128" t="str">
        <f ca="1">NUMBERSTRING(INT(H118*10000),2)&amp;"元整"</f>
        <v>壹亿壹仟壹佰零肆万元整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4" t="str">
        <f>IF(D120=0,"故，本次评估不存在"&amp;A120,"故，本次评估"&amp;A120&amp;"为人民币"&amp;D120&amp;"万元整。")</f>
        <v>故，本次评估不存在估价师知悉的法定优先受偿款</v>
      </c>
    </row>
    <row r="121" spans="1:11" ht="18.75" customHeight="1">
      <c r="A121" s="3132" t="s">
        <v>2317</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11104</v>
      </c>
      <c r="E122" s="3157"/>
      <c r="F122" s="3157"/>
      <c r="G122" s="3157"/>
      <c r="H122" s="3157"/>
      <c r="I122" s="3158"/>
    </row>
    <row r="123" spans="1:11" ht="18.75" customHeight="1">
      <c r="A123" s="3017" t="s">
        <v>2317</v>
      </c>
      <c r="B123" s="3017"/>
      <c r="C123" s="3017"/>
      <c r="D123" s="3128" t="str">
        <f ca="1">NUMBERSTRING(INT(D122*10000),2)&amp;"元整"</f>
        <v>壹亿壹仟壹佰零肆万元整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17" t="s">
        <v>2317</v>
      </c>
      <c r="B125" s="3017"/>
      <c r="C125" s="3017"/>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17" t="s">
        <v>2317</v>
      </c>
      <c r="B127" s="3017"/>
      <c r="C127" s="3017"/>
      <c r="D127" s="3128" t="e">
        <f>NUMBERSTRING(INT(D126*10000),2)&amp;"元整"</f>
        <v>#VALUE!</v>
      </c>
      <c r="E127" s="3129"/>
      <c r="F127" s="3129"/>
      <c r="G127" s="3129"/>
      <c r="H127" s="3129"/>
      <c r="I127" s="3130"/>
    </row>
    <row r="128" spans="1:11" ht="21.75" customHeight="1">
      <c r="A128" s="3138" t="s">
        <v>2318</v>
      </c>
      <c r="B128" s="3138"/>
      <c r="C128" s="3138"/>
      <c r="D128" s="3138"/>
      <c r="E128" s="3138"/>
      <c r="F128" s="3138"/>
      <c r="G128" s="3138"/>
      <c r="H128" s="3138"/>
      <c r="I128" s="3138"/>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北京市海淀区联慧路101号房地产抵押价值预评估</v>
      </c>
      <c r="C37" s="2973"/>
      <c r="D37" s="2973"/>
      <c r="E37" s="2973"/>
      <c r="F37" s="2973"/>
      <c r="G37" s="2973"/>
      <c r="H37" s="2973"/>
      <c r="I37" s="297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789</v>
      </c>
      <c r="C2" s="243" t="s">
        <v>2328</v>
      </c>
      <c r="D2" s="2550" t="s">
        <v>70</v>
      </c>
      <c r="E2" s="1440"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5316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200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200</v>
      </c>
      <c r="D8" s="266"/>
      <c r="E8" s="264"/>
      <c r="F8" s="265"/>
      <c r="G8" s="2553"/>
    </row>
    <row r="9" spans="1:9" s="258" customFormat="1" ht="13.5" customHeight="1">
      <c r="A9" s="950" t="s">
        <v>800</v>
      </c>
      <c r="B9" s="268" t="s">
        <v>2343</v>
      </c>
      <c r="C9" s="269">
        <f ca="1">ROUND(D9*E9/10000,0)</f>
        <v>24</v>
      </c>
      <c r="D9" s="1032">
        <f ca="1">IF(B1="",'数据-汇总表'!E5,IF(INDIRECT("'数据-取费表'!c"&amp;$G$1)="住宅",INDIRECT("'数据-取费表'!k"&amp;$G$1),0))</f>
        <v>1484.1999999999998</v>
      </c>
      <c r="E9" s="269">
        <f>'数据-取费表'!B27</f>
        <v>160</v>
      </c>
      <c r="F9" s="265"/>
      <c r="G9" s="2554"/>
      <c r="H9" s="1390"/>
      <c r="I9" s="2555"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30</v>
      </c>
      <c r="D19" s="1036">
        <f ca="1">D9+D10</f>
        <v>1484.1999999999998</v>
      </c>
      <c r="E19" s="255">
        <f>'数据-取费表'!B31</f>
        <v>200</v>
      </c>
      <c r="F19" s="275"/>
      <c r="G19" s="2553"/>
    </row>
    <row r="20" spans="1:7" s="258" customFormat="1" ht="13.5" customHeight="1">
      <c r="A20" s="299" t="s">
        <v>2358</v>
      </c>
      <c r="B20" s="254" t="s">
        <v>2359</v>
      </c>
      <c r="C20" s="276">
        <f ca="1">ROUND((C5+C19)*F20,0)</f>
        <v>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22</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19</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35</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35</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316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476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416</v>
      </c>
      <c r="D34" s="261"/>
      <c r="E34" s="264"/>
      <c r="F34" s="301">
        <f ca="1">IF('数据-取费表'!B24=0,1,IF(B1="",'数据-取费表'!N16,INDIRECT("'数据-取费表'!n"&amp;$G$1)))</f>
        <v>1</v>
      </c>
      <c r="G34" s="263" t="s">
        <v>2391</v>
      </c>
    </row>
    <row r="35" spans="1:7" ht="13.5" customHeight="1">
      <c r="A35" s="951" t="s">
        <v>796</v>
      </c>
      <c r="B35" s="259" t="s">
        <v>2392</v>
      </c>
      <c r="C35" s="264">
        <f ca="1">ROUND(C34*F35,0)</f>
        <v>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12</v>
      </c>
      <c r="D36" s="264"/>
      <c r="E36" s="264"/>
      <c r="F36" s="303">
        <f>'数据-取费表'!B34</f>
        <v>0.03</v>
      </c>
      <c r="G36" s="304" t="s">
        <v>2395</v>
      </c>
    </row>
    <row r="37" spans="1:7" s="302" customFormat="1" ht="13.5" customHeight="1">
      <c r="A37" s="951" t="s">
        <v>798</v>
      </c>
      <c r="B37" s="259" t="s">
        <v>2396</v>
      </c>
      <c r="C37" s="293">
        <f ca="1">ROUND(E37*D37*F34/10000,0)</f>
        <v>30</v>
      </c>
      <c r="D37" s="261">
        <f ca="1">D19</f>
        <v>1484.1999999999998</v>
      </c>
      <c r="E37" s="293">
        <f>'数据-取费表'!B35</f>
        <v>200</v>
      </c>
      <c r="F37" s="303"/>
      <c r="G37" s="305" t="s">
        <v>2397</v>
      </c>
    </row>
    <row r="38" spans="1:7" ht="13.5" customHeight="1">
      <c r="A38" s="951" t="s">
        <v>799</v>
      </c>
      <c r="B38" s="259" t="s">
        <v>2398</v>
      </c>
      <c r="C38" s="264">
        <f ca="1">ROUND(C34*F38,0)</f>
        <v>6</v>
      </c>
      <c r="D38" s="264"/>
      <c r="E38" s="264"/>
      <c r="F38" s="303">
        <f>'数据-取费表'!B36</f>
        <v>1.4999999999999999E-2</v>
      </c>
      <c r="G38" s="263" t="s">
        <v>2393</v>
      </c>
    </row>
    <row r="39" spans="1:7" s="258" customFormat="1" ht="13.5" customHeight="1">
      <c r="A39" s="299" t="s">
        <v>2399</v>
      </c>
      <c r="B39" s="254" t="s">
        <v>2400</v>
      </c>
      <c r="C39" s="276">
        <f ca="1">ROUND(C33*F20,0)</f>
        <v>10</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23</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23</v>
      </c>
      <c r="D42" s="282"/>
      <c r="E42" s="282"/>
      <c r="F42" s="283"/>
      <c r="G42" s="3170" t="s">
        <v>2409</v>
      </c>
    </row>
    <row r="43" spans="1:7" ht="13.5" customHeight="1">
      <c r="A43" s="951" t="s">
        <v>792</v>
      </c>
      <c r="B43" s="259" t="s">
        <v>2410</v>
      </c>
      <c r="C43" s="282">
        <f ca="1">ROUND(IF('数据-取费表'!B22&lt;=1,C39*F22*'数据-取费表'!B21/2,C39*(POWER((1+F22),'数据-取费表'!B21/2)-1)),0)</f>
        <v>0</v>
      </c>
      <c r="D43" s="282"/>
      <c r="E43" s="282"/>
      <c r="F43" s="283"/>
      <c r="G43" s="3171"/>
    </row>
    <row r="44" spans="1:7" ht="13.5" customHeight="1">
      <c r="A44" s="951" t="s">
        <v>793</v>
      </c>
      <c r="B44" s="259" t="s">
        <v>2411</v>
      </c>
      <c r="C44" s="282">
        <f ca="1">ROUND(IF('数据-取费表'!B22&lt;=1,C40*F22*'数据-取费表'!B21/2,C40*(POWER((1+F22),'数据-取费表'!B21/2)-1)),4)</f>
        <v>1E-3</v>
      </c>
      <c r="D44" s="282"/>
      <c r="E44" s="282"/>
      <c r="F44" s="283"/>
      <c r="G44" s="3172"/>
    </row>
    <row r="45" spans="1:7" s="258" customFormat="1" ht="13.5" customHeight="1">
      <c r="A45" s="299" t="s">
        <v>2412</v>
      </c>
      <c r="B45" s="288" t="s">
        <v>2378</v>
      </c>
      <c r="C45" s="289">
        <f ca="1">C46</f>
        <v>73</v>
      </c>
      <c r="D45" s="279">
        <f ca="1">C47</f>
        <v>3.0000000000000001E-3</v>
      </c>
      <c r="E45" s="280" t="s">
        <v>2404</v>
      </c>
      <c r="F45" s="290"/>
      <c r="G45" s="291" t="s">
        <v>2413</v>
      </c>
    </row>
    <row r="46" spans="1:7" s="258" customFormat="1" ht="13.5" customHeight="1">
      <c r="A46" s="951" t="s">
        <v>791</v>
      </c>
      <c r="B46" s="292" t="s">
        <v>2414</v>
      </c>
      <c r="C46" s="293">
        <f ca="1">ROUND((C33+C39)*F27,0)</f>
        <v>73</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631</v>
      </c>
      <c r="D49" s="276"/>
      <c r="E49" s="276"/>
      <c r="F49" s="308"/>
      <c r="G49" s="278" t="s">
        <v>2419</v>
      </c>
    </row>
    <row r="50" spans="1:7" s="302" customFormat="1" ht="24">
      <c r="A50" s="299" t="s">
        <v>2420</v>
      </c>
      <c r="B50" s="254" t="s">
        <v>2421</v>
      </c>
      <c r="C50" s="276"/>
      <c r="D50" s="276"/>
      <c r="E50" s="276"/>
      <c r="F50" s="308">
        <f>IF('数据-取费表'!B24=0,'数据-取费表'!N16,1)</f>
        <v>0.75</v>
      </c>
      <c r="G50" s="291" t="s">
        <v>2422</v>
      </c>
    </row>
    <row r="51" spans="1:7" ht="16.5" customHeight="1">
      <c r="A51" s="299" t="s">
        <v>2423</v>
      </c>
      <c r="B51" s="254" t="s">
        <v>2424</v>
      </c>
      <c r="C51" s="276">
        <f ca="1">ROUND(C49*F50,0)</f>
        <v>473</v>
      </c>
      <c r="D51" s="276"/>
      <c r="E51" s="276"/>
      <c r="F51" s="308"/>
      <c r="G51" s="278" t="s">
        <v>2425</v>
      </c>
    </row>
    <row r="52" spans="1:7" s="252" customFormat="1" ht="16.5" thickBot="1">
      <c r="A52" s="309" t="s">
        <v>2426</v>
      </c>
      <c r="B52" s="310"/>
      <c r="C52" s="311">
        <f ca="1">C31+C51</f>
        <v>789</v>
      </c>
      <c r="D52" s="310"/>
      <c r="E52" s="310"/>
      <c r="F52" s="310"/>
      <c r="G52" s="312"/>
    </row>
    <row r="55" spans="1:7" ht="15">
      <c r="B55" s="314" t="s">
        <v>2427</v>
      </c>
      <c r="C55" s="315"/>
    </row>
    <row r="56" spans="1:7">
      <c r="B56" s="317" t="s">
        <v>1508</v>
      </c>
      <c r="C56" s="319">
        <f ca="1">1-C57</f>
        <v>0.40100000000000002</v>
      </c>
    </row>
    <row r="57" spans="1:7">
      <c r="B57" s="317" t="s">
        <v>1509</v>
      </c>
      <c r="C57" s="318">
        <f ca="1">ROUND(C51/C52,3)</f>
        <v>0.59899999999999998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547</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3685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237472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237472</v>
      </c>
      <c r="D8" s="266"/>
      <c r="E8" s="264"/>
      <c r="F8" s="265"/>
      <c r="G8" s="2553"/>
    </row>
    <row r="9" spans="1:8" s="258" customFormat="1" ht="13.5" customHeight="1">
      <c r="A9" s="950" t="s">
        <v>800</v>
      </c>
      <c r="B9" s="268" t="s">
        <v>2343</v>
      </c>
      <c r="C9" s="269">
        <f ca="1">ROUND(D9*E9,0)</f>
        <v>237472</v>
      </c>
      <c r="D9" s="1032">
        <f ca="1">IF(B1="",'数据-汇总表'!E5,IF(INDIRECT("'数据-取费表'!c"&amp;$G$1)="住宅",INDIRECT("'数据-取费表'!k"&amp;$G$1),0))</f>
        <v>1484.1999999999998</v>
      </c>
      <c r="E9" s="269">
        <f>'数据-取费表'!B27</f>
        <v>160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296840</v>
      </c>
      <c r="D19" s="1036">
        <f ca="1">D9+D10</f>
        <v>1484.1999999999998</v>
      </c>
      <c r="E19" s="255">
        <f>'数据-取费表'!B31</f>
        <v>200</v>
      </c>
      <c r="F19" s="275"/>
      <c r="G19" s="2553"/>
    </row>
    <row r="20" spans="1:7" s="258" customFormat="1" ht="13.5" customHeight="1">
      <c r="A20" s="299" t="s">
        <v>2439</v>
      </c>
      <c r="B20" s="254" t="s">
        <v>2440</v>
      </c>
      <c r="C20" s="276">
        <f ca="1">ROUND((C5+C19)*F20,0)</f>
        <v>10686</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52474</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23096</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28870</v>
      </c>
      <c r="D24" s="282"/>
      <c r="E24" s="282"/>
      <c r="F24" s="283"/>
      <c r="G24" s="284" t="s">
        <v>2451</v>
      </c>
    </row>
    <row r="25" spans="1:7" s="258" customFormat="1" ht="24">
      <c r="A25" s="951" t="s">
        <v>2341</v>
      </c>
      <c r="B25" s="259" t="s">
        <v>2452</v>
      </c>
      <c r="C25" s="1381">
        <f ca="1">ROUND(IF('数据-取费表'!B22&lt;=1,C20*F22*'数据-取费表'!B22/2,C20*(POWER((1+F22),'数据-取费表'!B22/2)-1)),0)</f>
        <v>508</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81750</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81750</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736124</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4764282</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4155760</v>
      </c>
      <c r="D34" s="261"/>
      <c r="E34" s="264"/>
      <c r="F34" s="301"/>
      <c r="G34" s="263"/>
    </row>
    <row r="35" spans="1:7" ht="13.5" customHeight="1">
      <c r="A35" s="951" t="s">
        <v>796</v>
      </c>
      <c r="B35" s="259" t="s">
        <v>2392</v>
      </c>
      <c r="C35" s="264">
        <f ca="1">ROUND(C34*F35,0)</f>
        <v>124673</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124673</v>
      </c>
      <c r="D36" s="264"/>
      <c r="E36" s="264"/>
      <c r="F36" s="303">
        <f>'数据-取费表'!B34</f>
        <v>0.03</v>
      </c>
      <c r="G36" s="304" t="s">
        <v>2395</v>
      </c>
    </row>
    <row r="37" spans="1:7" s="302" customFormat="1" ht="13.5" customHeight="1">
      <c r="A37" s="951" t="s">
        <v>798</v>
      </c>
      <c r="B37" s="259" t="s">
        <v>2396</v>
      </c>
      <c r="C37" s="293">
        <f ca="1">ROUND(E37*D37,0)</f>
        <v>296840</v>
      </c>
      <c r="D37" s="261">
        <f ca="1">D19</f>
        <v>1484.1999999999998</v>
      </c>
      <c r="E37" s="293">
        <f>'数据-取费表'!B35</f>
        <v>200</v>
      </c>
      <c r="F37" s="303"/>
      <c r="G37" s="305"/>
    </row>
    <row r="38" spans="1:7" ht="13.5" customHeight="1">
      <c r="A38" s="951" t="s">
        <v>799</v>
      </c>
      <c r="B38" s="259" t="s">
        <v>2398</v>
      </c>
      <c r="C38" s="264">
        <f ca="1">ROUND(C34*F38,0)</f>
        <v>62336</v>
      </c>
      <c r="D38" s="264"/>
      <c r="E38" s="264"/>
      <c r="F38" s="303">
        <f>'数据-取费表'!B36</f>
        <v>1.4999999999999999E-2</v>
      </c>
      <c r="G38" s="263" t="s">
        <v>2393</v>
      </c>
    </row>
    <row r="39" spans="1:7" s="258" customFormat="1" ht="13.5" customHeight="1">
      <c r="A39" s="299" t="s">
        <v>2399</v>
      </c>
      <c r="B39" s="254" t="s">
        <v>2400</v>
      </c>
      <c r="C39" s="276">
        <f ca="1">ROUND(C33*F20,0)</f>
        <v>95286</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230829</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226303</v>
      </c>
      <c r="D42" s="282"/>
      <c r="E42" s="282"/>
      <c r="F42" s="283"/>
      <c r="G42" s="3170" t="s">
        <v>2456</v>
      </c>
    </row>
    <row r="43" spans="1:7" ht="13.5" customHeight="1">
      <c r="A43" s="951" t="s">
        <v>792</v>
      </c>
      <c r="B43" s="259" t="s">
        <v>2410</v>
      </c>
      <c r="C43" s="282">
        <f ca="1">ROUND(IF('数据-取费表'!B22&lt;=1,C39*F22*'数据-取费表'!B20/2,C39*(POWER((1+F22),'数据-取费表'!B20/2)-1)),0)</f>
        <v>4526</v>
      </c>
      <c r="D43" s="282"/>
      <c r="E43" s="282"/>
      <c r="F43" s="283"/>
      <c r="G43" s="3171"/>
    </row>
    <row r="44" spans="1:7" ht="13.5" customHeight="1">
      <c r="A44" s="951" t="s">
        <v>793</v>
      </c>
      <c r="B44" s="259" t="s">
        <v>2411</v>
      </c>
      <c r="C44" s="282">
        <f ca="1">ROUND(IF('数据-取费表'!B22&lt;=1,C40*F22*'数据-取费表'!B20/2,C40*(POWER((1+F22),'数据-取费表'!B20/2)-1)),4)</f>
        <v>1E-3</v>
      </c>
      <c r="D44" s="282"/>
      <c r="E44" s="282"/>
      <c r="F44" s="283"/>
      <c r="G44" s="3172"/>
    </row>
    <row r="45" spans="1:7" s="258" customFormat="1" ht="13.5" customHeight="1">
      <c r="A45" s="299" t="s">
        <v>2412</v>
      </c>
      <c r="B45" s="288" t="s">
        <v>2378</v>
      </c>
      <c r="C45" s="289">
        <f ca="1">C46</f>
        <v>728935</v>
      </c>
      <c r="D45" s="279">
        <f ca="1">C47</f>
        <v>3.0000000000000001E-3</v>
      </c>
      <c r="E45" s="280" t="s">
        <v>2404</v>
      </c>
      <c r="F45" s="290"/>
      <c r="G45" s="291" t="s">
        <v>2413</v>
      </c>
    </row>
    <row r="46" spans="1:7" s="258" customFormat="1" ht="13.5" customHeight="1">
      <c r="A46" s="951" t="s">
        <v>791</v>
      </c>
      <c r="B46" s="292" t="s">
        <v>2414</v>
      </c>
      <c r="C46" s="293">
        <f ca="1">ROUND((C33+C39)*F27,0)</f>
        <v>728935</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6306852</v>
      </c>
      <c r="D49" s="276"/>
      <c r="E49" s="276"/>
      <c r="F49" s="308"/>
      <c r="G49" s="278" t="s">
        <v>2419</v>
      </c>
    </row>
    <row r="50" spans="1:7" s="302" customFormat="1">
      <c r="A50" s="299" t="s">
        <v>2420</v>
      </c>
      <c r="B50" s="254" t="s">
        <v>2421</v>
      </c>
      <c r="C50" s="276"/>
      <c r="D50" s="276"/>
      <c r="E50" s="276"/>
      <c r="F50" s="308">
        <f>IF('数据-取费表'!B24=0,'数据-取费表'!N16,1)</f>
        <v>0.75</v>
      </c>
      <c r="G50" s="291"/>
    </row>
    <row r="51" spans="1:7" ht="16.5" customHeight="1">
      <c r="A51" s="299" t="s">
        <v>2423</v>
      </c>
      <c r="B51" s="254" t="s">
        <v>2458</v>
      </c>
      <c r="C51" s="276">
        <f ca="1">ROUND(C49*F50,0)</f>
        <v>4730139</v>
      </c>
      <c r="D51" s="276"/>
      <c r="E51" s="276"/>
      <c r="F51" s="308"/>
      <c r="G51" s="278" t="s">
        <v>2425</v>
      </c>
    </row>
    <row r="52" spans="1:7" s="252" customFormat="1" ht="16.5" thickBot="1">
      <c r="A52" s="309" t="s">
        <v>2426</v>
      </c>
      <c r="B52" s="310"/>
      <c r="C52" s="311">
        <f ca="1">C31+C51</f>
        <v>5466263</v>
      </c>
      <c r="D52" s="310"/>
      <c r="E52" s="310"/>
      <c r="F52" s="310"/>
      <c r="G52" s="312"/>
    </row>
    <row r="55" spans="1:7" ht="15">
      <c r="B55" s="314" t="s">
        <v>2427</v>
      </c>
      <c r="C55" s="315"/>
    </row>
    <row r="56" spans="1:7">
      <c r="B56" s="317" t="s">
        <v>1508</v>
      </c>
      <c r="C56" s="319">
        <f ca="1">1-C57</f>
        <v>0.13500000000000001</v>
      </c>
    </row>
    <row r="57" spans="1:7">
      <c r="B57" s="317" t="s">
        <v>1509</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201</v>
      </c>
      <c r="C2" s="320" t="s">
        <v>2460</v>
      </c>
      <c r="D2" s="320"/>
      <c r="E2" s="320"/>
      <c r="F2" s="320"/>
      <c r="G2" s="320"/>
      <c r="H2" s="320"/>
      <c r="I2" s="320"/>
      <c r="J2" s="320"/>
      <c r="K2" s="320"/>
    </row>
    <row r="3" spans="1:33" ht="18" customHeight="1" thickBot="1">
      <c r="A3" s="247" t="s">
        <v>2329</v>
      </c>
      <c r="B3" s="248">
        <f ca="1">ROUND(B2*10000/IF(C1="",'数据-汇总表'!E3,INDIRECT("'数据-取费表'!K"&amp;$K$1)),0)</f>
        <v>1354</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0.03</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1484.1999999999998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1484.1999999999998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-176</v>
      </c>
      <c r="D18" s="1033"/>
      <c r="E18" s="24"/>
      <c r="F18" s="976"/>
      <c r="G18" s="2559"/>
      <c r="H18" s="1577"/>
      <c r="I18" s="2560" t="s">
        <v>2493</v>
      </c>
      <c r="J18" s="979"/>
      <c r="K18" s="980"/>
    </row>
    <row r="19" spans="1:33" s="975" customFormat="1" ht="13.5" customHeight="1">
      <c r="A19" s="971" t="s">
        <v>805</v>
      </c>
      <c r="B19" s="972" t="s">
        <v>2494</v>
      </c>
      <c r="C19" s="24">
        <f ca="1">ROUND(D19*E19/10000,0)</f>
        <v>24</v>
      </c>
      <c r="D19" s="1033">
        <f ca="1">IF(C1="",'数据-汇总表'!E5,IF(INDIRECT("'数据-取费表'!c"&amp;$K$1)="住宅",INDIRECT("'数据-取费表'!k"&amp;$K$1),0))</f>
        <v>1484.1999999999998</v>
      </c>
      <c r="E19" s="24">
        <f>'数据-取费表'!B27</f>
        <v>160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2496</v>
      </c>
      <c r="C21" s="986">
        <f ca="1">C16+C17+C18</f>
        <v>-176</v>
      </c>
      <c r="D21" s="987"/>
      <c r="E21" s="325"/>
      <c r="F21" s="325"/>
      <c r="G21" s="140" t="s">
        <v>2497</v>
      </c>
      <c r="H21" s="979"/>
      <c r="I21" s="979"/>
      <c r="J21" s="979"/>
      <c r="K21" s="980"/>
    </row>
    <row r="22" spans="1:33" s="975" customFormat="1" ht="13.5" customHeight="1">
      <c r="A22" s="961" t="s">
        <v>2469</v>
      </c>
      <c r="B22" s="985" t="s">
        <v>2498</v>
      </c>
      <c r="C22" s="986">
        <f ca="1">ROUND(C21*F22,0)</f>
        <v>-4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-27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-27</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201</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48" sqref="E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t="s">
        <v>3063</v>
      </c>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12616</v>
      </c>
      <c r="C2" s="2589" t="s">
        <v>70</v>
      </c>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f>IF(C2="——",C49,ROUND(B2*10000/D3,0))</f>
        <v>85000</v>
      </c>
      <c r="C3" s="400" t="s">
        <v>2534</v>
      </c>
      <c r="D3" s="399">
        <f>IF(D1="",'数据-汇总表'!E3,SUMIF('数据-汇总表'!$C19:$C33,D1,'数据-汇总表'!$E19:$E33))</f>
        <v>1484.1999999999998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91" t="s">
        <v>2536</v>
      </c>
      <c r="D4" s="3192"/>
      <c r="E4" s="3193" t="s">
        <v>2537</v>
      </c>
      <c r="F4" s="3194"/>
      <c r="G4" s="3191" t="s">
        <v>2538</v>
      </c>
      <c r="H4" s="3192"/>
      <c r="I4" s="3191" t="s">
        <v>2539</v>
      </c>
      <c r="J4" s="3192"/>
      <c r="K4" s="2599" t="s">
        <v>2540</v>
      </c>
      <c r="L4" s="1130"/>
      <c r="M4" s="1131"/>
      <c r="N4" s="1131"/>
      <c r="O4" s="1131"/>
      <c r="P4" s="3195" t="s">
        <v>2541</v>
      </c>
      <c r="Q4" s="3196"/>
      <c r="R4" s="3201" t="s">
        <v>2537</v>
      </c>
      <c r="S4" s="3202"/>
      <c r="T4" s="3201" t="s">
        <v>2538</v>
      </c>
      <c r="U4" s="3202"/>
      <c r="V4" s="3207" t="s">
        <v>2539</v>
      </c>
      <c r="W4" s="3207"/>
      <c r="X4" s="1813"/>
      <c r="Y4" s="3201" t="s">
        <v>2541</v>
      </c>
      <c r="Z4" s="3202"/>
      <c r="AA4" s="3188" t="s">
        <v>2537</v>
      </c>
      <c r="AB4" s="3188" t="s">
        <v>2538</v>
      </c>
      <c r="AC4" s="3188" t="s">
        <v>2539</v>
      </c>
    </row>
    <row r="5" spans="1:29" ht="15">
      <c r="A5" s="404"/>
      <c r="B5" s="405"/>
      <c r="C5" s="3210" t="s">
        <v>2542</v>
      </c>
      <c r="D5" s="3211"/>
      <c r="E5" s="3217" t="s">
        <v>2543</v>
      </c>
      <c r="F5" s="3218"/>
      <c r="G5" s="3210" t="s">
        <v>2544</v>
      </c>
      <c r="H5" s="3211"/>
      <c r="I5" s="3210" t="s">
        <v>2545</v>
      </c>
      <c r="J5" s="3211"/>
      <c r="K5" s="260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260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43713</v>
      </c>
      <c r="D7" s="411">
        <v>100</v>
      </c>
      <c r="E7" s="412">
        <f>C7</f>
        <v>43713</v>
      </c>
      <c r="F7" s="413">
        <f>SUMIF(58:58,YEAR(E7)&amp;"-"&amp;MONTH(E7),59:59)</f>
        <v>100</v>
      </c>
      <c r="G7" s="412">
        <f>C7</f>
        <v>43713</v>
      </c>
      <c r="H7" s="411">
        <f>SUMIF(58:58,YEAR(G7)&amp;"-"&amp;MONTH(G7),59:59)</f>
        <v>100</v>
      </c>
      <c r="I7" s="412">
        <f>C7</f>
        <v>43713</v>
      </c>
      <c r="J7" s="411">
        <f>SUMIF(58:58,YEAR(I7)&amp;"-"&amp;MONTH(I7),59:59)</f>
        <v>100</v>
      </c>
      <c r="K7" s="2601"/>
      <c r="L7" s="1132"/>
      <c r="M7" s="1133"/>
      <c r="N7" s="1133"/>
      <c r="O7" s="1133"/>
      <c r="P7" s="3212" t="s">
        <v>2549</v>
      </c>
      <c r="Q7" s="3214"/>
      <c r="R7" s="770" t="s">
        <v>23</v>
      </c>
      <c r="S7" s="771">
        <f t="shared" ref="S7:S15" si="0">F7</f>
        <v>100</v>
      </c>
      <c r="T7" s="770" t="s">
        <v>23</v>
      </c>
      <c r="U7" s="771">
        <f t="shared" ref="U7:U15" si="1">H7</f>
        <v>100</v>
      </c>
      <c r="V7" s="770" t="s">
        <v>23</v>
      </c>
      <c r="W7" s="771">
        <f t="shared" ref="W7:W15" si="2">J7</f>
        <v>100</v>
      </c>
      <c r="X7" s="772"/>
      <c r="Y7" s="3212" t="s">
        <v>2549</v>
      </c>
      <c r="Z7" s="3213"/>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601"/>
      <c r="L8" s="1132"/>
      <c r="M8" s="1133"/>
      <c r="N8" s="1133"/>
      <c r="O8" s="1133"/>
      <c r="P8" s="3212" t="s">
        <v>2552</v>
      </c>
      <c r="Q8" s="3213"/>
      <c r="R8" s="770" t="s">
        <v>23</v>
      </c>
      <c r="S8" s="771">
        <f t="shared" si="0"/>
        <v>100</v>
      </c>
      <c r="T8" s="770" t="s">
        <v>23</v>
      </c>
      <c r="U8" s="771">
        <f t="shared" si="1"/>
        <v>100</v>
      </c>
      <c r="V8" s="770" t="s">
        <v>23</v>
      </c>
      <c r="W8" s="771">
        <f t="shared" si="2"/>
        <v>100</v>
      </c>
      <c r="X8" s="772"/>
      <c r="Y8" s="3212" t="s">
        <v>2552</v>
      </c>
      <c r="Z8" s="3213"/>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87"/>
      <c r="Q11" s="1795"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5" t="s">
        <v>2560</v>
      </c>
      <c r="Q15" s="1810" t="str">
        <f t="shared" si="6"/>
        <v>居住社区成熟度</v>
      </c>
      <c r="R15" s="774" t="s">
        <v>21</v>
      </c>
      <c r="S15" s="775">
        <f t="shared" si="0"/>
        <v>100</v>
      </c>
      <c r="T15" s="774" t="s">
        <v>21</v>
      </c>
      <c r="U15" s="775">
        <f t="shared" si="1"/>
        <v>100</v>
      </c>
      <c r="V15" s="774" t="s">
        <v>21</v>
      </c>
      <c r="W15" s="775">
        <f t="shared" si="2"/>
        <v>100</v>
      </c>
      <c r="X15" s="1813"/>
      <c r="Y15" s="3178"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6"/>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6"/>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6"/>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6"/>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6"/>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6"/>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6"/>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6"/>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6"/>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80" t="s">
        <v>2565</v>
      </c>
      <c r="Q32" s="1810" t="str">
        <f t="shared" si="11"/>
        <v>建筑类型</v>
      </c>
      <c r="R32" s="774" t="s">
        <v>21</v>
      </c>
      <c r="S32" s="775">
        <f t="shared" si="12"/>
        <v>100</v>
      </c>
      <c r="T32" s="774" t="s">
        <v>21</v>
      </c>
      <c r="U32" s="775">
        <f t="shared" si="13"/>
        <v>100</v>
      </c>
      <c r="V32" s="774" t="s">
        <v>21</v>
      </c>
      <c r="W32" s="775">
        <f t="shared" si="14"/>
        <v>100</v>
      </c>
      <c r="X32" s="1813"/>
      <c r="Y32" s="3183"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3"/>
      <c r="L33" s="1138"/>
      <c r="M33" s="1141"/>
      <c r="N33" s="1141"/>
      <c r="O33" s="1141"/>
      <c r="P33" s="3181"/>
      <c r="Q33" s="776" t="str">
        <f t="shared" si="11"/>
        <v>项目建筑规模</v>
      </c>
      <c r="R33" s="777" t="s">
        <v>21</v>
      </c>
      <c r="S33" s="778">
        <f t="shared" si="12"/>
        <v>100</v>
      </c>
      <c r="T33" s="777" t="s">
        <v>21</v>
      </c>
      <c r="U33" s="778">
        <f t="shared" si="13"/>
        <v>100</v>
      </c>
      <c r="V33" s="777" t="s">
        <v>21</v>
      </c>
      <c r="W33" s="778">
        <f t="shared" si="14"/>
        <v>100</v>
      </c>
      <c r="X33" s="779"/>
      <c r="Y33" s="3183"/>
      <c r="Z33" s="780" t="str">
        <f t="shared" si="18"/>
        <v>项目建筑规模</v>
      </c>
      <c r="AA33" s="1811">
        <f t="shared" si="15"/>
        <v>1</v>
      </c>
      <c r="AB33" s="1811">
        <f t="shared" si="16"/>
        <v>1</v>
      </c>
      <c r="AC33" s="1811">
        <f t="shared" si="17"/>
        <v>1</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81"/>
      <c r="Q34" s="1810" t="str">
        <f t="shared" si="11"/>
        <v>建筑结构</v>
      </c>
      <c r="R34" s="774" t="s">
        <v>21</v>
      </c>
      <c r="S34" s="775">
        <f t="shared" si="12"/>
        <v>100</v>
      </c>
      <c r="T34" s="774" t="s">
        <v>21</v>
      </c>
      <c r="U34" s="775">
        <f t="shared" si="13"/>
        <v>100</v>
      </c>
      <c r="V34" s="774" t="s">
        <v>21</v>
      </c>
      <c r="W34" s="775">
        <f t="shared" si="14"/>
        <v>100</v>
      </c>
      <c r="X34" s="1813"/>
      <c r="Y34" s="3183"/>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81"/>
      <c r="Q35" s="1810" t="str">
        <f t="shared" si="11"/>
        <v>建筑品质</v>
      </c>
      <c r="R35" s="774" t="s">
        <v>21</v>
      </c>
      <c r="S35" s="775">
        <f t="shared" si="12"/>
        <v>100</v>
      </c>
      <c r="T35" s="774" t="s">
        <v>21</v>
      </c>
      <c r="U35" s="775">
        <f t="shared" si="13"/>
        <v>100</v>
      </c>
      <c r="V35" s="774" t="s">
        <v>21</v>
      </c>
      <c r="W35" s="775">
        <f t="shared" si="14"/>
        <v>100</v>
      </c>
      <c r="X35" s="1813"/>
      <c r="Y35" s="3183"/>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81"/>
      <c r="Q36" s="1810" t="str">
        <f t="shared" si="11"/>
        <v>公共部分装修</v>
      </c>
      <c r="R36" s="774" t="s">
        <v>21</v>
      </c>
      <c r="S36" s="775">
        <f t="shared" si="12"/>
        <v>100</v>
      </c>
      <c r="T36" s="774" t="s">
        <v>21</v>
      </c>
      <c r="U36" s="775">
        <f t="shared" si="13"/>
        <v>100</v>
      </c>
      <c r="V36" s="774" t="s">
        <v>21</v>
      </c>
      <c r="W36" s="775">
        <f t="shared" si="14"/>
        <v>100</v>
      </c>
      <c r="X36" s="1813"/>
      <c r="Y36" s="3183"/>
      <c r="Z36" s="1814" t="str">
        <f t="shared" si="18"/>
        <v>公共部分装修</v>
      </c>
      <c r="AA36" s="1811">
        <f t="shared" si="15"/>
        <v>1</v>
      </c>
      <c r="AB36" s="1811">
        <f t="shared" si="16"/>
        <v>1</v>
      </c>
      <c r="AC36" s="1811">
        <f t="shared" si="17"/>
        <v>1</v>
      </c>
    </row>
    <row r="37" spans="1:29" s="117" customFormat="1" ht="15">
      <c r="A37" s="473"/>
      <c r="B37" s="422" t="s">
        <v>2570</v>
      </c>
      <c r="C37" s="474">
        <f>'数据-取费表'!N6</f>
        <v>0.75</v>
      </c>
      <c r="D37" s="136">
        <v>100</v>
      </c>
      <c r="E37" s="474">
        <f>C37</f>
        <v>0.75</v>
      </c>
      <c r="F37" s="425">
        <f>LOOKUP(E37,112:112,113:113)-LOOKUP(C37,112:112,113:113)+100</f>
        <v>100</v>
      </c>
      <c r="G37" s="476">
        <f>C37</f>
        <v>0.75</v>
      </c>
      <c r="H37" s="136">
        <f>LOOKUP(G37,112:112,113:113)-LOOKUP(C37,112:112,113:113)+100</f>
        <v>100</v>
      </c>
      <c r="I37" s="475">
        <f>C37</f>
        <v>0.75</v>
      </c>
      <c r="J37" s="136">
        <f>LOOKUP(I37,112:112,113:113)-LOOKUP(C37,112:112,113:113)+100</f>
        <v>100</v>
      </c>
      <c r="K37" s="426"/>
      <c r="L37" s="1132"/>
      <c r="M37" s="1133"/>
      <c r="N37" s="1133"/>
      <c r="O37" s="1133"/>
      <c r="P37" s="3181"/>
      <c r="Q37" s="1795" t="str">
        <f t="shared" si="11"/>
        <v>成新度</v>
      </c>
      <c r="R37" s="770" t="s">
        <v>21</v>
      </c>
      <c r="S37" s="771">
        <f t="shared" si="12"/>
        <v>100</v>
      </c>
      <c r="T37" s="770" t="s">
        <v>21</v>
      </c>
      <c r="U37" s="771">
        <f t="shared" si="13"/>
        <v>100</v>
      </c>
      <c r="V37" s="770" t="s">
        <v>21</v>
      </c>
      <c r="W37" s="771">
        <f t="shared" si="14"/>
        <v>100</v>
      </c>
      <c r="X37" s="772"/>
      <c r="Y37" s="3183"/>
      <c r="Z37" s="55" t="str">
        <f t="shared" si="18"/>
        <v>成新度</v>
      </c>
      <c r="AA37" s="773">
        <f t="shared" si="15"/>
        <v>1</v>
      </c>
      <c r="AB37" s="773">
        <f t="shared" si="16"/>
        <v>1</v>
      </c>
      <c r="AC37" s="773">
        <f t="shared" si="17"/>
        <v>1</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81" t="s">
        <v>2565</v>
      </c>
      <c r="Q38" s="1810" t="str">
        <f t="shared" si="11"/>
        <v>物业管理</v>
      </c>
      <c r="R38" s="774" t="s">
        <v>21</v>
      </c>
      <c r="S38" s="775">
        <f t="shared" si="12"/>
        <v>100</v>
      </c>
      <c r="T38" s="774" t="s">
        <v>21</v>
      </c>
      <c r="U38" s="775">
        <f t="shared" si="13"/>
        <v>100</v>
      </c>
      <c r="V38" s="774" t="s">
        <v>21</v>
      </c>
      <c r="W38" s="775">
        <f t="shared" si="14"/>
        <v>100</v>
      </c>
      <c r="X38" s="1813"/>
      <c r="Y38" s="3183"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81"/>
      <c r="Q39" s="1810" t="str">
        <f t="shared" si="11"/>
        <v>市政基础设施</v>
      </c>
      <c r="R39" s="774" t="s">
        <v>21</v>
      </c>
      <c r="S39" s="775">
        <f t="shared" si="12"/>
        <v>100</v>
      </c>
      <c r="T39" s="774" t="s">
        <v>21</v>
      </c>
      <c r="U39" s="775">
        <f t="shared" si="13"/>
        <v>100</v>
      </c>
      <c r="V39" s="774" t="s">
        <v>21</v>
      </c>
      <c r="W39" s="775">
        <f t="shared" si="14"/>
        <v>100</v>
      </c>
      <c r="X39" s="1813"/>
      <c r="Y39" s="3183"/>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81"/>
      <c r="Q40" s="1810" t="str">
        <f t="shared" si="11"/>
        <v>房型</v>
      </c>
      <c r="R40" s="774" t="s">
        <v>21</v>
      </c>
      <c r="S40" s="775">
        <f t="shared" si="12"/>
        <v>100</v>
      </c>
      <c r="T40" s="774" t="s">
        <v>21</v>
      </c>
      <c r="U40" s="775">
        <f t="shared" si="13"/>
        <v>100</v>
      </c>
      <c r="V40" s="774" t="s">
        <v>21</v>
      </c>
      <c r="W40" s="775">
        <f t="shared" si="14"/>
        <v>100</v>
      </c>
      <c r="X40" s="1813"/>
      <c r="Y40" s="3183"/>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81"/>
      <c r="Q42" s="1810" t="str">
        <f t="shared" si="11"/>
        <v>内部装修</v>
      </c>
      <c r="R42" s="774" t="s">
        <v>21</v>
      </c>
      <c r="S42" s="775">
        <f t="shared" si="12"/>
        <v>100</v>
      </c>
      <c r="T42" s="774" t="s">
        <v>21</v>
      </c>
      <c r="U42" s="775">
        <f t="shared" si="13"/>
        <v>100</v>
      </c>
      <c r="V42" s="774" t="s">
        <v>21</v>
      </c>
      <c r="W42" s="775">
        <f t="shared" si="14"/>
        <v>100</v>
      </c>
      <c r="X42" s="1813"/>
      <c r="Y42" s="3183"/>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81"/>
      <c r="Q43" s="1810" t="str">
        <f t="shared" si="11"/>
        <v>内部装修维护情况</v>
      </c>
      <c r="R43" s="774" t="s">
        <v>21</v>
      </c>
      <c r="S43" s="775">
        <f t="shared" si="12"/>
        <v>100</v>
      </c>
      <c r="T43" s="774" t="s">
        <v>21</v>
      </c>
      <c r="U43" s="775">
        <f t="shared" si="13"/>
        <v>100</v>
      </c>
      <c r="V43" s="774" t="s">
        <v>21</v>
      </c>
      <c r="W43" s="775">
        <f t="shared" si="14"/>
        <v>100</v>
      </c>
      <c r="X43" s="1813"/>
      <c r="Y43" s="31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81"/>
      <c r="Q44" s="1795">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81"/>
      <c r="Q45" s="1810">
        <f t="shared" si="11"/>
        <v>111</v>
      </c>
      <c r="R45" s="774" t="s">
        <v>21</v>
      </c>
      <c r="S45" s="775">
        <f t="shared" si="12"/>
        <v>100</v>
      </c>
      <c r="T45" s="774" t="s">
        <v>21</v>
      </c>
      <c r="U45" s="775">
        <f t="shared" si="13"/>
        <v>100</v>
      </c>
      <c r="V45" s="774" t="s">
        <v>21</v>
      </c>
      <c r="W45" s="775">
        <f t="shared" si="14"/>
        <v>100</v>
      </c>
      <c r="X45" s="1813"/>
      <c r="Y45" s="318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82"/>
      <c r="Q46" s="1810">
        <f t="shared" si="11"/>
        <v>111</v>
      </c>
      <c r="R46" s="774" t="s">
        <v>20</v>
      </c>
      <c r="S46" s="775">
        <f t="shared" si="12"/>
        <v>100</v>
      </c>
      <c r="T46" s="774" t="s">
        <v>20</v>
      </c>
      <c r="U46" s="775">
        <f t="shared" si="13"/>
        <v>100</v>
      </c>
      <c r="V46" s="774" t="s">
        <v>20</v>
      </c>
      <c r="W46" s="775">
        <f t="shared" si="14"/>
        <v>100</v>
      </c>
      <c r="X46" s="1813"/>
      <c r="Y46" s="3184"/>
      <c r="Z46" s="1814">
        <f t="shared" si="18"/>
        <v>111</v>
      </c>
      <c r="AA46" s="1811">
        <f t="shared" si="15"/>
        <v>1</v>
      </c>
      <c r="AB46" s="1811">
        <f t="shared" si="16"/>
        <v>1</v>
      </c>
      <c r="AC46" s="1811">
        <f t="shared" si="17"/>
        <v>1</v>
      </c>
    </row>
    <row r="47" spans="1:29" ht="15">
      <c r="A47" s="479" t="s">
        <v>2577</v>
      </c>
      <c r="B47" s="480"/>
      <c r="C47" s="1407" t="s">
        <v>19</v>
      </c>
      <c r="D47" s="1408"/>
      <c r="E47" s="1409">
        <v>85000</v>
      </c>
      <c r="F47" s="1410"/>
      <c r="G47" s="1411">
        <v>85000</v>
      </c>
      <c r="H47" s="1412"/>
      <c r="I47" s="1409">
        <v>85000</v>
      </c>
      <c r="J47" s="1412"/>
      <c r="K47" s="2623"/>
      <c r="L47" s="1143"/>
      <c r="M47" s="1144"/>
      <c r="N47" s="1131"/>
      <c r="O47" s="1144"/>
      <c r="P47" s="3176" t="str">
        <f>A47</f>
        <v>成交单价（元/平方米）</v>
      </c>
      <c r="Q47" s="3176"/>
      <c r="R47" s="3177">
        <f>E47</f>
        <v>85000</v>
      </c>
      <c r="S47" s="3177"/>
      <c r="T47" s="3177">
        <f>G47</f>
        <v>85000</v>
      </c>
      <c r="U47" s="3177"/>
      <c r="V47" s="3177">
        <f>I47</f>
        <v>85000</v>
      </c>
      <c r="W47" s="3177"/>
      <c r="X47" s="759"/>
      <c r="Y47" s="781"/>
      <c r="Z47" s="759"/>
      <c r="AA47" s="759"/>
      <c r="AB47" s="759"/>
      <c r="AC47" s="759"/>
    </row>
    <row r="48" spans="1:29" ht="15.75" thickBot="1">
      <c r="A48" s="486" t="s">
        <v>2578</v>
      </c>
      <c r="B48" s="487"/>
      <c r="C48" s="1413">
        <f>R49</f>
        <v>85000</v>
      </c>
      <c r="D48" s="1414"/>
      <c r="E48" s="1415">
        <f>R48</f>
        <v>85000</v>
      </c>
      <c r="F48" s="1415"/>
      <c r="G48" s="1413">
        <f>T48</f>
        <v>85000</v>
      </c>
      <c r="H48" s="1414"/>
      <c r="I48" s="1415">
        <f>V48</f>
        <v>85000</v>
      </c>
      <c r="J48" s="1414"/>
      <c r="K48" s="2624"/>
      <c r="L48" s="1143"/>
      <c r="M48" s="1144"/>
      <c r="N48" s="1144"/>
      <c r="O48" s="1144"/>
      <c r="P48" s="3176" t="str">
        <f>A48</f>
        <v>比较价值（元/平方米）</v>
      </c>
      <c r="Q48" s="3176"/>
      <c r="R48" s="3177">
        <f>IF(F1="售价",ROUND(PRODUCT(R47,AA7:AA46),0),ROUND(PRODUCT(R47,AA7:AA46),1))</f>
        <v>85000</v>
      </c>
      <c r="S48" s="3177"/>
      <c r="T48" s="3177">
        <f>IF(F1="售价",ROUND(PRODUCT(T47,AB7:AB46),0),ROUND(PRODUCT(T47,AB7:AB46),1))</f>
        <v>85000</v>
      </c>
      <c r="U48" s="3177"/>
      <c r="V48" s="3177">
        <f>IF(F1="售价",ROUND(PRODUCT(V47,AC7:AC46),0),ROUND(PRODUCT(V47,AC7:AC46),1))</f>
        <v>85000</v>
      </c>
      <c r="W48" s="3177"/>
      <c r="X48" s="759"/>
      <c r="Y48" s="759"/>
      <c r="Z48" s="759"/>
      <c r="AA48" s="759"/>
      <c r="AB48" s="759"/>
      <c r="AC48" s="759"/>
    </row>
    <row r="49" spans="1:29" ht="15.75" thickBot="1">
      <c r="A49" s="492" t="s">
        <v>2579</v>
      </c>
      <c r="B49" s="493"/>
      <c r="C49" s="1416">
        <f>R49</f>
        <v>85000</v>
      </c>
      <c r="D49" s="1417"/>
      <c r="E49" s="1417"/>
      <c r="F49" s="1417"/>
      <c r="G49" s="1417"/>
      <c r="H49" s="1417"/>
      <c r="I49" s="1417"/>
      <c r="J49" s="1417"/>
      <c r="K49" s="2625"/>
      <c r="L49" s="1143"/>
      <c r="M49" s="1144"/>
      <c r="N49" s="1144"/>
      <c r="O49" s="1144"/>
      <c r="P49" s="3173" t="str">
        <f>A49</f>
        <v>估价对象XX用房的比较价值（楼面单价，元/平方米）</v>
      </c>
      <c r="Q49" s="3174"/>
      <c r="R49" s="3175">
        <f>IF(F1="售价",ROUND(AVERAGE(R48:V48),0),ROUND(AVERAGE(R48:V48),1))</f>
        <v>85000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row>
    <row r="53" spans="1:29" ht="13.5" customHeight="1">
      <c r="A53" s="1144"/>
      <c r="B53" s="1144"/>
      <c r="C53" s="497" t="s">
        <v>2581</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row>
    <row r="54" spans="1:29" s="502" customFormat="1" ht="13.5" customHeight="1">
      <c r="A54" s="1145"/>
      <c r="B54" s="1145"/>
      <c r="C54" s="497" t="s">
        <v>2582</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v>0</v>
      </c>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v>0</v>
      </c>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26" sqref="D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3063</v>
      </c>
      <c r="D1" s="1820" t="s">
        <v>70</v>
      </c>
      <c r="E1" s="1821" t="s">
        <v>1382</v>
      </c>
      <c r="F1" s="1283">
        <f ca="1">J53</f>
        <v>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5058</v>
      </c>
      <c r="C2" s="1845" t="s">
        <v>1511</v>
      </c>
      <c r="D2" s="1845"/>
      <c r="E2" s="1846"/>
      <c r="F2" s="1847"/>
      <c r="G2" s="1848"/>
      <c r="H2" s="1840"/>
      <c r="I2" s="1840"/>
      <c r="J2" s="1840"/>
      <c r="K2" s="1841"/>
      <c r="L2" s="1840"/>
      <c r="M2" s="1840"/>
    </row>
    <row r="3" spans="1:37" ht="18" customHeight="1" thickBot="1">
      <c r="A3" s="1849" t="s">
        <v>1512</v>
      </c>
      <c r="B3" s="1850">
        <f ca="1">IF(ISERROR(B2*10000/F43),0,ROUND(B2*10000/F43,0))</f>
        <v>34079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219</v>
      </c>
      <c r="D5" s="1822" t="s">
        <v>1397</v>
      </c>
      <c r="E5" s="1293"/>
      <c r="F5" s="1294"/>
      <c r="G5" s="1851"/>
      <c r="H5" s="344">
        <v>1</v>
      </c>
      <c r="I5" s="345" t="s">
        <v>1396</v>
      </c>
      <c r="J5" s="1292">
        <f ca="1">J6+J10+J12</f>
        <v>0</v>
      </c>
      <c r="K5" s="1822" t="s">
        <v>1397</v>
      </c>
      <c r="L5" s="1293"/>
      <c r="M5" s="1294"/>
    </row>
    <row r="6" spans="1:37" ht="18" customHeight="1">
      <c r="A6" s="1291" t="s">
        <v>1032</v>
      </c>
      <c r="B6" s="3221" t="s">
        <v>1398</v>
      </c>
      <c r="C6" s="1296">
        <f ca="1">ROUND(F6*F8*F7*(1-F9)/10000,0)</f>
        <v>219</v>
      </c>
      <c r="D6" s="164" t="s">
        <v>3032</v>
      </c>
      <c r="E6" s="347" t="s">
        <v>1400</v>
      </c>
      <c r="F6" s="348">
        <f ca="1">INDIRECT("'数据-取费表'!u"&amp;$G$1)</f>
        <v>4.5</v>
      </c>
      <c r="G6" s="1851"/>
      <c r="H6" s="1291" t="s">
        <v>1032</v>
      </c>
      <c r="I6" s="3221" t="s">
        <v>1398</v>
      </c>
      <c r="J6" s="346">
        <f ca="1">ROUND(M6*M8*M7*(1-M9)/10000,0)</f>
        <v>0</v>
      </c>
      <c r="K6" s="164" t="s">
        <v>3031</v>
      </c>
      <c r="L6" s="347" t="s">
        <v>1400</v>
      </c>
      <c r="M6" s="348">
        <f ca="1">INDIRECT("'数据-取费表'!z"&amp;$G$1)</f>
        <v>0</v>
      </c>
    </row>
    <row r="7" spans="1:37" ht="18" customHeight="1">
      <c r="A7" s="1295"/>
      <c r="B7" s="3222"/>
      <c r="C7" s="1297"/>
      <c r="D7" s="352"/>
      <c r="E7" s="1298" t="s">
        <v>1401</v>
      </c>
      <c r="F7" s="348">
        <f ca="1">IF(INDIRECT("'数据-取费表'!ah"&amp;$G$1)="",INDIRECT("'数据-取费表'!k"&amp;$G$1),INDIRECT("'数据-取费表'!ah"&amp;$G$1))</f>
        <v>1484.1999999999998</v>
      </c>
      <c r="G7" s="1851"/>
      <c r="H7" s="349"/>
      <c r="I7" s="3222"/>
      <c r="J7" s="351"/>
      <c r="K7" s="352"/>
      <c r="L7" s="347" t="s">
        <v>1401</v>
      </c>
      <c r="M7" s="348">
        <f ca="1">F7</f>
        <v>1484.1999999999998</v>
      </c>
    </row>
    <row r="8" spans="1:37" ht="18" customHeight="1">
      <c r="A8" s="349"/>
      <c r="B8" s="3222"/>
      <c r="C8" s="351"/>
      <c r="D8" s="352"/>
      <c r="E8" s="347" t="s">
        <v>1402</v>
      </c>
      <c r="F8" s="348">
        <f ca="1">INDIRECT("'数据-取费表'!ai"&amp;$G$1)</f>
        <v>365</v>
      </c>
      <c r="G8" s="1851"/>
      <c r="H8" s="349"/>
      <c r="I8" s="3222"/>
      <c r="J8" s="351"/>
      <c r="K8" s="352"/>
      <c r="L8" s="347" t="s">
        <v>1402</v>
      </c>
      <c r="M8" s="348">
        <f ca="1">INDIRECT("'数据-取费表'!ai"&amp;$G$1)</f>
        <v>365</v>
      </c>
    </row>
    <row r="9" spans="1:37" ht="18" customHeight="1">
      <c r="A9" s="349"/>
      <c r="B9" s="3223"/>
      <c r="C9" s="351"/>
      <c r="D9" s="352"/>
      <c r="E9" s="347" t="s">
        <v>1403</v>
      </c>
      <c r="F9" s="357">
        <f ca="1">INDIRECT("'数据-取费表'!w"&amp;$G$1)</f>
        <v>0.1</v>
      </c>
      <c r="G9" s="1851"/>
      <c r="H9" s="349"/>
      <c r="I9" s="322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t="s">
        <v>3099</v>
      </c>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473</v>
      </c>
      <c r="D13" s="1331" t="s">
        <v>1410</v>
      </c>
      <c r="E13" s="1331" t="s">
        <v>1411</v>
      </c>
      <c r="F13" s="1332">
        <f ca="1">INDIRECT("'数据-取费表'!y"&amp;$G$1)</f>
        <v>0.75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416</v>
      </c>
      <c r="D14" s="1800" t="s">
        <v>1413</v>
      </c>
      <c r="E14" s="1794"/>
      <c r="F14" s="364"/>
      <c r="G14" s="1851"/>
      <c r="H14" s="1201" t="s">
        <v>1032</v>
      </c>
      <c r="I14" s="347" t="s">
        <v>1414</v>
      </c>
      <c r="J14" s="24">
        <f ca="1">C29</f>
        <v>631</v>
      </c>
      <c r="K14" s="15"/>
      <c r="L14" s="979"/>
      <c r="M14" s="980"/>
    </row>
    <row r="15" spans="1:37" s="1858" customFormat="1" ht="18" customHeight="1" thickBot="1">
      <c r="A15" s="1201" t="s">
        <v>1033</v>
      </c>
      <c r="B15" s="347" t="s">
        <v>1415</v>
      </c>
      <c r="C15" s="24">
        <f ca="1">ROUND(C14*F15,0)</f>
        <v>12</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12</v>
      </c>
      <c r="D16" s="347" t="s">
        <v>1416</v>
      </c>
      <c r="E16" s="347" t="s">
        <v>1417</v>
      </c>
      <c r="F16" s="367">
        <f ca="1">IF(INDIRECT("'数据-取费表'!c"&amp;$G$1)="住宅",'数据-取费表'!B34,0)</f>
        <v>0.03</v>
      </c>
      <c r="G16" s="1851"/>
      <c r="H16" s="1329" t="s">
        <v>1027</v>
      </c>
      <c r="I16" s="1330" t="s">
        <v>1419</v>
      </c>
      <c r="J16" s="355">
        <f ca="1">ROUND(J17+J22+J23+J24,0)</f>
        <v>15</v>
      </c>
      <c r="K16" s="1337" t="s">
        <v>1420</v>
      </c>
      <c r="L16" s="1338"/>
      <c r="M16" s="1294"/>
    </row>
    <row r="17" spans="1:37" s="1858" customFormat="1" ht="18" customHeight="1">
      <c r="A17" s="1201" t="s">
        <v>1385</v>
      </c>
      <c r="B17" s="347" t="s">
        <v>1421</v>
      </c>
      <c r="C17" s="24">
        <f ca="1">ROUND(F17*(F43+INDIRECT("'数据-取费表'!S"&amp;$G$1))/10000,0)</f>
        <v>30</v>
      </c>
      <c r="D17" s="347" t="s">
        <v>1422</v>
      </c>
      <c r="E17" s="347" t="s">
        <v>1423</v>
      </c>
      <c r="F17" s="26">
        <f>'数据-取费表'!B35</f>
        <v>200</v>
      </c>
      <c r="G17" s="1854"/>
      <c r="H17" s="1201" t="s">
        <v>1032</v>
      </c>
      <c r="I17" s="347" t="s">
        <v>1424</v>
      </c>
      <c r="J17" s="24">
        <f ca="1">ROUND(IF(项目基本情况!B11="自然人",J6*M17/(1+'数据-取费表'!C42),J18+J19+J20),1)</f>
        <v>5.3</v>
      </c>
      <c r="K17" s="1800" t="s">
        <v>1425</v>
      </c>
      <c r="L17" s="1798" t="s">
        <v>1426</v>
      </c>
      <c r="M17" s="368">
        <f ca="1">IF(项目基本情况!B11="企业","",IF(INDIRECT("'数据-取费表'!c"&amp;$G$1)="住宅",5%,IF(M6*M7*M8/12/(1+'数据-取费表'!C42)&gt;20000,12%,7%)))</f>
        <v>0.05</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476</v>
      </c>
      <c r="D19" s="140" t="s">
        <v>1431</v>
      </c>
      <c r="E19" s="1818"/>
      <c r="F19" s="26"/>
      <c r="G19" s="1851"/>
      <c r="H19" s="1201" t="s">
        <v>1033</v>
      </c>
      <c r="I19" s="347" t="s">
        <v>1432</v>
      </c>
      <c r="J19" s="24">
        <f ca="1">IF(K19="按租金收入计税",ROUND(J6*M19/(1+'数据-取费表'!C42),2),ROUND(C29*M19*0.7,2))</f>
        <v>5.3</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0.02</v>
      </c>
      <c r="G20" s="1854"/>
      <c r="H20" s="1201" t="s">
        <v>1384</v>
      </c>
      <c r="I20" s="164" t="s">
        <v>1436</v>
      </c>
      <c r="J20" s="25">
        <f ca="1">ROUND(M20*M21/10000,2)</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v>
      </c>
      <c r="K25" s="1345" t="s">
        <v>1459</v>
      </c>
      <c r="L25" s="1346"/>
      <c r="M25" s="1347"/>
    </row>
    <row r="26" spans="1:37">
      <c r="A26" s="1201" t="s">
        <v>1031</v>
      </c>
      <c r="B26" s="347" t="s">
        <v>1460</v>
      </c>
      <c r="C26" s="24">
        <f ca="1">ROUND((C19+C20)*F26,0)</f>
        <v>73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631</v>
      </c>
      <c r="D29" s="1342"/>
      <c r="E29" s="1340"/>
      <c r="F29" s="1343"/>
      <c r="G29" s="1854"/>
      <c r="H29" s="380" t="s">
        <v>1030</v>
      </c>
      <c r="I29" s="381" t="s">
        <v>1474</v>
      </c>
      <c r="J29" s="382">
        <f ca="1">ROUND(J26/(1+F40)^F41,0)</f>
        <v>0</v>
      </c>
      <c r="K29" s="383" t="s">
        <v>1475</v>
      </c>
      <c r="L29" s="384"/>
      <c r="M29" s="385">
        <f ca="1">INDIRECT("'数据-取费表'!k"&amp;$G$1)</f>
        <v>1484.1999999999998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36.700000000000003</v>
      </c>
      <c r="D31" s="1800" t="s">
        <v>1425</v>
      </c>
      <c r="E31" s="1798" t="s">
        <v>1476</v>
      </c>
      <c r="F31" s="368">
        <f ca="1">IF(项目基本情况!B11="企业","",IF(INDIRECT("'数据-取费表'!c"&amp;$G$1)="住宅",5%,IF(F6*F7*F8/12/(1+'数据-取费表'!C42)&gt;20000,12%,7%)))</f>
        <v>0.05</v>
      </c>
      <c r="G31" s="1851"/>
      <c r="H31" s="745"/>
      <c r="I31" s="746"/>
      <c r="J31" s="747"/>
      <c r="K31" s="748"/>
      <c r="L31" s="749"/>
      <c r="M31" s="750"/>
    </row>
    <row r="32" spans="1:37" ht="18" customHeight="1">
      <c r="A32" s="1201" t="s">
        <v>1031</v>
      </c>
      <c r="B32" s="347" t="s">
        <v>1428</v>
      </c>
      <c r="C32" s="24">
        <f ca="1">IF(项目基本情况!B11="自然人","——",ROUND(C6*F32/(1+'数据-取费表'!C42),2))</f>
        <v>11.68</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25.03</v>
      </c>
      <c r="D33" s="1828" t="s">
        <v>3100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9.5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2.2000000000000002</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170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5058</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47</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34079</v>
      </c>
      <c r="D43" s="383" t="s">
        <v>1483</v>
      </c>
      <c r="E43" s="384" t="s">
        <v>1484</v>
      </c>
      <c r="F43" s="385">
        <f ca="1">INDIRECT("'数据-取费表'!k"&amp;$G$1)</f>
        <v>1484.1999999999998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-6191</v>
      </c>
      <c r="D46" s="1872" t="str">
        <f>C2</f>
        <v>万元</v>
      </c>
      <c r="E46" s="1866"/>
      <c r="F46" s="1866"/>
      <c r="I46" s="1873" t="s">
        <v>1516</v>
      </c>
      <c r="J46" s="1874"/>
      <c r="K46" s="1875"/>
      <c r="L46" s="1876">
        <f>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3101</v>
      </c>
      <c r="K47" s="1882" t="s">
        <v>1522</v>
      </c>
      <c r="L47" s="1883">
        <f ca="1">INDIRECT("'数据-取费表'!d"&amp;$G$1)</f>
        <v>70</v>
      </c>
      <c r="M47" s="1838" t="str">
        <f>IF(ISNUMBER(FIND("住宅",C1)),"住宅","非住宅")</f>
        <v>住宅</v>
      </c>
      <c r="O47" s="1884" t="s">
        <v>1037</v>
      </c>
      <c r="P47" s="1885" t="s">
        <v>1523</v>
      </c>
      <c r="Q47" s="1886">
        <f ca="1">C40+J29</f>
        <v>5058</v>
      </c>
      <c r="R47" s="1886" t="s">
        <v>1524</v>
      </c>
    </row>
    <row r="48" spans="1:18" s="1842" customFormat="1" ht="28.5" thickBot="1">
      <c r="A48" s="1360" t="s">
        <v>1132</v>
      </c>
      <c r="B48" s="345" t="s">
        <v>1396</v>
      </c>
      <c r="C48" s="1817">
        <f ca="1">C49+C53+C55</f>
        <v>0</v>
      </c>
      <c r="D48" s="1362"/>
      <c r="E48" s="1363"/>
      <c r="F48" s="1181"/>
      <c r="G48" s="792"/>
      <c r="H48" s="793"/>
      <c r="I48" s="1887" t="s">
        <v>1525</v>
      </c>
      <c r="J48" s="1888" t="s">
        <v>3102</v>
      </c>
      <c r="K48" s="1889" t="s">
        <v>1526</v>
      </c>
      <c r="L48" s="1890">
        <f ca="1">INDIRECT("'数据-取费表'!f"&amp;$G$1)</f>
        <v>47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v>1998</v>
      </c>
      <c r="K49" s="1889" t="s">
        <v>1530</v>
      </c>
      <c r="L49" s="1893"/>
      <c r="O49" s="1894" t="s">
        <v>1039</v>
      </c>
      <c r="P49" s="1885" t="s">
        <v>1531</v>
      </c>
      <c r="Q49" s="1886">
        <f ca="1">C29</f>
        <v>631</v>
      </c>
      <c r="R49" s="1886" t="s">
        <v>1524</v>
      </c>
    </row>
    <row r="50" spans="1:18" s="1842" customFormat="1" ht="13.5" thickBot="1">
      <c r="A50" s="1195"/>
      <c r="B50" s="1198"/>
      <c r="C50" s="1368"/>
      <c r="D50" s="1172"/>
      <c r="E50" s="1277" t="s">
        <v>1401</v>
      </c>
      <c r="F50" s="1278">
        <f ca="1">F7</f>
        <v>1484.1999999999998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39</v>
      </c>
      <c r="K51" s="1900" t="s">
        <v>1536</v>
      </c>
      <c r="L51" s="1901">
        <f ca="1">ROUND(-PV(INDIRECT("'数据-取费表'!h"&amp;$G$1),L48,(C39-C13*C76),0),0)</f>
        <v>2520</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47</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2">
        <f ca="1">IF(M47="住宅",IF(D1="——",MAX(J51,L48),MAX(J51,L48-'数据-取费表'!B24)),IF(D1="——",MIN(J51,L48),MIN(J51,L48-'数据-取费表'!B24)))</f>
        <v>47</v>
      </c>
      <c r="K53" s="3219" t="s">
        <v>1543</v>
      </c>
      <c r="L53" s="3220"/>
      <c r="O53" s="1884" t="s">
        <v>1043</v>
      </c>
      <c r="P53" s="1885" t="s">
        <v>1544</v>
      </c>
      <c r="Q53" s="1886">
        <f ca="1">Q47+Q48</f>
        <v>5058</v>
      </c>
      <c r="R53" s="1886" t="s">
        <v>1044</v>
      </c>
    </row>
    <row r="54" spans="1:18" s="1842" customFormat="1" ht="13.5" thickBot="1">
      <c r="A54" s="1406"/>
      <c r="B54" s="1825" t="s">
        <v>1383</v>
      </c>
      <c r="C54" s="1178"/>
      <c r="D54" s="1824"/>
      <c r="E54" s="1832"/>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473</v>
      </c>
      <c r="D56" s="1913"/>
      <c r="E56" s="1914"/>
      <c r="F56" s="1906"/>
      <c r="I56" s="1915" t="s">
        <v>1549</v>
      </c>
      <c r="J56" s="1916" t="s">
        <v>3062</v>
      </c>
      <c r="K56" s="1887" t="s">
        <v>1550</v>
      </c>
      <c r="L56" s="1890">
        <f ca="1">IF(L48&lt;J51,"——",L48-J53)</f>
        <v>0</v>
      </c>
      <c r="O56" s="1884" t="s">
        <v>1037</v>
      </c>
      <c r="P56" s="1885" t="s">
        <v>1523</v>
      </c>
      <c r="Q56" s="1886">
        <f ca="1">C40+J29</f>
        <v>5058</v>
      </c>
      <c r="R56" s="1886" t="s">
        <v>1524</v>
      </c>
    </row>
    <row r="57" spans="1:18" s="1842" customFormat="1" ht="24.75" thickBot="1">
      <c r="A57" s="1917"/>
      <c r="B57" s="1169" t="s">
        <v>1473</v>
      </c>
      <c r="C57" s="282">
        <f ca="1">C29</f>
        <v>631</v>
      </c>
      <c r="D57" s="1918"/>
      <c r="E57" s="1919"/>
      <c r="F57" s="1920"/>
      <c r="I57" s="1921" t="s">
        <v>1551</v>
      </c>
      <c r="J57" s="1922" t="str">
        <f ca="1">IF(OR(M47="住宅",J51&lt;L48,J56="是"),"——",J51-L48)</f>
        <v>——</v>
      </c>
      <c r="K57" s="1887" t="s">
        <v>1552</v>
      </c>
      <c r="L57" s="1890">
        <f ca="1">IF(L48&lt;J51,"——",IF(L55="比较法",L49,IF(L55="基准地价",L50,L51)))</f>
        <v>2520</v>
      </c>
      <c r="O57" s="1884" t="s">
        <v>1038</v>
      </c>
      <c r="P57" s="1885" t="s">
        <v>1553</v>
      </c>
      <c r="Q57" s="1886">
        <f ca="1">L60</f>
        <v>0</v>
      </c>
      <c r="R57" s="1886" t="s">
        <v>1554</v>
      </c>
    </row>
    <row r="58" spans="1:18" s="1842" customFormat="1" ht="24.75" thickBot="1">
      <c r="A58" s="360" t="s">
        <v>1027</v>
      </c>
      <c r="B58" s="1177" t="s">
        <v>1419</v>
      </c>
      <c r="C58" s="361">
        <f ca="1">ROUND(C59+C64+C65+C66,0)</f>
        <v>63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53</v>
      </c>
      <c r="D59" s="1182" t="s">
        <v>1425</v>
      </c>
      <c r="E59" s="1183" t="s">
        <v>1426</v>
      </c>
      <c r="F59" s="368">
        <f ca="1">IF(项目基本情况!B11="企业","",IF(INDIRECT("'数据-取费表'!c"&amp;$G$1)="住宅",5%,IF(F49*F50*F51/12/(1+'数据-取费表'!C42)&gt;20000,12%,7%)))</f>
        <v>0.05</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53</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24</v>
      </c>
      <c r="I62" s="1928" t="s">
        <v>1565</v>
      </c>
      <c r="J62" s="1929" t="s">
        <v>1566</v>
      </c>
      <c r="K62" s="1929" t="s">
        <v>1567</v>
      </c>
      <c r="L62" s="1929" t="s">
        <v>1568</v>
      </c>
      <c r="M62" s="1930" t="s">
        <v>1569</v>
      </c>
      <c r="O62" s="1884" t="s">
        <v>1043</v>
      </c>
      <c r="P62" s="1885" t="s">
        <v>1570</v>
      </c>
      <c r="Q62" s="1886">
        <f ca="1">Q56+Q57</f>
        <v>5058</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0.7</v>
      </c>
      <c r="D65" s="1183" t="s">
        <v>1449</v>
      </c>
      <c r="E65" s="1169" t="s">
        <v>1450</v>
      </c>
      <c r="F65" s="376">
        <f t="shared" ca="1" si="0"/>
        <v>1.5E-3</v>
      </c>
      <c r="I65" s="1928" t="s">
        <v>1574</v>
      </c>
      <c r="J65" s="1929">
        <v>40</v>
      </c>
      <c r="K65" s="1929">
        <v>30</v>
      </c>
      <c r="L65" s="1929">
        <v>50</v>
      </c>
      <c r="M65" s="1931">
        <v>0.02</v>
      </c>
      <c r="O65" s="1884" t="s">
        <v>1037</v>
      </c>
      <c r="P65" s="1885" t="s">
        <v>1575</v>
      </c>
      <c r="Q65" s="1886">
        <f ca="1">C40+J29</f>
        <v>5058</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-63</v>
      </c>
      <c r="D67" s="1182" t="s">
        <v>1459</v>
      </c>
      <c r="E67" s="1187"/>
      <c r="F67" s="1188"/>
      <c r="O67" s="1894" t="s">
        <v>1039</v>
      </c>
      <c r="P67" s="1885" t="s">
        <v>1557</v>
      </c>
      <c r="Q67" s="1932">
        <f ca="1">L51</f>
        <v>2520</v>
      </c>
      <c r="R67" s="1886" t="s">
        <v>1577</v>
      </c>
    </row>
    <row r="68" spans="1:18" s="1842" customFormat="1" ht="16.5" thickBot="1">
      <c r="A68" s="1166" t="s">
        <v>1029</v>
      </c>
      <c r="B68" s="1167" t="s">
        <v>1480</v>
      </c>
      <c r="C68" s="346">
        <f ca="1">ROUND(C67*(1-((1+F70)/(1+F68))^F69)/(F68-F70),0)</f>
        <v>-1133</v>
      </c>
      <c r="D68" s="1184" t="s">
        <v>1464</v>
      </c>
      <c r="E68" s="1169" t="s">
        <v>1465</v>
      </c>
      <c r="F68" s="357">
        <f ca="1">F40</f>
        <v>0.05</v>
      </c>
      <c r="O68" s="1894" t="s">
        <v>1040</v>
      </c>
      <c r="P68" s="1933" t="s">
        <v>1578</v>
      </c>
      <c r="Q68" s="1886">
        <f ca="1">ROUND(Q69-Q70*Q71,0)</f>
        <v>130</v>
      </c>
      <c r="R68" s="1886" t="s">
        <v>1048</v>
      </c>
    </row>
    <row r="69" spans="1:18" s="1842" customFormat="1" ht="13.5" thickBot="1">
      <c r="A69" s="1170"/>
      <c r="B69" s="1171"/>
      <c r="C69" s="351"/>
      <c r="D69" s="1189" t="s">
        <v>1468</v>
      </c>
      <c r="E69" s="1169" t="s">
        <v>1469</v>
      </c>
      <c r="F69" s="379">
        <f ca="1">F41</f>
        <v>47</v>
      </c>
      <c r="O69" s="1894" t="s">
        <v>1045</v>
      </c>
      <c r="P69" s="1933" t="s">
        <v>1579</v>
      </c>
      <c r="Q69" s="1886">
        <f ca="1">C39</f>
        <v>170</v>
      </c>
      <c r="R69" s="1886" t="s">
        <v>1524</v>
      </c>
    </row>
    <row r="70" spans="1:18" s="1842" customFormat="1" ht="13.5" thickBot="1">
      <c r="A70" s="1173"/>
      <c r="B70" s="1174"/>
      <c r="C70" s="355"/>
      <c r="D70" s="1185"/>
      <c r="E70" s="1169" t="s">
        <v>1472</v>
      </c>
      <c r="F70" s="1275"/>
      <c r="O70" s="1894" t="s">
        <v>1046</v>
      </c>
      <c r="P70" s="1933" t="s">
        <v>1580</v>
      </c>
      <c r="Q70" s="1886">
        <f ca="1">C13</f>
        <v>473</v>
      </c>
      <c r="R70" s="1886" t="s">
        <v>1524</v>
      </c>
    </row>
    <row r="71" spans="1:18" s="1842" customFormat="1" ht="13.5" thickBot="1">
      <c r="A71" s="1190" t="s">
        <v>1030</v>
      </c>
      <c r="B71" s="1191" t="s">
        <v>1482</v>
      </c>
      <c r="C71" s="382">
        <f ca="1">ROUND(C68*10000/F71,0)</f>
        <v>-7634</v>
      </c>
      <c r="D71" s="1192" t="s">
        <v>1483</v>
      </c>
      <c r="E71" s="1193" t="s">
        <v>1484</v>
      </c>
      <c r="F71" s="385">
        <f ca="1">F43</f>
        <v>1484.1999999999998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40</v>
      </c>
      <c r="D75" s="1842"/>
      <c r="E75" s="1842"/>
      <c r="F75" s="1842"/>
      <c r="K75" s="1868"/>
      <c r="L75" s="1842"/>
      <c r="O75" s="1884" t="s">
        <v>1043</v>
      </c>
      <c r="P75" s="1885" t="s">
        <v>1544</v>
      </c>
      <c r="Q75" s="1886">
        <f ca="1">Q65+Q66</f>
        <v>5058</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0.76500000000000001</v>
      </c>
    </row>
    <row r="80" spans="1:18">
      <c r="B80" s="386" t="s">
        <v>1506</v>
      </c>
      <c r="C80" s="318">
        <f ca="1">ROUND(C75/C39,3)</f>
        <v>0.23499999999999999</v>
      </c>
    </row>
    <row r="81" spans="2:3">
      <c r="B81" s="314" t="s">
        <v>1507</v>
      </c>
      <c r="C81" s="282"/>
    </row>
    <row r="82" spans="2:3">
      <c r="B82" s="317" t="s">
        <v>1508</v>
      </c>
      <c r="C82" s="319">
        <f ca="1">1-C83</f>
        <v>0.90600000000000003</v>
      </c>
    </row>
    <row r="83" spans="2:3">
      <c r="B83" s="317" t="s">
        <v>1509</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21" t="s">
        <v>1398</v>
      </c>
      <c r="C6" s="1296">
        <f ca="1">ROUND(F6*F8*F7*(1-F9),0)</f>
        <v>0</v>
      </c>
      <c r="D6" s="164" t="s">
        <v>3029</v>
      </c>
      <c r="E6" s="347" t="s">
        <v>1400</v>
      </c>
      <c r="F6" s="348">
        <f ca="1">INDIRECT("'数据-取费表'!u"&amp;$G$1)</f>
        <v>0</v>
      </c>
      <c r="G6" s="1851"/>
      <c r="H6" s="1291" t="s">
        <v>1032</v>
      </c>
      <c r="I6" s="3221" t="s">
        <v>1398</v>
      </c>
      <c r="J6" s="346">
        <f ca="1">ROUND(M6*M8*M7*(1-M9),0)</f>
        <v>0</v>
      </c>
      <c r="K6" s="1834" t="s">
        <v>3030</v>
      </c>
      <c r="L6" s="347" t="s">
        <v>1400</v>
      </c>
      <c r="M6" s="348">
        <f ca="1">INDIRECT("'数据-取费表'!z"&amp;$G$1)</f>
        <v>0</v>
      </c>
    </row>
    <row r="7" spans="1:37" ht="18" customHeight="1">
      <c r="A7" s="1295"/>
      <c r="B7" s="3222"/>
      <c r="C7" s="1297"/>
      <c r="D7" s="352"/>
      <c r="E7" s="1298" t="s">
        <v>1401</v>
      </c>
      <c r="F7" s="348">
        <f ca="1">IF(INDIRECT("'数据-取费表'!ah"&amp;$G$1)="",INDIRECT("'数据-取费表'!k"&amp;$G$1),INDIRECT("'数据-取费表'!ah"&amp;$G$1))</f>
        <v>0</v>
      </c>
      <c r="G7" s="1851"/>
      <c r="H7" s="349"/>
      <c r="I7" s="3222"/>
      <c r="J7" s="351"/>
      <c r="K7" s="352"/>
      <c r="L7" s="347" t="s">
        <v>1401</v>
      </c>
      <c r="M7" s="348">
        <f ca="1">F7</f>
        <v>0</v>
      </c>
    </row>
    <row r="8" spans="1:37" ht="18" customHeight="1">
      <c r="A8" s="349"/>
      <c r="B8" s="3222"/>
      <c r="C8" s="351"/>
      <c r="D8" s="352"/>
      <c r="E8" s="347" t="s">
        <v>1402</v>
      </c>
      <c r="F8" s="348">
        <f ca="1">INDIRECT("'数据-取费表'!ai"&amp;$G$1)</f>
        <v>0</v>
      </c>
      <c r="G8" s="1851"/>
      <c r="H8" s="349"/>
      <c r="I8" s="3222"/>
      <c r="J8" s="351"/>
      <c r="K8" s="352"/>
      <c r="L8" s="347" t="s">
        <v>1402</v>
      </c>
      <c r="M8" s="348">
        <f ca="1">INDIRECT("'数据-取费表'!ai"&amp;$G$1)</f>
        <v>0</v>
      </c>
    </row>
    <row r="9" spans="1:37" ht="18" customHeight="1">
      <c r="A9" s="349"/>
      <c r="B9" s="3223"/>
      <c r="C9" s="351"/>
      <c r="D9" s="352"/>
      <c r="E9" s="347" t="s">
        <v>1403</v>
      </c>
      <c r="F9" s="357">
        <f ca="1">INDIRECT("'数据-取费表'!w"&amp;$G$1)</f>
        <v>0</v>
      </c>
      <c r="G9" s="1851"/>
      <c r="H9" s="349"/>
      <c r="I9" s="322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2">
        <f ca="1">IF(M47="住宅",IF(D1="——",MAX(J51,L48),MAX(J51,L48-'数据-取费表'!B24)),IF(D1="——",MIN(J51,L48),MIN(J51,L48-'数据-取费表'!B24)))</f>
        <v>0</v>
      </c>
      <c r="K53" s="3219" t="s">
        <v>1543</v>
      </c>
      <c r="L53" s="3220"/>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24</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5058</v>
      </c>
      <c r="C2" s="2569" t="s">
        <v>2519</v>
      </c>
      <c r="D2" s="2570" t="s">
        <v>2520</v>
      </c>
      <c r="E2" s="2571">
        <f>SUM(E6:E13)</f>
        <v>1484.1999999999998</v>
      </c>
    </row>
    <row r="3" spans="1:6" ht="15.75">
      <c r="A3" s="2567" t="s">
        <v>1390</v>
      </c>
      <c r="B3" s="2568">
        <f ca="1">ROUND(B2*10000/E2,0)</f>
        <v>34079</v>
      </c>
      <c r="C3" s="2569" t="s">
        <v>2527</v>
      </c>
      <c r="D3" s="2572"/>
      <c r="E3" s="2573"/>
    </row>
    <row r="4" spans="1:6" ht="15.75">
      <c r="A4" s="2574"/>
      <c r="B4" s="2572"/>
      <c r="C4" s="2572"/>
      <c r="D4" s="2572"/>
      <c r="E4" s="2573"/>
    </row>
    <row r="5" spans="1:6" ht="15">
      <c r="A5" s="2575" t="s">
        <v>2521</v>
      </c>
      <c r="B5" s="3224" t="s">
        <v>2522</v>
      </c>
      <c r="C5" s="3224"/>
      <c r="D5" s="2576"/>
      <c r="E5" s="2577" t="s">
        <v>2523</v>
      </c>
      <c r="F5" s="2578" t="s">
        <v>2524</v>
      </c>
    </row>
    <row r="6" spans="1:6">
      <c r="A6" s="2579" t="str">
        <f>'数据-取费表'!AN6</f>
        <v>收益法</v>
      </c>
      <c r="B6" s="2578">
        <f ca="1">IF(F6="是",'数据-取费表'!AO6,0)</f>
        <v>5058</v>
      </c>
      <c r="C6" s="2569" t="s">
        <v>2519</v>
      </c>
      <c r="D6" s="2572"/>
      <c r="E6" s="2580">
        <f>IF(OR(A6=0,F6="否"),0,'数据-取费表'!K6+'数据-取费表'!S6)</f>
        <v>1484.1999999999998</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1" t="s">
        <v>1076</v>
      </c>
      <c r="E2" s="1301" t="s">
        <v>1077</v>
      </c>
      <c r="F2" s="1301" t="s">
        <v>1078</v>
      </c>
      <c r="G2" s="1301" t="s">
        <v>1079</v>
      </c>
      <c r="H2" s="1301" t="s">
        <v>1080</v>
      </c>
      <c r="I2" s="1302" t="s">
        <v>1081</v>
      </c>
    </row>
    <row r="3" spans="1:9">
      <c r="A3" s="3231"/>
      <c r="B3" s="3232" t="s">
        <v>1082</v>
      </c>
      <c r="C3" s="3232"/>
      <c r="D3" s="1303"/>
      <c r="E3" s="1301"/>
      <c r="F3" s="1304"/>
      <c r="G3" s="1304"/>
      <c r="H3" s="1305"/>
      <c r="I3" s="1306">
        <f>ROUND(D3*E3*F3*G3*H3/10000,0)</f>
        <v>0</v>
      </c>
    </row>
    <row r="4" spans="1:9">
      <c r="A4" s="3231"/>
      <c r="B4" s="3232" t="s">
        <v>1083</v>
      </c>
      <c r="C4" s="3232"/>
      <c r="D4" s="1303"/>
      <c r="E4" s="1301"/>
      <c r="F4" s="1304"/>
      <c r="G4" s="1304"/>
      <c r="H4" s="1305"/>
      <c r="I4" s="1306">
        <f t="shared" ref="I4:I9" si="0">ROUND(D4*E4*F4*G4*H4/10000,0)</f>
        <v>0</v>
      </c>
    </row>
    <row r="5" spans="1:9">
      <c r="A5" s="3231"/>
      <c r="B5" s="3232" t="s">
        <v>1084</v>
      </c>
      <c r="C5" s="3232"/>
      <c r="D5" s="1303"/>
      <c r="E5" s="1301"/>
      <c r="F5" s="1304"/>
      <c r="G5" s="1304"/>
      <c r="H5" s="1305"/>
      <c r="I5" s="1306">
        <f t="shared" si="0"/>
        <v>0</v>
      </c>
    </row>
    <row r="6" spans="1:9">
      <c r="A6" s="3231"/>
      <c r="B6" s="3232" t="s">
        <v>1085</v>
      </c>
      <c r="C6" s="3232"/>
      <c r="D6" s="1303"/>
      <c r="E6" s="1301"/>
      <c r="F6" s="1304"/>
      <c r="G6" s="1304"/>
      <c r="H6" s="1305"/>
      <c r="I6" s="1306">
        <f t="shared" si="0"/>
        <v>0</v>
      </c>
    </row>
    <row r="7" spans="1:9">
      <c r="A7" s="3231"/>
      <c r="B7" s="3232" t="s">
        <v>1086</v>
      </c>
      <c r="C7" s="3232"/>
      <c r="D7" s="1303"/>
      <c r="E7" s="1301"/>
      <c r="F7" s="1304"/>
      <c r="G7" s="1304"/>
      <c r="H7" s="1305"/>
      <c r="I7" s="1306">
        <f t="shared" si="0"/>
        <v>0</v>
      </c>
    </row>
    <row r="8" spans="1:9">
      <c r="A8" s="3231"/>
      <c r="B8" s="3232" t="s">
        <v>1087</v>
      </c>
      <c r="C8" s="3232"/>
      <c r="D8" s="1303"/>
      <c r="E8" s="1301"/>
      <c r="F8" s="1304"/>
      <c r="G8" s="1304"/>
      <c r="H8" s="1305"/>
      <c r="I8" s="1306">
        <f t="shared" si="0"/>
        <v>0</v>
      </c>
    </row>
    <row r="9" spans="1:9">
      <c r="A9" s="3231"/>
      <c r="B9" s="3232" t="s">
        <v>1088</v>
      </c>
      <c r="C9" s="3232"/>
      <c r="D9" s="1303"/>
      <c r="E9" s="1301"/>
      <c r="F9" s="1304"/>
      <c r="G9" s="1304"/>
      <c r="H9" s="1305"/>
      <c r="I9" s="1306">
        <f t="shared" si="0"/>
        <v>0</v>
      </c>
    </row>
    <row r="10" spans="1:9">
      <c r="A10" s="3231"/>
      <c r="B10" s="3233" t="s">
        <v>1089</v>
      </c>
      <c r="C10" s="3233"/>
      <c r="D10" s="1307"/>
      <c r="E10" s="1307" t="e">
        <f>ROUND(D1*10000/D10/H9,0)</f>
        <v>#DIV/0!</v>
      </c>
      <c r="F10" s="1308"/>
      <c r="G10" s="1308"/>
      <c r="H10" s="1309"/>
      <c r="I10" s="1310">
        <f>SUM(I3:I9)</f>
        <v>0</v>
      </c>
    </row>
    <row r="11" spans="1:9" ht="14.25">
      <c r="A11" s="3231" t="s">
        <v>1090</v>
      </c>
      <c r="B11" s="3232" t="s">
        <v>1091</v>
      </c>
      <c r="C11" s="3232"/>
      <c r="D11" s="1303" t="s">
        <v>1092</v>
      </c>
      <c r="E11" s="1303" t="s">
        <v>1093</v>
      </c>
      <c r="F11" s="1304" t="s">
        <v>1094</v>
      </c>
      <c r="G11" s="1304" t="s">
        <v>1080</v>
      </c>
      <c r="H11" s="1311" t="s">
        <v>1095</v>
      </c>
      <c r="I11" s="1302" t="s">
        <v>1081</v>
      </c>
    </row>
    <row r="12" spans="1:9">
      <c r="A12" s="3231"/>
      <c r="B12" s="3232" t="s">
        <v>1096</v>
      </c>
      <c r="C12" s="3232"/>
      <c r="D12" s="1303"/>
      <c r="E12" s="1303"/>
      <c r="F12" s="1304"/>
      <c r="G12" s="1305"/>
      <c r="H12" s="1312"/>
      <c r="I12" s="1302">
        <f>ROUND(D12*E12*F12*G12/10000,0)</f>
        <v>0</v>
      </c>
    </row>
    <row r="13" spans="1:9">
      <c r="A13" s="3231"/>
      <c r="B13" s="3232" t="s">
        <v>1097</v>
      </c>
      <c r="C13" s="3232"/>
      <c r="D13" s="1303"/>
      <c r="E13" s="1303"/>
      <c r="F13" s="1304"/>
      <c r="G13" s="1305"/>
      <c r="H13" s="1312"/>
      <c r="I13" s="1302">
        <f>ROUND(D13*E13*F13*G13/10000,0)</f>
        <v>0</v>
      </c>
    </row>
    <row r="14" spans="1:9">
      <c r="A14" s="3231"/>
      <c r="B14" s="3232" t="s">
        <v>1098</v>
      </c>
      <c r="C14" s="3232"/>
      <c r="D14" s="1303"/>
      <c r="E14" s="1303"/>
      <c r="F14" s="1304"/>
      <c r="G14" s="1305"/>
      <c r="H14" s="1312"/>
      <c r="I14" s="1302">
        <f>ROUND(D14*E14*F14*G14/10000,0)</f>
        <v>0</v>
      </c>
    </row>
    <row r="15" spans="1:9">
      <c r="A15" s="3231"/>
      <c r="B15" s="3233" t="s">
        <v>1089</v>
      </c>
      <c r="C15" s="3233"/>
      <c r="D15" s="1307"/>
      <c r="E15" s="1307">
        <f>SUM(E12:E14)</f>
        <v>0</v>
      </c>
      <c r="F15" s="1308"/>
      <c r="G15" s="1305"/>
      <c r="H15" s="1312"/>
      <c r="I15" s="1313">
        <f>SUM(I12:I14)</f>
        <v>0</v>
      </c>
    </row>
    <row r="16" spans="1:9" ht="24">
      <c r="A16" s="3231" t="s">
        <v>1099</v>
      </c>
      <c r="B16" s="3232" t="s">
        <v>1100</v>
      </c>
      <c r="C16" s="3232"/>
      <c r="D16" s="1303" t="s">
        <v>1076</v>
      </c>
      <c r="E16" s="1314" t="s">
        <v>1101</v>
      </c>
      <c r="F16" s="1304" t="s">
        <v>1102</v>
      </c>
      <c r="G16" s="1305" t="s">
        <v>1080</v>
      </c>
      <c r="H16" s="1311" t="s">
        <v>1095</v>
      </c>
      <c r="I16" s="1302" t="s">
        <v>1081</v>
      </c>
    </row>
    <row r="17" spans="1:9" ht="14.25">
      <c r="A17" s="3231"/>
      <c r="B17" s="3232" t="s">
        <v>1103</v>
      </c>
      <c r="C17" s="3232"/>
      <c r="D17" s="1303"/>
      <c r="E17" s="1303"/>
      <c r="F17" s="1304"/>
      <c r="G17" s="1305"/>
      <c r="H17" s="1315"/>
      <c r="I17" s="1316">
        <f>ROUND(D17*E17*F17*G17/10000,0)</f>
        <v>0</v>
      </c>
    </row>
    <row r="18" spans="1:9" ht="14.25">
      <c r="A18" s="3231"/>
      <c r="B18" s="3232" t="s">
        <v>1104</v>
      </c>
      <c r="C18" s="3232"/>
      <c r="D18" s="1303"/>
      <c r="E18" s="1303"/>
      <c r="F18" s="1304"/>
      <c r="G18" s="1305"/>
      <c r="H18" s="1315"/>
      <c r="I18" s="1316">
        <f>ROUND(D18*E18*F18*G18/10000,0)</f>
        <v>0</v>
      </c>
    </row>
    <row r="19" spans="1:9" ht="14.25">
      <c r="A19" s="3231"/>
      <c r="B19" s="3232" t="s">
        <v>1105</v>
      </c>
      <c r="C19" s="3232"/>
      <c r="D19" s="1303"/>
      <c r="E19" s="1303"/>
      <c r="F19" s="1304"/>
      <c r="G19" s="1305"/>
      <c r="H19" s="1315"/>
      <c r="I19" s="1316">
        <f>ROUND(D19*E19*F19*G19/10000,0)</f>
        <v>0</v>
      </c>
    </row>
    <row r="20" spans="1:9">
      <c r="A20" s="3231"/>
      <c r="B20" s="3233" t="s">
        <v>1089</v>
      </c>
      <c r="C20" s="3233"/>
      <c r="D20" s="1307">
        <f>SUM(D17:D19)</f>
        <v>0</v>
      </c>
      <c r="E20" s="1307"/>
      <c r="F20" s="1308"/>
      <c r="G20" s="1305"/>
      <c r="H20" s="1312"/>
      <c r="I20" s="1313">
        <f>SUM(I17:I19)</f>
        <v>0</v>
      </c>
    </row>
    <row r="21" spans="1:9">
      <c r="A21" s="3231" t="s">
        <v>1106</v>
      </c>
      <c r="B21" s="3234"/>
      <c r="C21" s="3234"/>
      <c r="D21" s="3234"/>
      <c r="E21" s="3234"/>
      <c r="F21" s="3234"/>
      <c r="G21" s="3234"/>
      <c r="H21" s="1765">
        <v>0.1</v>
      </c>
      <c r="I21" s="1310">
        <f>ROUND(I10*H21,0)</f>
        <v>0</v>
      </c>
    </row>
    <row r="22" spans="1:9" ht="14.25">
      <c r="A22" s="3235" t="s">
        <v>1107</v>
      </c>
      <c r="B22" s="3236"/>
      <c r="C22" s="3237"/>
      <c r="D22" s="1317" t="s">
        <v>1108</v>
      </c>
      <c r="E22" s="1317" t="s">
        <v>1109</v>
      </c>
      <c r="F22" s="1318" t="s">
        <v>1110</v>
      </c>
      <c r="G22" s="1318" t="s">
        <v>1111</v>
      </c>
      <c r="H22" s="1311" t="s">
        <v>1112</v>
      </c>
      <c r="I22" s="1302" t="s">
        <v>1113</v>
      </c>
    </row>
    <row r="23" spans="1:9" ht="14.25" thickBot="1">
      <c r="A23" s="3238"/>
      <c r="B23" s="3239"/>
      <c r="C23" s="3240"/>
      <c r="D23" s="1319"/>
      <c r="E23" s="1319"/>
      <c r="F23" s="1319"/>
      <c r="G23" s="1320"/>
      <c r="H23" s="1321"/>
      <c r="I23" s="1322">
        <f>ROUND(E23*D23*F23*(1-G23)/10000,0)</f>
        <v>0</v>
      </c>
    </row>
    <row r="26" spans="1:9">
      <c r="A26" s="1323" t="s">
        <v>1114</v>
      </c>
      <c r="B26" s="1323"/>
      <c r="C26" s="1323"/>
      <c r="D26" s="1323"/>
      <c r="E26" s="3228">
        <f>C27-C30-C31-C32</f>
        <v>0</v>
      </c>
      <c r="F26" s="3228"/>
      <c r="G26" s="3228"/>
      <c r="H26" s="1737" t="s">
        <v>1336</v>
      </c>
    </row>
    <row r="27" spans="1:9">
      <c r="A27" s="1324">
        <v>1</v>
      </c>
      <c r="B27" s="1325" t="s">
        <v>1115</v>
      </c>
      <c r="C27" s="1325">
        <f>C28+C29</f>
        <v>0</v>
      </c>
      <c r="D27" s="1325"/>
      <c r="E27" s="3229"/>
      <c r="F27" s="3229"/>
      <c r="G27" s="3229"/>
    </row>
    <row r="28" spans="1:9">
      <c r="A28" s="1326" t="s">
        <v>1116</v>
      </c>
      <c r="B28" s="1325" t="s">
        <v>1117</v>
      </c>
      <c r="C28" s="1325"/>
      <c r="D28" s="1325"/>
      <c r="E28" s="3229"/>
      <c r="F28" s="3229"/>
      <c r="G28" s="322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30"/>
      <c r="F32" s="3230"/>
      <c r="G32" s="3230"/>
    </row>
    <row r="33" spans="1:7" hidden="1">
      <c r="A33" s="3225" t="s">
        <v>1126</v>
      </c>
      <c r="B33" s="3226"/>
      <c r="C33" s="3226"/>
      <c r="D33" s="3227"/>
      <c r="E33" s="3228"/>
      <c r="F33" s="3228"/>
      <c r="G33" s="3228"/>
    </row>
    <row r="34" spans="1:7" hidden="1">
      <c r="A34" s="1328">
        <v>1</v>
      </c>
      <c r="B34" s="1325" t="s">
        <v>1127</v>
      </c>
      <c r="C34" s="1325"/>
      <c r="D34" s="1325"/>
      <c r="E34" s="3229"/>
      <c r="F34" s="3229"/>
      <c r="G34" s="3229"/>
    </row>
    <row r="35" spans="1:7" hidden="1">
      <c r="A35" s="1328">
        <v>2</v>
      </c>
      <c r="B35" s="1325" t="s">
        <v>1128</v>
      </c>
      <c r="C35" s="1325"/>
      <c r="D35" s="1325"/>
      <c r="E35" s="3229"/>
      <c r="F35" s="3229"/>
      <c r="G35" s="3229"/>
    </row>
    <row r="36" spans="1:7" hidden="1">
      <c r="A36" s="1328">
        <v>3</v>
      </c>
      <c r="B36" s="1325" t="s">
        <v>1129</v>
      </c>
      <c r="C36" s="1325"/>
      <c r="D36" s="1325"/>
      <c r="E36" s="3229"/>
      <c r="F36" s="3229"/>
      <c r="G36" s="3229"/>
    </row>
    <row r="37" spans="1:7" hidden="1">
      <c r="A37" s="1328">
        <v>4</v>
      </c>
      <c r="B37" s="1325" t="s">
        <v>1130</v>
      </c>
      <c r="C37" s="1325"/>
      <c r="D37" s="1325"/>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59"/>
      <c r="F1" s="2587"/>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t="e">
        <f ca="1">IF(C2="——",C49,ROUND(B2*10000/D3,0))</f>
        <v>#DIV/0!</v>
      </c>
      <c r="C3" s="400" t="s">
        <v>2644</v>
      </c>
      <c r="D3" s="399">
        <f>IF(D1="",'数据-汇总表'!E3,SUMIF('数据-汇总表'!$C19:$C33,D1,'数据-汇总表'!$E19:$E33))</f>
        <v>1484.1999999999998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207"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207"/>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207"/>
      <c r="AC6" s="3190"/>
    </row>
    <row r="7" spans="1:29" s="117" customFormat="1" ht="15.75" thickBot="1">
      <c r="A7" s="408" t="s">
        <v>2548</v>
      </c>
      <c r="B7" s="409"/>
      <c r="C7" s="410">
        <f>'数据-取费表'!B2</f>
        <v>43713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2560</v>
      </c>
      <c r="Q15" s="1810" t="str">
        <f t="shared" si="6"/>
        <v>商业繁华度</v>
      </c>
      <c r="R15" s="774" t="s">
        <v>17</v>
      </c>
      <c r="S15" s="775">
        <f t="shared" si="0"/>
        <v>100</v>
      </c>
      <c r="T15" s="774" t="s">
        <v>17</v>
      </c>
      <c r="U15" s="775">
        <f t="shared" si="1"/>
        <v>100</v>
      </c>
      <c r="V15" s="774" t="s">
        <v>17</v>
      </c>
      <c r="W15" s="775">
        <f t="shared" si="2"/>
        <v>100</v>
      </c>
      <c r="X15" s="1813"/>
      <c r="Y15" s="3178"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6"/>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80" t="s">
        <v>2565</v>
      </c>
      <c r="Q32" s="1810" t="str">
        <f t="shared" si="11"/>
        <v>商业类型</v>
      </c>
      <c r="R32" s="774" t="s">
        <v>17</v>
      </c>
      <c r="S32" s="775">
        <f t="shared" si="12"/>
        <v>100</v>
      </c>
      <c r="T32" s="774" t="s">
        <v>17</v>
      </c>
      <c r="U32" s="775">
        <f t="shared" si="13"/>
        <v>100</v>
      </c>
      <c r="V32" s="774" t="s">
        <v>17</v>
      </c>
      <c r="W32" s="775">
        <f t="shared" si="14"/>
        <v>100</v>
      </c>
      <c r="X32" s="1813"/>
      <c r="Y32" s="3183"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1" t="e">
        <f t="shared" si="3"/>
        <v>#N/A</v>
      </c>
      <c r="AB33" s="1811" t="e">
        <f t="shared" si="4"/>
        <v>#N/A</v>
      </c>
      <c r="AC33" s="1811"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81"/>
      <c r="Q34" s="1810" t="str">
        <f t="shared" si="11"/>
        <v>建筑结构</v>
      </c>
      <c r="R34" s="774" t="s">
        <v>17</v>
      </c>
      <c r="S34" s="775">
        <f t="shared" si="12"/>
        <v>100</v>
      </c>
      <c r="T34" s="774" t="s">
        <v>17</v>
      </c>
      <c r="U34" s="775">
        <f t="shared" si="13"/>
        <v>100</v>
      </c>
      <c r="V34" s="774" t="s">
        <v>17</v>
      </c>
      <c r="W34" s="775">
        <f t="shared" si="14"/>
        <v>100</v>
      </c>
      <c r="X34" s="1813"/>
      <c r="Y34" s="3183"/>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81"/>
      <c r="Q35" s="1810" t="str">
        <f t="shared" si="11"/>
        <v>公共部分装修</v>
      </c>
      <c r="R35" s="774" t="s">
        <v>17</v>
      </c>
      <c r="S35" s="775">
        <f t="shared" si="12"/>
        <v>100</v>
      </c>
      <c r="T35" s="774" t="s">
        <v>17</v>
      </c>
      <c r="U35" s="775">
        <f t="shared" si="13"/>
        <v>100</v>
      </c>
      <c r="V35" s="774" t="s">
        <v>17</v>
      </c>
      <c r="W35" s="775">
        <f t="shared" si="14"/>
        <v>100</v>
      </c>
      <c r="X35" s="1813"/>
      <c r="Y35" s="3183"/>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10" t="str">
        <f t="shared" si="11"/>
        <v>成新度</v>
      </c>
      <c r="R36" s="774" t="s">
        <v>17</v>
      </c>
      <c r="S36" s="775" t="e">
        <f t="shared" si="12"/>
        <v>#N/A</v>
      </c>
      <c r="T36" s="774" t="s">
        <v>17</v>
      </c>
      <c r="U36" s="775" t="e">
        <f t="shared" si="13"/>
        <v>#N/A</v>
      </c>
      <c r="V36" s="774" t="s">
        <v>17</v>
      </c>
      <c r="W36" s="775" t="e">
        <f t="shared" si="14"/>
        <v>#N/A</v>
      </c>
      <c r="X36" s="1813"/>
      <c r="Y36" s="3183"/>
      <c r="Z36" s="1814" t="str">
        <f t="shared" si="15"/>
        <v>成新度</v>
      </c>
      <c r="AA36" s="1811" t="e">
        <f t="shared" si="3"/>
        <v>#N/A</v>
      </c>
      <c r="AB36" s="1811" t="e">
        <f t="shared" si="4"/>
        <v>#N/A</v>
      </c>
      <c r="AC36" s="1811"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81"/>
      <c r="Q37" s="1795"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81" t="s">
        <v>2565</v>
      </c>
      <c r="Q38" s="1810" t="str">
        <f t="shared" si="11"/>
        <v>业态</v>
      </c>
      <c r="R38" s="774" t="s">
        <v>17</v>
      </c>
      <c r="S38" s="775">
        <f t="shared" si="12"/>
        <v>100</v>
      </c>
      <c r="T38" s="774" t="s">
        <v>17</v>
      </c>
      <c r="U38" s="775">
        <f t="shared" si="13"/>
        <v>100</v>
      </c>
      <c r="V38" s="774" t="s">
        <v>17</v>
      </c>
      <c r="W38" s="775">
        <f t="shared" si="14"/>
        <v>100</v>
      </c>
      <c r="X38" s="1813"/>
      <c r="Y38" s="3183"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81"/>
      <c r="Q39" s="1810" t="str">
        <f t="shared" si="11"/>
        <v>层高</v>
      </c>
      <c r="R39" s="774" t="s">
        <v>17</v>
      </c>
      <c r="S39" s="775">
        <f t="shared" si="12"/>
        <v>100</v>
      </c>
      <c r="T39" s="774" t="s">
        <v>17</v>
      </c>
      <c r="U39" s="775">
        <f t="shared" si="13"/>
        <v>100</v>
      </c>
      <c r="V39" s="774" t="s">
        <v>17</v>
      </c>
      <c r="W39" s="775">
        <f t="shared" si="14"/>
        <v>100</v>
      </c>
      <c r="X39" s="1813"/>
      <c r="Y39" s="3183"/>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10" t="str">
        <f t="shared" si="11"/>
        <v>单套建筑面积</v>
      </c>
      <c r="R40" s="774" t="s">
        <v>17</v>
      </c>
      <c r="S40" s="775">
        <f t="shared" si="12"/>
        <v>100</v>
      </c>
      <c r="T40" s="774" t="s">
        <v>17</v>
      </c>
      <c r="U40" s="775">
        <f t="shared" si="13"/>
        <v>100</v>
      </c>
      <c r="V40" s="774" t="s">
        <v>17</v>
      </c>
      <c r="W40" s="775">
        <f t="shared" si="14"/>
        <v>100</v>
      </c>
      <c r="X40" s="1813"/>
      <c r="Y40" s="3183"/>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81"/>
      <c r="Q42" s="1810" t="str">
        <f t="shared" si="11"/>
        <v>内部装修</v>
      </c>
      <c r="R42" s="774" t="s">
        <v>17</v>
      </c>
      <c r="S42" s="775">
        <f t="shared" si="12"/>
        <v>100</v>
      </c>
      <c r="T42" s="774" t="s">
        <v>17</v>
      </c>
      <c r="U42" s="775">
        <f t="shared" si="13"/>
        <v>100</v>
      </c>
      <c r="V42" s="774" t="s">
        <v>17</v>
      </c>
      <c r="W42" s="775">
        <f t="shared" si="14"/>
        <v>100</v>
      </c>
      <c r="X42" s="1813"/>
      <c r="Y42" s="3183"/>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81"/>
      <c r="Q43" s="1810" t="str">
        <f t="shared" si="11"/>
        <v>内部装修维护情况</v>
      </c>
      <c r="R43" s="774" t="s">
        <v>17</v>
      </c>
      <c r="S43" s="775">
        <f t="shared" si="12"/>
        <v>100</v>
      </c>
      <c r="T43" s="774" t="s">
        <v>17</v>
      </c>
      <c r="U43" s="775">
        <f t="shared" si="13"/>
        <v>100</v>
      </c>
      <c r="V43" s="774" t="s">
        <v>17</v>
      </c>
      <c r="W43" s="775">
        <f t="shared" si="14"/>
        <v>100</v>
      </c>
      <c r="X43" s="1813"/>
      <c r="Y43" s="31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5">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10">
        <f t="shared" si="11"/>
        <v>111</v>
      </c>
      <c r="R45" s="774" t="s">
        <v>17</v>
      </c>
      <c r="S45" s="775">
        <f t="shared" si="12"/>
        <v>100</v>
      </c>
      <c r="T45" s="774" t="s">
        <v>17</v>
      </c>
      <c r="U45" s="775">
        <f t="shared" si="13"/>
        <v>100</v>
      </c>
      <c r="V45" s="774" t="s">
        <v>17</v>
      </c>
      <c r="W45" s="775">
        <f t="shared" si="14"/>
        <v>100</v>
      </c>
      <c r="X45" s="1813"/>
      <c r="Y45" s="318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1484.1999999999998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252" t="s">
        <v>2651</v>
      </c>
      <c r="Q4" s="3253"/>
      <c r="R4" s="3256" t="s">
        <v>2647</v>
      </c>
      <c r="S4" s="3257"/>
      <c r="T4" s="3256" t="s">
        <v>2648</v>
      </c>
      <c r="U4" s="3257"/>
      <c r="V4" s="3258" t="s">
        <v>2649</v>
      </c>
      <c r="W4" s="3258"/>
      <c r="X4" s="2672"/>
      <c r="Y4" s="3256" t="s">
        <v>2651</v>
      </c>
      <c r="Z4" s="3257"/>
      <c r="AA4" s="3260" t="s">
        <v>2647</v>
      </c>
      <c r="AB4" s="3260" t="s">
        <v>2648</v>
      </c>
      <c r="AC4" s="3249" t="s">
        <v>2649</v>
      </c>
    </row>
    <row r="5" spans="1:29" ht="15">
      <c r="A5" s="404"/>
      <c r="B5" s="405"/>
      <c r="C5" s="3210" t="s">
        <v>2542</v>
      </c>
      <c r="D5" s="3211"/>
      <c r="E5" s="3217" t="s">
        <v>2543</v>
      </c>
      <c r="F5" s="3218"/>
      <c r="G5" s="3210" t="s">
        <v>2544</v>
      </c>
      <c r="H5" s="3211"/>
      <c r="I5" s="3210" t="s">
        <v>2545</v>
      </c>
      <c r="J5" s="3211"/>
      <c r="K5" s="610"/>
      <c r="L5" s="1130"/>
      <c r="M5" s="1131"/>
      <c r="N5" s="1131"/>
      <c r="O5" s="1131"/>
      <c r="P5" s="3254"/>
      <c r="Q5" s="3198"/>
      <c r="R5" s="3203"/>
      <c r="S5" s="3204"/>
      <c r="T5" s="3203"/>
      <c r="U5" s="3204"/>
      <c r="V5" s="3207"/>
      <c r="W5" s="3207"/>
      <c r="X5" s="1813"/>
      <c r="Y5" s="3203"/>
      <c r="Z5" s="3204"/>
      <c r="AA5" s="3189"/>
      <c r="AB5" s="3189"/>
      <c r="AC5" s="3250"/>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255"/>
      <c r="Q6" s="3200"/>
      <c r="R6" s="3203"/>
      <c r="S6" s="3204"/>
      <c r="T6" s="3205"/>
      <c r="U6" s="3206"/>
      <c r="V6" s="3207"/>
      <c r="W6" s="3207"/>
      <c r="X6" s="1813"/>
      <c r="Y6" s="3205"/>
      <c r="Z6" s="3206"/>
      <c r="AA6" s="3190"/>
      <c r="AB6" s="3190"/>
      <c r="AC6" s="3251"/>
    </row>
    <row r="7" spans="1:29" s="117" customFormat="1" ht="15.75" thickBot="1">
      <c r="A7" s="408" t="s">
        <v>2548</v>
      </c>
      <c r="B7" s="409"/>
      <c r="C7" s="410">
        <f>'数据-取费表'!B2</f>
        <v>43713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2552</v>
      </c>
      <c r="Q8" s="3213"/>
      <c r="R8" s="770" t="s">
        <v>17</v>
      </c>
      <c r="S8" s="771">
        <f t="shared" si="0"/>
        <v>0</v>
      </c>
      <c r="T8" s="770" t="s">
        <v>17</v>
      </c>
      <c r="U8" s="771">
        <f t="shared" si="1"/>
        <v>0</v>
      </c>
      <c r="V8" s="770" t="s">
        <v>17</v>
      </c>
      <c r="W8" s="771">
        <f t="shared" si="2"/>
        <v>0</v>
      </c>
      <c r="X8" s="772"/>
      <c r="Y8" s="3212" t="s">
        <v>2552</v>
      </c>
      <c r="Z8" s="3213"/>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2560</v>
      </c>
      <c r="Q15" s="1810" t="str">
        <f t="shared" si="6"/>
        <v>办公集聚程度</v>
      </c>
      <c r="R15" s="774" t="s">
        <v>17</v>
      </c>
      <c r="S15" s="775">
        <f t="shared" si="0"/>
        <v>100</v>
      </c>
      <c r="T15" s="774" t="s">
        <v>17</v>
      </c>
      <c r="U15" s="775">
        <f t="shared" si="1"/>
        <v>100</v>
      </c>
      <c r="V15" s="774" t="s">
        <v>17</v>
      </c>
      <c r="W15" s="775">
        <f t="shared" si="2"/>
        <v>100</v>
      </c>
      <c r="X15" s="1813"/>
      <c r="Y15" s="3178"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6"/>
      <c r="Q18" s="1810"/>
      <c r="R18" s="774"/>
      <c r="S18" s="775"/>
      <c r="T18" s="774"/>
      <c r="U18" s="775"/>
      <c r="V18" s="774"/>
      <c r="W18" s="775"/>
      <c r="X18" s="1813"/>
      <c r="Y18" s="3179"/>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6"/>
      <c r="Q20" s="1810"/>
      <c r="R20" s="774"/>
      <c r="S20" s="775"/>
      <c r="T20" s="774"/>
      <c r="U20" s="775"/>
      <c r="V20" s="774"/>
      <c r="W20" s="775"/>
      <c r="X20" s="1813"/>
      <c r="Y20" s="3179"/>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6"/>
      <c r="Q22" s="1810"/>
      <c r="R22" s="774"/>
      <c r="S22" s="775"/>
      <c r="T22" s="774"/>
      <c r="U22" s="775"/>
      <c r="V22" s="774"/>
      <c r="W22" s="775"/>
      <c r="X22" s="1813"/>
      <c r="Y22" s="3179"/>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6"/>
      <c r="Q24" s="1810"/>
      <c r="R24" s="774"/>
      <c r="S24" s="775"/>
      <c r="T24" s="774"/>
      <c r="U24" s="775"/>
      <c r="V24" s="774"/>
      <c r="W24" s="775"/>
      <c r="X24" s="1813"/>
      <c r="Y24" s="3179"/>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6"/>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6"/>
      <c r="Q26" s="1810"/>
      <c r="R26" s="774"/>
      <c r="S26" s="775"/>
      <c r="T26" s="774"/>
      <c r="U26" s="775"/>
      <c r="V26" s="774"/>
      <c r="W26" s="775"/>
      <c r="X26" s="1813"/>
      <c r="Y26" s="3179"/>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6"/>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6"/>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6"/>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80" t="s">
        <v>2565</v>
      </c>
      <c r="Q33" s="1810" t="str">
        <f t="shared" si="11"/>
        <v>建筑类型</v>
      </c>
      <c r="R33" s="774" t="s">
        <v>17</v>
      </c>
      <c r="S33" s="775">
        <f t="shared" si="12"/>
        <v>100</v>
      </c>
      <c r="T33" s="774" t="s">
        <v>17</v>
      </c>
      <c r="U33" s="775">
        <f t="shared" si="13"/>
        <v>100</v>
      </c>
      <c r="V33" s="774" t="s">
        <v>17</v>
      </c>
      <c r="W33" s="775">
        <f t="shared" si="14"/>
        <v>100</v>
      </c>
      <c r="X33" s="1813"/>
      <c r="Y33" s="3183"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10" t="str">
        <f t="shared" si="11"/>
        <v>建筑结构</v>
      </c>
      <c r="R35" s="774" t="s">
        <v>17</v>
      </c>
      <c r="S35" s="775">
        <f t="shared" si="12"/>
        <v>100</v>
      </c>
      <c r="T35" s="774" t="s">
        <v>17</v>
      </c>
      <c r="U35" s="775">
        <f t="shared" si="13"/>
        <v>100</v>
      </c>
      <c r="V35" s="774" t="s">
        <v>17</v>
      </c>
      <c r="W35" s="775">
        <f t="shared" si="14"/>
        <v>100</v>
      </c>
      <c r="X35" s="1813"/>
      <c r="Y35" s="3183"/>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10" t="str">
        <f t="shared" si="11"/>
        <v>公共部分装修</v>
      </c>
      <c r="R36" s="774" t="s">
        <v>17</v>
      </c>
      <c r="S36" s="775">
        <f t="shared" si="12"/>
        <v>100</v>
      </c>
      <c r="T36" s="774" t="s">
        <v>17</v>
      </c>
      <c r="U36" s="775">
        <f t="shared" si="13"/>
        <v>100</v>
      </c>
      <c r="V36" s="774" t="s">
        <v>17</v>
      </c>
      <c r="W36" s="775">
        <f t="shared" si="14"/>
        <v>100</v>
      </c>
      <c r="X36" s="1813"/>
      <c r="Y36" s="3183"/>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1"/>
      <c r="Q37" s="1810" t="str">
        <f t="shared" si="11"/>
        <v>成新度</v>
      </c>
      <c r="R37" s="774" t="s">
        <v>17</v>
      </c>
      <c r="S37" s="775" t="e">
        <f t="shared" si="12"/>
        <v>#N/A</v>
      </c>
      <c r="T37" s="774" t="s">
        <v>17</v>
      </c>
      <c r="U37" s="775" t="e">
        <f t="shared" si="13"/>
        <v>#N/A</v>
      </c>
      <c r="V37" s="774" t="s">
        <v>17</v>
      </c>
      <c r="W37" s="775" t="e">
        <f t="shared" si="14"/>
        <v>#N/A</v>
      </c>
      <c r="X37" s="1813"/>
      <c r="Y37" s="3183"/>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5"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2565</v>
      </c>
      <c r="Q39" s="1810" t="str">
        <f t="shared" si="11"/>
        <v>物业管理</v>
      </c>
      <c r="R39" s="774" t="s">
        <v>17</v>
      </c>
      <c r="S39" s="775">
        <f t="shared" si="12"/>
        <v>100</v>
      </c>
      <c r="T39" s="774" t="s">
        <v>17</v>
      </c>
      <c r="U39" s="775">
        <f t="shared" si="13"/>
        <v>100</v>
      </c>
      <c r="V39" s="774" t="s">
        <v>17</v>
      </c>
      <c r="W39" s="775">
        <f t="shared" si="14"/>
        <v>100</v>
      </c>
      <c r="X39" s="1813"/>
      <c r="Y39" s="3183"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10" t="str">
        <f t="shared" si="11"/>
        <v>市政基础设施</v>
      </c>
      <c r="R40" s="774" t="s">
        <v>17</v>
      </c>
      <c r="S40" s="775">
        <f t="shared" si="12"/>
        <v>100</v>
      </c>
      <c r="T40" s="774" t="s">
        <v>17</v>
      </c>
      <c r="U40" s="775">
        <f t="shared" si="13"/>
        <v>100</v>
      </c>
      <c r="V40" s="774" t="s">
        <v>17</v>
      </c>
      <c r="W40" s="775">
        <f t="shared" si="14"/>
        <v>100</v>
      </c>
      <c r="X40" s="1813"/>
      <c r="Y40" s="3183"/>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10" t="str">
        <f t="shared" si="11"/>
        <v>层高</v>
      </c>
      <c r="R41" s="774" t="s">
        <v>17</v>
      </c>
      <c r="S41" s="775">
        <f t="shared" si="12"/>
        <v>100</v>
      </c>
      <c r="T41" s="774" t="s">
        <v>17</v>
      </c>
      <c r="U41" s="775">
        <f t="shared" si="13"/>
        <v>100</v>
      </c>
      <c r="V41" s="774" t="s">
        <v>17</v>
      </c>
      <c r="W41" s="775">
        <f t="shared" si="14"/>
        <v>100</v>
      </c>
      <c r="X41" s="1813"/>
      <c r="Y41" s="3183"/>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10" t="str">
        <f t="shared" si="11"/>
        <v>内部装修</v>
      </c>
      <c r="R43" s="774" t="s">
        <v>17</v>
      </c>
      <c r="S43" s="775">
        <f t="shared" si="12"/>
        <v>100</v>
      </c>
      <c r="T43" s="774" t="s">
        <v>17</v>
      </c>
      <c r="U43" s="775">
        <f t="shared" si="13"/>
        <v>100</v>
      </c>
      <c r="V43" s="774" t="s">
        <v>17</v>
      </c>
      <c r="W43" s="775">
        <f t="shared" si="14"/>
        <v>100</v>
      </c>
      <c r="X43" s="1813"/>
      <c r="Y43" s="3183"/>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81"/>
      <c r="Q44" s="1810" t="str">
        <f t="shared" si="11"/>
        <v>内部装修维护情况</v>
      </c>
      <c r="R44" s="774" t="s">
        <v>17</v>
      </c>
      <c r="S44" s="775">
        <f t="shared" si="12"/>
        <v>100</v>
      </c>
      <c r="T44" s="774" t="s">
        <v>17</v>
      </c>
      <c r="U44" s="775">
        <f t="shared" si="13"/>
        <v>100</v>
      </c>
      <c r="V44" s="774" t="s">
        <v>17</v>
      </c>
      <c r="W44" s="775">
        <f t="shared" si="14"/>
        <v>100</v>
      </c>
      <c r="X44" s="1813"/>
      <c r="Y44" s="318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5">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10">
        <f t="shared" si="11"/>
        <v>111</v>
      </c>
      <c r="R47" s="774" t="s">
        <v>17</v>
      </c>
      <c r="S47" s="775">
        <f t="shared" si="12"/>
        <v>100</v>
      </c>
      <c r="T47" s="774" t="s">
        <v>17</v>
      </c>
      <c r="U47" s="775">
        <f t="shared" si="13"/>
        <v>100</v>
      </c>
      <c r="V47" s="774" t="s">
        <v>17</v>
      </c>
      <c r="W47" s="775">
        <f t="shared" si="14"/>
        <v>100</v>
      </c>
      <c r="X47" s="1813"/>
      <c r="Y47" s="3184"/>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受贵公司委托，我公司对北京市海淀区联慧路101号房地产抵押价值进行了预评估。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估价对象为北京市海淀区联慧路101号房地产，为所有。根据《国有土地使用证》[]，估价对象（分摊）出让国有建设用地使用权面积为0平方米，建筑面积为1484.2平方米。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估价对象为北京市海淀区联慧路101号房地产,属开发建设的，该项目尚在开发建设中。根据《国有土地使用证》[]，估价对象（分摊）出让国有建设用地使用权面积为0平方米，规划建筑面积为1484.2平方米。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海淀区联慧路101号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2019年9月5日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1484.1999999999998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43713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2560</v>
      </c>
      <c r="Q15" s="1810" t="str">
        <f t="shared" si="6"/>
        <v>产业集聚程度</v>
      </c>
      <c r="R15" s="774" t="s">
        <v>17</v>
      </c>
      <c r="S15" s="775">
        <f t="shared" si="0"/>
        <v>100</v>
      </c>
      <c r="T15" s="774" t="s">
        <v>17</v>
      </c>
      <c r="U15" s="775">
        <f t="shared" si="1"/>
        <v>100</v>
      </c>
      <c r="V15" s="774" t="s">
        <v>17</v>
      </c>
      <c r="W15" s="775">
        <f t="shared" si="2"/>
        <v>100</v>
      </c>
      <c r="X15" s="1813"/>
      <c r="Y15" s="3178"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2565</v>
      </c>
      <c r="Q29" s="1810" t="str">
        <f t="shared" si="11"/>
        <v>建筑类型</v>
      </c>
      <c r="R29" s="774" t="s">
        <v>17</v>
      </c>
      <c r="S29" s="775">
        <f t="shared" si="12"/>
        <v>100</v>
      </c>
      <c r="T29" s="774" t="s">
        <v>17</v>
      </c>
      <c r="U29" s="775">
        <f t="shared" si="13"/>
        <v>100</v>
      </c>
      <c r="V29" s="774" t="s">
        <v>17</v>
      </c>
      <c r="W29" s="775">
        <f t="shared" si="14"/>
        <v>100</v>
      </c>
      <c r="X29" s="1813"/>
      <c r="Y29" s="3183"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10" t="str">
        <f t="shared" si="11"/>
        <v>建筑结构</v>
      </c>
      <c r="R31" s="774" t="s">
        <v>17</v>
      </c>
      <c r="S31" s="775">
        <f t="shared" si="12"/>
        <v>100</v>
      </c>
      <c r="T31" s="774" t="s">
        <v>17</v>
      </c>
      <c r="U31" s="775">
        <f t="shared" si="13"/>
        <v>100</v>
      </c>
      <c r="V31" s="774" t="s">
        <v>17</v>
      </c>
      <c r="W31" s="775">
        <f t="shared" si="14"/>
        <v>100</v>
      </c>
      <c r="X31" s="1813"/>
      <c r="Y31" s="3183"/>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10" t="str">
        <f t="shared" si="11"/>
        <v>公共部分装修</v>
      </c>
      <c r="R32" s="774" t="s">
        <v>17</v>
      </c>
      <c r="S32" s="775">
        <f t="shared" si="12"/>
        <v>100</v>
      </c>
      <c r="T32" s="774" t="s">
        <v>17</v>
      </c>
      <c r="U32" s="775">
        <f t="shared" si="13"/>
        <v>100</v>
      </c>
      <c r="V32" s="774" t="s">
        <v>17</v>
      </c>
      <c r="W32" s="775">
        <f t="shared" si="14"/>
        <v>100</v>
      </c>
      <c r="X32" s="1813"/>
      <c r="Y32" s="3183"/>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3"/>
      <c r="Q33" s="1810" t="str">
        <f t="shared" si="11"/>
        <v>成新度</v>
      </c>
      <c r="R33" s="774" t="s">
        <v>17</v>
      </c>
      <c r="S33" s="775" t="e">
        <f t="shared" si="12"/>
        <v>#N/A</v>
      </c>
      <c r="T33" s="774" t="s">
        <v>17</v>
      </c>
      <c r="U33" s="775" t="e">
        <f t="shared" si="13"/>
        <v>#N/A</v>
      </c>
      <c r="V33" s="774" t="s">
        <v>17</v>
      </c>
      <c r="W33" s="775" t="e">
        <f t="shared" si="14"/>
        <v>#N/A</v>
      </c>
      <c r="X33" s="1813"/>
      <c r="Y33" s="3183"/>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5"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2565</v>
      </c>
      <c r="Q35" s="1810" t="str">
        <f t="shared" si="11"/>
        <v>市政基础设施</v>
      </c>
      <c r="R35" s="774" t="s">
        <v>17</v>
      </c>
      <c r="S35" s="775">
        <f t="shared" si="12"/>
        <v>100</v>
      </c>
      <c r="T35" s="774" t="s">
        <v>17</v>
      </c>
      <c r="U35" s="775">
        <f t="shared" si="13"/>
        <v>100</v>
      </c>
      <c r="V35" s="774" t="s">
        <v>17</v>
      </c>
      <c r="W35" s="775">
        <f t="shared" si="14"/>
        <v>100</v>
      </c>
      <c r="X35" s="1813"/>
      <c r="Y35" s="3183"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10" t="str">
        <f t="shared" si="11"/>
        <v>内部装修</v>
      </c>
      <c r="R36" s="774" t="s">
        <v>17</v>
      </c>
      <c r="S36" s="775">
        <f t="shared" si="12"/>
        <v>100</v>
      </c>
      <c r="T36" s="774" t="s">
        <v>17</v>
      </c>
      <c r="U36" s="775">
        <f t="shared" si="13"/>
        <v>100</v>
      </c>
      <c r="V36" s="774" t="s">
        <v>17</v>
      </c>
      <c r="W36" s="775">
        <f t="shared" si="14"/>
        <v>100</v>
      </c>
      <c r="X36" s="1813"/>
      <c r="Y36" s="3183"/>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10" t="str">
        <f t="shared" si="11"/>
        <v>内部装修状况</v>
      </c>
      <c r="R37" s="774" t="s">
        <v>17</v>
      </c>
      <c r="S37" s="775">
        <f t="shared" si="12"/>
        <v>100</v>
      </c>
      <c r="T37" s="774" t="s">
        <v>17</v>
      </c>
      <c r="U37" s="775">
        <f t="shared" si="13"/>
        <v>100</v>
      </c>
      <c r="V37" s="774" t="s">
        <v>17</v>
      </c>
      <c r="W37" s="775">
        <f t="shared" si="14"/>
        <v>100</v>
      </c>
      <c r="X37" s="1813"/>
      <c r="Y37" s="31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10">
        <f t="shared" si="11"/>
        <v>111</v>
      </c>
      <c r="R39" s="774" t="s">
        <v>17</v>
      </c>
      <c r="S39" s="775">
        <f t="shared" si="12"/>
        <v>100</v>
      </c>
      <c r="T39" s="774" t="s">
        <v>17</v>
      </c>
      <c r="U39" s="775">
        <f t="shared" si="13"/>
        <v>100</v>
      </c>
      <c r="V39" s="774" t="s">
        <v>17</v>
      </c>
      <c r="W39" s="775">
        <f t="shared" si="14"/>
        <v>100</v>
      </c>
      <c r="X39" s="1813"/>
      <c r="Y39" s="318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10">
        <f t="shared" si="11"/>
        <v>111</v>
      </c>
      <c r="R40" s="774" t="s">
        <v>17</v>
      </c>
      <c r="S40" s="775">
        <f t="shared" si="12"/>
        <v>100</v>
      </c>
      <c r="T40" s="774" t="s">
        <v>17</v>
      </c>
      <c r="U40" s="775">
        <f t="shared" si="13"/>
        <v>100</v>
      </c>
      <c r="V40" s="774" t="s">
        <v>17</v>
      </c>
      <c r="W40" s="775">
        <f t="shared" si="14"/>
        <v>100</v>
      </c>
      <c r="X40" s="1813"/>
      <c r="Y40" s="3184"/>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43713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2549</v>
      </c>
      <c r="Q7" s="3214"/>
      <c r="R7" s="770" t="s">
        <v>17</v>
      </c>
      <c r="S7" s="771">
        <f t="shared" ref="S7:S14" si="0">F7</f>
        <v>0</v>
      </c>
      <c r="T7" s="770" t="s">
        <v>17</v>
      </c>
      <c r="U7" s="771">
        <f t="shared" ref="U7:U14" si="1">H7</f>
        <v>0</v>
      </c>
      <c r="V7" s="770" t="s">
        <v>17</v>
      </c>
      <c r="W7" s="771">
        <f t="shared" ref="W7:W14"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2555</v>
      </c>
      <c r="Q9" s="1795"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2560</v>
      </c>
      <c r="Q14" s="1810" t="str">
        <f t="shared" si="6"/>
        <v>交通便捷度</v>
      </c>
      <c r="R14" s="774" t="s">
        <v>17</v>
      </c>
      <c r="S14" s="775">
        <f t="shared" si="0"/>
        <v>100</v>
      </c>
      <c r="T14" s="774" t="s">
        <v>17</v>
      </c>
      <c r="U14" s="775">
        <f t="shared" si="1"/>
        <v>100</v>
      </c>
      <c r="V14" s="774" t="s">
        <v>17</v>
      </c>
      <c r="W14" s="775">
        <f t="shared" si="2"/>
        <v>100</v>
      </c>
      <c r="X14" s="1813"/>
      <c r="Y14" s="3178"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3"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10" t="str">
        <f t="shared" si="11"/>
        <v>公共部分装修</v>
      </c>
      <c r="R28" s="774" t="s">
        <v>17</v>
      </c>
      <c r="S28" s="775">
        <f t="shared" si="12"/>
        <v>100</v>
      </c>
      <c r="T28" s="774" t="s">
        <v>17</v>
      </c>
      <c r="U28" s="775">
        <f t="shared" si="13"/>
        <v>100</v>
      </c>
      <c r="V28" s="774" t="s">
        <v>17</v>
      </c>
      <c r="W28" s="775">
        <f t="shared" si="14"/>
        <v>100</v>
      </c>
      <c r="X28" s="1813"/>
      <c r="Y28" s="3183"/>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10" t="str">
        <f t="shared" si="11"/>
        <v>成新率</v>
      </c>
      <c r="R29" s="774" t="s">
        <v>17</v>
      </c>
      <c r="S29" s="775" t="e">
        <f t="shared" si="12"/>
        <v>#N/A</v>
      </c>
      <c r="T29" s="774" t="s">
        <v>17</v>
      </c>
      <c r="U29" s="775" t="e">
        <f t="shared" si="13"/>
        <v>#N/A</v>
      </c>
      <c r="V29" s="774" t="s">
        <v>17</v>
      </c>
      <c r="W29" s="775" t="e">
        <f t="shared" si="14"/>
        <v>#N/A</v>
      </c>
      <c r="X29" s="1813"/>
      <c r="Y29" s="3183"/>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10" t="str">
        <f t="shared" si="11"/>
        <v>物业等级</v>
      </c>
      <c r="R30" s="774" t="s">
        <v>17</v>
      </c>
      <c r="S30" s="775">
        <f t="shared" si="12"/>
        <v>100</v>
      </c>
      <c r="T30" s="774" t="s">
        <v>17</v>
      </c>
      <c r="U30" s="775">
        <f t="shared" si="13"/>
        <v>100</v>
      </c>
      <c r="V30" s="774" t="s">
        <v>17</v>
      </c>
      <c r="W30" s="775">
        <f t="shared" si="14"/>
        <v>100</v>
      </c>
      <c r="X30" s="1813"/>
      <c r="Y30" s="3183"/>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5"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2565</v>
      </c>
      <c r="Q32" s="1810" t="str">
        <f t="shared" si="11"/>
        <v>车位类型</v>
      </c>
      <c r="R32" s="774" t="s">
        <v>17</v>
      </c>
      <c r="S32" s="775">
        <f t="shared" si="12"/>
        <v>100</v>
      </c>
      <c r="T32" s="774" t="s">
        <v>17</v>
      </c>
      <c r="U32" s="775">
        <f t="shared" si="13"/>
        <v>100</v>
      </c>
      <c r="V32" s="774" t="s">
        <v>17</v>
      </c>
      <c r="W32" s="775">
        <f t="shared" si="14"/>
        <v>100</v>
      </c>
      <c r="X32" s="1813"/>
      <c r="Y32" s="3183"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10" t="str">
        <f t="shared" si="11"/>
        <v>是否直接入户</v>
      </c>
      <c r="R33" s="774" t="s">
        <v>17</v>
      </c>
      <c r="S33" s="775">
        <f t="shared" si="12"/>
        <v>100</v>
      </c>
      <c r="T33" s="774" t="s">
        <v>17</v>
      </c>
      <c r="U33" s="775">
        <f t="shared" si="13"/>
        <v>100</v>
      </c>
      <c r="V33" s="774" t="s">
        <v>17</v>
      </c>
      <c r="W33" s="775">
        <f t="shared" si="14"/>
        <v>100</v>
      </c>
      <c r="X33" s="1813"/>
      <c r="Y33" s="31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10">
        <f t="shared" si="11"/>
        <v>111</v>
      </c>
      <c r="R36" s="774" t="s">
        <v>17</v>
      </c>
      <c r="S36" s="775">
        <f t="shared" si="12"/>
        <v>100</v>
      </c>
      <c r="T36" s="774" t="s">
        <v>17</v>
      </c>
      <c r="U36" s="775">
        <f t="shared" si="13"/>
        <v>100</v>
      </c>
      <c r="V36" s="774" t="s">
        <v>17</v>
      </c>
      <c r="W36" s="775">
        <f t="shared" si="14"/>
        <v>100</v>
      </c>
      <c r="X36" s="1813"/>
      <c r="Y36" s="3183"/>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43713</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2" t="s">
        <v>2549</v>
      </c>
      <c r="Q7" s="3214"/>
      <c r="R7" s="770" t="s">
        <v>17</v>
      </c>
      <c r="S7" s="771">
        <f t="shared" ref="S7:S14" si="0">F7</f>
        <v>0</v>
      </c>
      <c r="T7" s="770" t="s">
        <v>17</v>
      </c>
      <c r="U7" s="771">
        <f t="shared" ref="U7:U14" si="1">H7</f>
        <v>0</v>
      </c>
      <c r="V7" s="770" t="s">
        <v>17</v>
      </c>
      <c r="W7" s="771">
        <f t="shared" ref="W7:W14" si="2">J7</f>
        <v>0</v>
      </c>
      <c r="X7" s="772"/>
      <c r="Y7" s="3212" t="s">
        <v>2549</v>
      </c>
      <c r="Z7" s="321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2555</v>
      </c>
      <c r="Q9" s="1795" t="str">
        <f t="shared" ref="Q9:Q14" si="6">B9</f>
        <v>用途</v>
      </c>
      <c r="R9" s="770" t="s">
        <v>17</v>
      </c>
      <c r="S9" s="771">
        <f t="shared" si="0"/>
        <v>100</v>
      </c>
      <c r="T9" s="770" t="s">
        <v>17</v>
      </c>
      <c r="U9" s="771">
        <f t="shared" si="1"/>
        <v>100</v>
      </c>
      <c r="V9" s="770" t="s">
        <v>17</v>
      </c>
      <c r="W9" s="771">
        <f t="shared" si="2"/>
        <v>100</v>
      </c>
      <c r="X9" s="772"/>
      <c r="Y9" s="301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2560</v>
      </c>
      <c r="Q14" s="1810" t="str">
        <f t="shared" si="6"/>
        <v>交通便捷度</v>
      </c>
      <c r="R14" s="774" t="s">
        <v>17</v>
      </c>
      <c r="S14" s="775">
        <f t="shared" si="0"/>
        <v>100</v>
      </c>
      <c r="T14" s="774" t="s">
        <v>17</v>
      </c>
      <c r="U14" s="775">
        <f t="shared" si="1"/>
        <v>100</v>
      </c>
      <c r="V14" s="774" t="s">
        <v>17</v>
      </c>
      <c r="W14" s="775">
        <f t="shared" si="2"/>
        <v>100</v>
      </c>
      <c r="X14" s="1813"/>
      <c r="Y14" s="3178"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3"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10" t="str">
        <f t="shared" si="11"/>
        <v>物业等级</v>
      </c>
      <c r="R28" s="774" t="s">
        <v>17</v>
      </c>
      <c r="S28" s="775">
        <f t="shared" si="12"/>
        <v>100</v>
      </c>
      <c r="T28" s="774" t="s">
        <v>17</v>
      </c>
      <c r="U28" s="775">
        <f t="shared" si="13"/>
        <v>100</v>
      </c>
      <c r="V28" s="774" t="s">
        <v>17</v>
      </c>
      <c r="W28" s="775">
        <f t="shared" si="14"/>
        <v>100</v>
      </c>
      <c r="X28" s="1813"/>
      <c r="Y28" s="3183"/>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10" t="str">
        <f t="shared" si="11"/>
        <v>有无电梯</v>
      </c>
      <c r="R29" s="774" t="s">
        <v>17</v>
      </c>
      <c r="S29" s="775">
        <f t="shared" si="12"/>
        <v>100</v>
      </c>
      <c r="T29" s="774" t="s">
        <v>17</v>
      </c>
      <c r="U29" s="775">
        <f t="shared" si="13"/>
        <v>100</v>
      </c>
      <c r="V29" s="774" t="s">
        <v>17</v>
      </c>
      <c r="W29" s="775">
        <f t="shared" si="14"/>
        <v>100</v>
      </c>
      <c r="X29" s="1813"/>
      <c r="Y29" s="3183"/>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10" t="str">
        <f t="shared" si="11"/>
        <v>建筑面积</v>
      </c>
      <c r="R30" s="774" t="s">
        <v>17</v>
      </c>
      <c r="S30" s="775" t="e">
        <f t="shared" si="12"/>
        <v>#N/A</v>
      </c>
      <c r="T30" s="774" t="s">
        <v>17</v>
      </c>
      <c r="U30" s="775" t="e">
        <f t="shared" si="13"/>
        <v>#N/A</v>
      </c>
      <c r="V30" s="774" t="s">
        <v>17</v>
      </c>
      <c r="W30" s="775" t="e">
        <f t="shared" si="14"/>
        <v>#N/A</v>
      </c>
      <c r="X30" s="1813"/>
      <c r="Y30" s="3183"/>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5"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2565</v>
      </c>
      <c r="Q32" s="1810">
        <f t="shared" si="11"/>
        <v>111</v>
      </c>
      <c r="R32" s="774" t="s">
        <v>17</v>
      </c>
      <c r="S32" s="775">
        <f t="shared" si="12"/>
        <v>100</v>
      </c>
      <c r="T32" s="774" t="s">
        <v>17</v>
      </c>
      <c r="U32" s="775">
        <f t="shared" si="13"/>
        <v>100</v>
      </c>
      <c r="V32" s="774" t="s">
        <v>17</v>
      </c>
      <c r="W32" s="775">
        <f t="shared" si="14"/>
        <v>100</v>
      </c>
      <c r="X32" s="1813"/>
      <c r="Y32" s="3183"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10">
        <f t="shared" si="11"/>
        <v>111</v>
      </c>
      <c r="R33" s="774" t="s">
        <v>17</v>
      </c>
      <c r="S33" s="775">
        <f t="shared" si="12"/>
        <v>100</v>
      </c>
      <c r="T33" s="774" t="s">
        <v>17</v>
      </c>
      <c r="U33" s="775">
        <f t="shared" si="13"/>
        <v>100</v>
      </c>
      <c r="V33" s="774" t="s">
        <v>17</v>
      </c>
      <c r="W33" s="775">
        <f t="shared" si="14"/>
        <v>100</v>
      </c>
      <c r="X33" s="1813"/>
      <c r="Y33" s="318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30"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30" ht="15.75" thickBot="1">
      <c r="A6" s="406"/>
      <c r="B6" s="407"/>
      <c r="C6" s="3208" t="s">
        <v>2546</v>
      </c>
      <c r="D6" s="3209"/>
      <c r="E6" s="3215" t="s">
        <v>2546</v>
      </c>
      <c r="F6" s="3216"/>
      <c r="G6" s="3208" t="s">
        <v>2546</v>
      </c>
      <c r="H6" s="3209"/>
      <c r="I6" s="3208" t="s">
        <v>2546</v>
      </c>
      <c r="J6" s="3209"/>
      <c r="K6" s="610" t="s">
        <v>2547</v>
      </c>
      <c r="L6" s="1130"/>
      <c r="M6" s="1131"/>
      <c r="N6" s="1131"/>
      <c r="O6" s="1131"/>
      <c r="P6" s="3199"/>
      <c r="Q6" s="3200"/>
      <c r="R6" s="3203"/>
      <c r="S6" s="3204"/>
      <c r="T6" s="3205"/>
      <c r="U6" s="3206"/>
      <c r="V6" s="3207"/>
      <c r="W6" s="3207"/>
      <c r="X6" s="1813"/>
      <c r="Y6" s="3205"/>
      <c r="Z6" s="3206"/>
      <c r="AA6" s="3190"/>
      <c r="AB6" s="3190"/>
      <c r="AC6" s="3190"/>
    </row>
    <row r="7" spans="1:30" s="117" customFormat="1" ht="15.75" thickBot="1">
      <c r="A7" s="408" t="s">
        <v>2548</v>
      </c>
      <c r="B7" s="409"/>
      <c r="C7" s="410">
        <f>'数据-取费表'!B2</f>
        <v>43713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76"/>
      <c r="Q10" s="1795"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2560</v>
      </c>
      <c r="Q15" s="1810" t="str">
        <f t="shared" si="6"/>
        <v>居住社区成熟度</v>
      </c>
      <c r="R15" s="774" t="s">
        <v>17</v>
      </c>
      <c r="S15" s="775">
        <f t="shared" si="0"/>
        <v>100</v>
      </c>
      <c r="T15" s="774" t="s">
        <v>17</v>
      </c>
      <c r="U15" s="775">
        <f t="shared" si="1"/>
        <v>100</v>
      </c>
      <c r="V15" s="774" t="s">
        <v>17</v>
      </c>
      <c r="W15" s="775">
        <f t="shared" si="2"/>
        <v>100</v>
      </c>
      <c r="X15" s="1813"/>
      <c r="Y15" s="3178"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2565</v>
      </c>
      <c r="Q36" s="1810">
        <f t="shared" si="8"/>
        <v>111</v>
      </c>
      <c r="R36" s="774" t="s">
        <v>17</v>
      </c>
      <c r="S36" s="775">
        <f t="shared" si="10"/>
        <v>100</v>
      </c>
      <c r="T36" s="774" t="s">
        <v>17</v>
      </c>
      <c r="U36" s="775">
        <f t="shared" si="11"/>
        <v>100</v>
      </c>
      <c r="V36" s="774" t="s">
        <v>17</v>
      </c>
      <c r="W36" s="775">
        <f t="shared" si="12"/>
        <v>100</v>
      </c>
      <c r="X36" s="1813"/>
      <c r="Y36" s="3183"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10">
        <f t="shared" si="8"/>
        <v>111</v>
      </c>
      <c r="R37" s="777" t="s">
        <v>17</v>
      </c>
      <c r="S37" s="778">
        <f t="shared" si="10"/>
        <v>100</v>
      </c>
      <c r="T37" s="777" t="s">
        <v>17</v>
      </c>
      <c r="U37" s="778">
        <f t="shared" si="11"/>
        <v>100</v>
      </c>
      <c r="V37" s="777" t="s">
        <v>17</v>
      </c>
      <c r="W37" s="778">
        <f t="shared" si="12"/>
        <v>100</v>
      </c>
      <c r="X37" s="779"/>
      <c r="Y37" s="3183"/>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3"/>
      <c r="Q38" s="1810" t="str">
        <f>B38</f>
        <v>宗地面积</v>
      </c>
      <c r="R38" s="774" t="s">
        <v>17</v>
      </c>
      <c r="S38" s="775" t="e">
        <f t="shared" si="10"/>
        <v>#N/A</v>
      </c>
      <c r="T38" s="774" t="s">
        <v>17</v>
      </c>
      <c r="U38" s="775" t="e">
        <f t="shared" si="11"/>
        <v>#N/A</v>
      </c>
      <c r="V38" s="774" t="s">
        <v>17</v>
      </c>
      <c r="W38" s="775" t="e">
        <f t="shared" si="12"/>
        <v>#N/A</v>
      </c>
      <c r="X38" s="1813"/>
      <c r="Y38" s="3183"/>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83"/>
      <c r="Q39" s="1810" t="str">
        <f t="shared" ref="Q39:Q45" si="14">B39</f>
        <v>宗地形状</v>
      </c>
      <c r="R39" s="774" t="s">
        <v>17</v>
      </c>
      <c r="S39" s="775">
        <f t="shared" si="10"/>
        <v>100</v>
      </c>
      <c r="T39" s="774" t="s">
        <v>17</v>
      </c>
      <c r="U39" s="775">
        <f t="shared" si="11"/>
        <v>100</v>
      </c>
      <c r="V39" s="774" t="s">
        <v>17</v>
      </c>
      <c r="W39" s="775">
        <f t="shared" si="12"/>
        <v>100</v>
      </c>
      <c r="X39" s="1813"/>
      <c r="Y39" s="3183"/>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83"/>
      <c r="Q40" s="1810" t="str">
        <f t="shared" si="14"/>
        <v>临街宽度及深度</v>
      </c>
      <c r="R40" s="774" t="s">
        <v>17</v>
      </c>
      <c r="S40" s="775">
        <f t="shared" si="10"/>
        <v>100</v>
      </c>
      <c r="T40" s="774" t="s">
        <v>17</v>
      </c>
      <c r="U40" s="775">
        <f t="shared" si="11"/>
        <v>100</v>
      </c>
      <c r="V40" s="774" t="s">
        <v>17</v>
      </c>
      <c r="W40" s="775">
        <f t="shared" si="12"/>
        <v>100</v>
      </c>
      <c r="X40" s="1813"/>
      <c r="Y40" s="3183"/>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83"/>
      <c r="Q41" s="1810"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83" t="s">
        <v>2565</v>
      </c>
      <c r="Q42" s="1810" t="str">
        <f t="shared" si="14"/>
        <v>工程地质条件</v>
      </c>
      <c r="R42" s="774" t="s">
        <v>17</v>
      </c>
      <c r="S42" s="775">
        <f t="shared" si="10"/>
        <v>100</v>
      </c>
      <c r="T42" s="774" t="s">
        <v>17</v>
      </c>
      <c r="U42" s="775">
        <f t="shared" si="11"/>
        <v>100</v>
      </c>
      <c r="V42" s="774" t="s">
        <v>17</v>
      </c>
      <c r="W42" s="775">
        <f t="shared" si="12"/>
        <v>100</v>
      </c>
      <c r="X42" s="1813"/>
      <c r="Y42" s="3183"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10">
        <f t="shared" si="14"/>
        <v>111</v>
      </c>
      <c r="R43" s="774" t="s">
        <v>17</v>
      </c>
      <c r="S43" s="775">
        <f t="shared" si="10"/>
        <v>100</v>
      </c>
      <c r="T43" s="774" t="s">
        <v>17</v>
      </c>
      <c r="U43" s="775">
        <f t="shared" si="11"/>
        <v>100</v>
      </c>
      <c r="V43" s="774" t="s">
        <v>17</v>
      </c>
      <c r="W43" s="775">
        <f t="shared" si="12"/>
        <v>100</v>
      </c>
      <c r="X43" s="1813"/>
      <c r="Y43" s="31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10">
        <f t="shared" si="14"/>
        <v>111</v>
      </c>
      <c r="R44" s="774" t="s">
        <v>17</v>
      </c>
      <c r="S44" s="775">
        <f t="shared" si="10"/>
        <v>100</v>
      </c>
      <c r="T44" s="774" t="s">
        <v>17</v>
      </c>
      <c r="U44" s="775">
        <f t="shared" si="11"/>
        <v>100</v>
      </c>
      <c r="V44" s="774" t="s">
        <v>17</v>
      </c>
      <c r="W44" s="775">
        <f t="shared" si="12"/>
        <v>100</v>
      </c>
      <c r="X44" s="1813"/>
      <c r="Y44" s="318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10">
        <f t="shared" si="14"/>
        <v>111</v>
      </c>
      <c r="R45" s="777" t="s">
        <v>17</v>
      </c>
      <c r="S45" s="778">
        <f t="shared" si="10"/>
        <v>100</v>
      </c>
      <c r="T45" s="777" t="s">
        <v>17</v>
      </c>
      <c r="U45" s="778">
        <f t="shared" si="11"/>
        <v>100</v>
      </c>
      <c r="V45" s="777" t="s">
        <v>17</v>
      </c>
      <c r="W45" s="778">
        <f t="shared" si="12"/>
        <v>100</v>
      </c>
      <c r="X45" s="779"/>
      <c r="Y45" s="3183"/>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176" t="str">
        <f>A46</f>
        <v>成交单价</v>
      </c>
      <c r="Q46" s="3176"/>
      <c r="R46" s="3207">
        <f>E46</f>
        <v>0</v>
      </c>
      <c r="S46" s="3207"/>
      <c r="T46" s="3207">
        <f>G46</f>
        <v>0</v>
      </c>
      <c r="U46" s="3207"/>
      <c r="V46" s="3207">
        <f>I46</f>
        <v>0</v>
      </c>
      <c r="W46" s="320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73" t="str">
        <f>A48</f>
        <v>估价对象XX用房的比较价值（楼面单价，元/平方米）</v>
      </c>
      <c r="Q48" s="3174"/>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1" t="s">
        <v>2764</v>
      </c>
      <c r="H55" s="3264"/>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1484.1999999999998</v>
      </c>
      <c r="F56" s="1103" t="e">
        <f t="shared" ref="F56:F65" si="15">ROUND(B56*E56/10000,0)</f>
        <v>#DIV/0!</v>
      </c>
      <c r="G56" s="3187"/>
      <c r="H56" s="3176"/>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65"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1484.1999999999998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1" t="s">
        <v>2646</v>
      </c>
      <c r="D4" s="3192"/>
      <c r="E4" s="3193" t="s">
        <v>2647</v>
      </c>
      <c r="F4" s="3194"/>
      <c r="G4" s="3191" t="s">
        <v>2648</v>
      </c>
      <c r="H4" s="3192"/>
      <c r="I4" s="3191" t="s">
        <v>2649</v>
      </c>
      <c r="J4" s="3192"/>
      <c r="K4" s="610" t="s">
        <v>2650</v>
      </c>
      <c r="L4" s="1130"/>
      <c r="M4" s="1131"/>
      <c r="N4" s="1131"/>
      <c r="O4" s="1131"/>
      <c r="P4" s="3195" t="s">
        <v>2651</v>
      </c>
      <c r="Q4" s="3196"/>
      <c r="R4" s="3201" t="s">
        <v>2647</v>
      </c>
      <c r="S4" s="3202"/>
      <c r="T4" s="3201" t="s">
        <v>2648</v>
      </c>
      <c r="U4" s="3202"/>
      <c r="V4" s="3207" t="s">
        <v>2649</v>
      </c>
      <c r="W4" s="3207"/>
      <c r="X4" s="1813"/>
      <c r="Y4" s="3201" t="s">
        <v>2651</v>
      </c>
      <c r="Z4" s="3202"/>
      <c r="AA4" s="3188" t="s">
        <v>2647</v>
      </c>
      <c r="AB4" s="3189" t="s">
        <v>2648</v>
      </c>
      <c r="AC4" s="3188" t="s">
        <v>2649</v>
      </c>
    </row>
    <row r="5" spans="1:29" ht="15">
      <c r="A5" s="404"/>
      <c r="B5" s="405"/>
      <c r="C5" s="3210" t="s">
        <v>2542</v>
      </c>
      <c r="D5" s="3211"/>
      <c r="E5" s="3217" t="s">
        <v>2543</v>
      </c>
      <c r="F5" s="3218"/>
      <c r="G5" s="3210" t="s">
        <v>2544</v>
      </c>
      <c r="H5" s="3211"/>
      <c r="I5" s="3210" t="s">
        <v>2545</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66" t="s">
        <v>2797</v>
      </c>
      <c r="D6" s="3267"/>
      <c r="E6" s="3268" t="s">
        <v>2797</v>
      </c>
      <c r="F6" s="3269"/>
      <c r="G6" s="3266" t="s">
        <v>2797</v>
      </c>
      <c r="H6" s="3267"/>
      <c r="I6" s="3266" t="s">
        <v>2797</v>
      </c>
      <c r="J6" s="3267"/>
      <c r="K6" s="610" t="s">
        <v>2547</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2548</v>
      </c>
      <c r="B7" s="409"/>
      <c r="C7" s="410">
        <f>'数据-取费表'!B2</f>
        <v>43713</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2" t="s">
        <v>2549</v>
      </c>
      <c r="Q7" s="3214"/>
      <c r="R7" s="770" t="s">
        <v>17</v>
      </c>
      <c r="S7" s="771">
        <f t="shared" ref="S7:S15" si="0">F7</f>
        <v>0</v>
      </c>
      <c r="T7" s="770" t="s">
        <v>17</v>
      </c>
      <c r="U7" s="771">
        <f t="shared" ref="U7:U15" si="1">H7</f>
        <v>0</v>
      </c>
      <c r="V7" s="770" t="s">
        <v>17</v>
      </c>
      <c r="W7" s="771">
        <f t="shared" ref="W7:W15" si="2">J7</f>
        <v>0</v>
      </c>
      <c r="X7" s="772"/>
      <c r="Y7" s="3212" t="s">
        <v>2549</v>
      </c>
      <c r="Z7" s="321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2552</v>
      </c>
      <c r="Q8" s="3213"/>
      <c r="R8" s="770" t="s">
        <v>17</v>
      </c>
      <c r="S8" s="771">
        <f t="shared" si="0"/>
        <v>0</v>
      </c>
      <c r="T8" s="770" t="s">
        <v>17</v>
      </c>
      <c r="U8" s="771">
        <f t="shared" si="1"/>
        <v>0</v>
      </c>
      <c r="V8" s="770" t="s">
        <v>17</v>
      </c>
      <c r="W8" s="771">
        <f t="shared" si="2"/>
        <v>0</v>
      </c>
      <c r="X8" s="772"/>
      <c r="Y8" s="3212" t="s">
        <v>2552</v>
      </c>
      <c r="Z8" s="3213"/>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6" t="s">
        <v>2555</v>
      </c>
      <c r="Q9" s="1795" t="str">
        <f t="shared" ref="Q9:Q15" si="6">B9</f>
        <v>用途</v>
      </c>
      <c r="R9" s="770" t="s">
        <v>17</v>
      </c>
      <c r="S9" s="771">
        <f t="shared" si="0"/>
        <v>100</v>
      </c>
      <c r="T9" s="770" t="s">
        <v>17</v>
      </c>
      <c r="U9" s="771">
        <f t="shared" si="1"/>
        <v>100</v>
      </c>
      <c r="V9" s="770" t="s">
        <v>17</v>
      </c>
      <c r="W9" s="771">
        <f t="shared" si="2"/>
        <v>100</v>
      </c>
      <c r="X9" s="772"/>
      <c r="Y9" s="301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76"/>
      <c r="Q10" s="1795"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2560</v>
      </c>
      <c r="Q15" s="1810" t="str">
        <f t="shared" si="6"/>
        <v>产业集聚程度</v>
      </c>
      <c r="R15" s="774" t="s">
        <v>17</v>
      </c>
      <c r="S15" s="775">
        <f t="shared" si="0"/>
        <v>100</v>
      </c>
      <c r="T15" s="774" t="s">
        <v>17</v>
      </c>
      <c r="U15" s="775">
        <f t="shared" si="1"/>
        <v>100</v>
      </c>
      <c r="V15" s="774" t="s">
        <v>17</v>
      </c>
      <c r="W15" s="775">
        <f t="shared" si="2"/>
        <v>100</v>
      </c>
      <c r="X15" s="1813"/>
      <c r="Y15" s="3178"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10" t="str">
        <f t="shared" ref="Q19:Q33" si="8">B19</f>
        <v>区域土地利用方向</v>
      </c>
      <c r="R19" s="774" t="s">
        <v>17</v>
      </c>
      <c r="S19" s="775">
        <f>F19</f>
        <v>100</v>
      </c>
      <c r="T19" s="774" t="s">
        <v>17</v>
      </c>
      <c r="U19" s="775">
        <f>H19</f>
        <v>100</v>
      </c>
      <c r="V19" s="774" t="s">
        <v>17</v>
      </c>
      <c r="W19" s="775">
        <f>J19</f>
        <v>100</v>
      </c>
      <c r="X19" s="1813"/>
      <c r="Y19" s="317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79"/>
      <c r="Q20" s="1810"/>
      <c r="R20" s="774"/>
      <c r="S20" s="775"/>
      <c r="T20" s="774"/>
      <c r="U20" s="775"/>
      <c r="V20" s="774"/>
      <c r="W20" s="775"/>
      <c r="X20" s="1813"/>
      <c r="Y20" s="3179"/>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2565</v>
      </c>
      <c r="Q32" s="1810">
        <f t="shared" si="8"/>
        <v>111</v>
      </c>
      <c r="R32" s="774" t="s">
        <v>17</v>
      </c>
      <c r="S32" s="775">
        <f t="shared" si="10"/>
        <v>100</v>
      </c>
      <c r="T32" s="774" t="s">
        <v>17</v>
      </c>
      <c r="U32" s="775">
        <f t="shared" si="11"/>
        <v>100</v>
      </c>
      <c r="V32" s="774" t="s">
        <v>17</v>
      </c>
      <c r="W32" s="775">
        <f t="shared" si="12"/>
        <v>100</v>
      </c>
      <c r="X32" s="1813"/>
      <c r="Y32" s="3183"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10">
        <f t="shared" si="8"/>
        <v>111</v>
      </c>
      <c r="R33" s="777" t="s">
        <v>17</v>
      </c>
      <c r="S33" s="778">
        <f t="shared" si="10"/>
        <v>100</v>
      </c>
      <c r="T33" s="777" t="s">
        <v>17</v>
      </c>
      <c r="U33" s="778">
        <f t="shared" si="11"/>
        <v>100</v>
      </c>
      <c r="V33" s="777" t="s">
        <v>17</v>
      </c>
      <c r="W33" s="778">
        <f t="shared" si="12"/>
        <v>100</v>
      </c>
      <c r="X33" s="779"/>
      <c r="Y33" s="3183"/>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10" t="str">
        <f>B34</f>
        <v>宗地面积</v>
      </c>
      <c r="R34" s="774" t="s">
        <v>17</v>
      </c>
      <c r="S34" s="775" t="e">
        <f t="shared" si="10"/>
        <v>#N/A</v>
      </c>
      <c r="T34" s="774" t="s">
        <v>17</v>
      </c>
      <c r="U34" s="775" t="e">
        <f t="shared" si="11"/>
        <v>#N/A</v>
      </c>
      <c r="V34" s="774" t="s">
        <v>17</v>
      </c>
      <c r="W34" s="775" t="e">
        <f t="shared" si="12"/>
        <v>#N/A</v>
      </c>
      <c r="X34" s="1813"/>
      <c r="Y34" s="3183"/>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3"/>
      <c r="Q35" s="1810" t="str">
        <f t="shared" ref="Q35:Q40" si="14">B35</f>
        <v>宗地形状</v>
      </c>
      <c r="R35" s="774" t="s">
        <v>17</v>
      </c>
      <c r="S35" s="775">
        <f t="shared" si="10"/>
        <v>100</v>
      </c>
      <c r="T35" s="774" t="s">
        <v>17</v>
      </c>
      <c r="U35" s="775">
        <f t="shared" si="11"/>
        <v>100</v>
      </c>
      <c r="V35" s="774" t="s">
        <v>17</v>
      </c>
      <c r="W35" s="775">
        <f t="shared" si="12"/>
        <v>100</v>
      </c>
      <c r="X35" s="1813"/>
      <c r="Y35" s="3183"/>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3"/>
      <c r="Q36" s="1810"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3" t="s">
        <v>2565</v>
      </c>
      <c r="Q37" s="1810" t="str">
        <f t="shared" si="14"/>
        <v>工程地质条件</v>
      </c>
      <c r="R37" s="774" t="s">
        <v>17</v>
      </c>
      <c r="S37" s="775">
        <f t="shared" si="10"/>
        <v>100</v>
      </c>
      <c r="T37" s="774" t="s">
        <v>17</v>
      </c>
      <c r="U37" s="775">
        <f t="shared" si="11"/>
        <v>100</v>
      </c>
      <c r="V37" s="774" t="s">
        <v>17</v>
      </c>
      <c r="W37" s="775">
        <f t="shared" si="12"/>
        <v>100</v>
      </c>
      <c r="X37" s="1813"/>
      <c r="Y37" s="3183"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10">
        <f t="shared" si="14"/>
        <v>111</v>
      </c>
      <c r="R38" s="774" t="s">
        <v>17</v>
      </c>
      <c r="S38" s="775">
        <f t="shared" si="10"/>
        <v>100</v>
      </c>
      <c r="T38" s="774" t="s">
        <v>17</v>
      </c>
      <c r="U38" s="775">
        <f t="shared" si="11"/>
        <v>100</v>
      </c>
      <c r="V38" s="774" t="s">
        <v>17</v>
      </c>
      <c r="W38" s="775">
        <f t="shared" si="12"/>
        <v>100</v>
      </c>
      <c r="X38" s="1813"/>
      <c r="Y38" s="31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10">
        <f t="shared" si="14"/>
        <v>111</v>
      </c>
      <c r="R39" s="774" t="s">
        <v>17</v>
      </c>
      <c r="S39" s="775">
        <f t="shared" si="10"/>
        <v>100</v>
      </c>
      <c r="T39" s="774" t="s">
        <v>17</v>
      </c>
      <c r="U39" s="775">
        <f t="shared" si="11"/>
        <v>100</v>
      </c>
      <c r="V39" s="774" t="s">
        <v>17</v>
      </c>
      <c r="W39" s="775">
        <f t="shared" si="12"/>
        <v>100</v>
      </c>
      <c r="X39" s="1813"/>
      <c r="Y39" s="318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10">
        <f t="shared" si="14"/>
        <v>111</v>
      </c>
      <c r="R40" s="777" t="s">
        <v>17</v>
      </c>
      <c r="S40" s="778">
        <f t="shared" si="10"/>
        <v>100</v>
      </c>
      <c r="T40" s="777" t="s">
        <v>17</v>
      </c>
      <c r="U40" s="778">
        <f t="shared" si="11"/>
        <v>100</v>
      </c>
      <c r="V40" s="777" t="s">
        <v>17</v>
      </c>
      <c r="W40" s="778">
        <f t="shared" si="12"/>
        <v>100</v>
      </c>
      <c r="X40" s="779"/>
      <c r="Y40" s="3183"/>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1" t="s">
        <v>2764</v>
      </c>
      <c r="H50" s="3264"/>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1484.1999999999998</v>
      </c>
      <c r="F51" s="691" t="e">
        <f t="shared" ref="F51:F60" si="15">ROUND(B51*E51/10000,0)</f>
        <v>#DIV/0!</v>
      </c>
      <c r="G51" s="3187"/>
      <c r="H51" s="3176"/>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6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t="e">
        <f>IF(F3="宗地容积率",'数据-汇总表'!I4,IF(F3="估价对象容积率",'数据-汇总表'!I6,'数据-汇总表'!I7))</f>
        <v>#DIV/0!</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3"/>
      <c r="B4" s="3274"/>
      <c r="C4" s="3274"/>
      <c r="D4" s="3275"/>
      <c r="E4" s="3275"/>
      <c r="F4" s="3275"/>
      <c r="G4" s="3275"/>
      <c r="H4" s="3275"/>
      <c r="I4" s="3275"/>
      <c r="J4" s="3276"/>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77"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278"/>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0" t="s">
        <v>2840</v>
      </c>
      <c r="X8" s="3271"/>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78"/>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2"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8"/>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8"/>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2"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7"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2"/>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9"/>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27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9"/>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0"/>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7" t="s">
        <v>2883</v>
      </c>
      <c r="B16" s="2747" t="s">
        <v>2884</v>
      </c>
      <c r="C16" s="2934" t="e">
        <f>ROUND(IF(F17="与级别开发程度一致",0,(G17-E17)/C17),0)</f>
        <v>#DIV/0!</v>
      </c>
      <c r="D16" s="3291" t="s">
        <v>2888</v>
      </c>
      <c r="E16" s="3292"/>
      <c r="F16" s="3291" t="s">
        <v>2885</v>
      </c>
      <c r="G16" s="3292"/>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1"/>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2890</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ROUND(IF(H19="按公示增长率计算",SUMPRODUCT((地价!A3:A27=YEAR(G19)&amp;"-"&amp;ROUNDUP(MONTH(G19)/3,0))*(地价!X2:AB2=E2)*(地价!X3:AB27)),IF(H19="地价指数",M20/M19,(1+I19)^O19)),4)</f>
        <v>#VALUE!</v>
      </c>
      <c r="D19" s="2791" t="s">
        <v>2892</v>
      </c>
      <c r="E19" s="925">
        <v>41640</v>
      </c>
      <c r="F19" s="2791" t="s">
        <v>2893</v>
      </c>
      <c r="G19" s="926">
        <f>'数据-取费表'!B2</f>
        <v>43713</v>
      </c>
      <c r="H19" s="2792"/>
      <c r="I19" s="927" t="str">
        <f>IF(H19="季度增幅（自定义）",SUMIF(N21:N24,E2,O21:O24),"")</f>
        <v/>
      </c>
      <c r="J19" s="2789"/>
      <c r="K19" s="1377"/>
      <c r="L19" s="2793" t="s">
        <v>2894</v>
      </c>
      <c r="M19" s="1734">
        <f>ROUND(SUMIF(地价!B2:F2,E2,地价!B27:F27),0)</f>
        <v>0</v>
      </c>
      <c r="N19" s="2794"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2889</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ROUND(SUMPRODUCT((地价!A4:A27=YEAR(G19)&amp;"-"&amp;ROUNDUP(MONTH(G19)/3,0))*(地价!B2:F2=E2)*(地价!B4:F27)),0)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t="e">
        <f>IF(B21="容积率修正",IF(G3&lt;=10,D22,J22),C23)</f>
        <v>#DIV/0!</v>
      </c>
      <c r="D21" s="2807"/>
      <c r="E21" s="2807"/>
      <c r="F21" s="2807"/>
      <c r="G21" s="2807"/>
      <c r="H21" s="2807"/>
      <c r="I21" s="2807"/>
      <c r="J21" s="2808"/>
      <c r="K21" s="1377"/>
      <c r="N21" s="2809"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88"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9"/>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9"/>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90"/>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t="e">
        <f>ROUND(POWER(1+E41,H41-G41)*(POWER(1+E41,G41)-1)/(POWER(1+E41,H41)-1),4)</f>
        <v>#DIV/0!</v>
      </c>
      <c r="D41" s="200" t="s">
        <v>2889</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82" t="s">
        <v>2972</v>
      </c>
      <c r="B90" s="3282"/>
      <c r="C90" s="3282"/>
      <c r="D90" s="3282"/>
      <c r="E90" s="3282"/>
      <c r="F90" s="3282"/>
      <c r="G90" s="3282"/>
      <c r="H90" s="3282"/>
      <c r="I90" s="3282"/>
      <c r="J90" s="3282"/>
      <c r="K90" s="2886"/>
      <c r="L90" s="2886"/>
      <c r="M90" s="2886"/>
      <c r="N90" s="2886"/>
    </row>
    <row r="91" spans="1:37">
      <c r="A91" s="3284" t="s">
        <v>2973</v>
      </c>
      <c r="B91" s="3284" t="s">
        <v>2974</v>
      </c>
      <c r="C91" s="2840" t="s">
        <v>2975</v>
      </c>
      <c r="D91" s="2841"/>
      <c r="E91" s="2841"/>
      <c r="F91" s="2841"/>
      <c r="G91" s="2841"/>
      <c r="H91" s="2841"/>
      <c r="I91" s="2841"/>
      <c r="J91" s="2887"/>
      <c r="K91" s="2888"/>
      <c r="L91" s="2888"/>
      <c r="M91" s="2888"/>
      <c r="N91" s="2888"/>
    </row>
    <row r="92" spans="1:37">
      <c r="A92" s="3284"/>
      <c r="B92" s="3284"/>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85"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6"/>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5"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86"/>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86"/>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86"/>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86"/>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86"/>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86"/>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86"/>
      <c r="B108" s="3143"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7"/>
      <c r="B109" s="3144"/>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83" t="s">
        <v>2980</v>
      </c>
      <c r="B110" s="3283"/>
      <c r="C110" s="3283"/>
      <c r="D110" s="3283"/>
      <c r="E110" s="3283"/>
      <c r="F110" s="3283"/>
      <c r="G110" s="3283"/>
      <c r="H110" s="3283"/>
      <c r="I110" s="3283"/>
      <c r="J110" s="3283"/>
      <c r="K110" s="2895"/>
      <c r="L110" s="2895"/>
      <c r="M110" s="2895"/>
      <c r="N110" s="2895"/>
    </row>
    <row r="112" spans="1:14" ht="13.5" thickBot="1"/>
    <row r="113" spans="1:13" ht="25.5" thickBot="1">
      <c r="A113" s="903" t="s">
        <v>2981</v>
      </c>
      <c r="B113" s="1287" t="e">
        <f>G3</f>
        <v>#DIV/0!</v>
      </c>
      <c r="C113" s="904" t="s">
        <v>2982</v>
      </c>
      <c r="D113" s="905" t="e">
        <f>SUMPRODUCT((A115:A118=F113)*(B114:M114=H113)*B115:M118)</f>
        <v>#DIV/0!</v>
      </c>
      <c r="E113" s="2726" t="s">
        <v>2814</v>
      </c>
      <c r="F113" s="2897">
        <f>E2</f>
        <v>0</v>
      </c>
      <c r="G113" s="2726" t="s">
        <v>2815</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8">
        <f ca="1">SUMIF(INDIRECT("'"&amp;A6&amp;"'"&amp;"!C:C"),"建筑面积",INDIRECT("'"&amp;A6&amp;"'"&amp;"!D:D"))</f>
        <v>0</v>
      </c>
    </row>
    <row r="7" spans="1:5" ht="15.75">
      <c r="A7" s="2909"/>
      <c r="B7" s="2905" t="e">
        <f ca="1">SUMIF(INDIRECT("'"&amp;A7&amp;"'"&amp;"!A:A"),"总价",INDIRECT("'"&amp;A7&amp;"'"&amp;"!B:B"))</f>
        <v>#REF!</v>
      </c>
      <c r="C7" s="2904" t="s">
        <v>2996</v>
      </c>
      <c r="D7" s="2906"/>
      <c r="E7" s="2578"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8" t="e">
        <f t="shared" ca="1" si="0"/>
        <v>#REF!</v>
      </c>
    </row>
    <row r="9" spans="1:5" ht="15.75">
      <c r="A9" s="2909"/>
      <c r="B9" s="2905" t="e">
        <f t="shared" ca="1" si="1"/>
        <v>#REF!</v>
      </c>
      <c r="C9" s="2904" t="s">
        <v>2996</v>
      </c>
      <c r="D9" s="2906"/>
      <c r="E9" s="2578" t="e">
        <f t="shared" ca="1" si="0"/>
        <v>#REF!</v>
      </c>
    </row>
    <row r="10" spans="1:5" ht="15.75">
      <c r="A10" s="2909"/>
      <c r="B10" s="2905" t="e">
        <f t="shared" ca="1" si="1"/>
        <v>#REF!</v>
      </c>
      <c r="C10" s="2904" t="s">
        <v>2996</v>
      </c>
      <c r="D10" s="2906"/>
      <c r="E10" s="2578" t="e">
        <f t="shared" ca="1" si="0"/>
        <v>#REF!</v>
      </c>
    </row>
    <row r="11" spans="1:5" ht="15.75">
      <c r="A11" s="2909"/>
      <c r="B11" s="2905" t="e">
        <f t="shared" ca="1" si="1"/>
        <v>#REF!</v>
      </c>
      <c r="C11" s="2904" t="s">
        <v>2996</v>
      </c>
      <c r="D11" s="2906"/>
      <c r="E11" s="2578" t="e">
        <f t="shared" ca="1" si="0"/>
        <v>#REF!</v>
      </c>
    </row>
    <row r="12" spans="1:5" ht="15.75">
      <c r="A12" s="2909"/>
      <c r="B12" s="2905" t="e">
        <f t="shared" ca="1" si="1"/>
        <v>#REF!</v>
      </c>
      <c r="C12" s="2904" t="s">
        <v>2996</v>
      </c>
      <c r="D12" s="2906"/>
      <c r="E12" s="2578" t="e">
        <f t="shared" ca="1" si="0"/>
        <v>#REF!</v>
      </c>
    </row>
    <row r="13" spans="1:5" ht="15.75">
      <c r="A13" s="2909"/>
      <c r="B13" s="2905" t="e">
        <f t="shared" ca="1" si="1"/>
        <v>#REF!</v>
      </c>
      <c r="C13" s="2904" t="s">
        <v>2996</v>
      </c>
      <c r="D13" s="2906"/>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9" t="s">
        <v>1146</v>
      </c>
      <c r="C1" s="3299"/>
      <c r="D1" s="3299"/>
      <c r="E1" s="3299"/>
      <c r="F1" s="3299"/>
      <c r="G1" s="3298" t="s">
        <v>1147</v>
      </c>
      <c r="H1" s="3298"/>
      <c r="I1" s="3298"/>
      <c r="J1" s="3298"/>
      <c r="K1" s="3298"/>
      <c r="L1" s="3298"/>
      <c r="N1" s="3298" t="s">
        <v>1148</v>
      </c>
      <c r="O1" s="3298"/>
      <c r="P1" s="3298"/>
      <c r="Q1" s="3298"/>
      <c r="R1" s="1446"/>
      <c r="S1" s="3298" t="s">
        <v>1149</v>
      </c>
      <c r="T1" s="3298"/>
      <c r="U1" s="3298"/>
      <c r="V1" s="3298"/>
      <c r="X1" s="3297" t="s">
        <v>1150</v>
      </c>
      <c r="Y1" s="3298"/>
      <c r="Z1" s="3298"/>
      <c r="AA1" s="3298"/>
      <c r="AB1" s="3298"/>
      <c r="AD1" s="3297" t="s">
        <v>1151</v>
      </c>
      <c r="AE1" s="3298"/>
      <c r="AF1" s="3298"/>
      <c r="AG1" s="3298"/>
      <c r="AH1" s="329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3056</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29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9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9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0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3034</v>
      </c>
      <c r="B12" s="1469">
        <v>439</v>
      </c>
      <c r="C12" s="1469">
        <v>327</v>
      </c>
      <c r="D12" s="1469">
        <f>C12</f>
        <v>327</v>
      </c>
      <c r="E12" s="1469">
        <v>627</v>
      </c>
      <c r="F12" s="1470">
        <v>283</v>
      </c>
      <c r="G12" s="330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9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9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0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0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9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9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9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9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9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9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9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9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9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9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9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0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0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0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0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9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9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9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9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9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9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9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9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9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9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9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9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9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9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9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9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9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9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9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9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9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9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9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9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9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9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9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9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9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9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9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9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9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9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9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9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9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9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95">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96">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9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9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95">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96">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0"/>
      <c r="B4" s="2977" t="s">
        <v>1625</v>
      </c>
      <c r="C4" s="2977"/>
      <c r="D4" s="2977"/>
      <c r="E4" s="1960"/>
    </row>
    <row r="5" spans="1:5" ht="16.5" thickTop="1">
      <c r="A5" s="1958"/>
      <c r="B5" s="2975" t="s">
        <v>1617</v>
      </c>
      <c r="C5" s="1961" t="s">
        <v>1618</v>
      </c>
      <c r="D5" s="1040">
        <f ca="1">结果表!H101</f>
        <v>11104</v>
      </c>
      <c r="E5" s="1958"/>
    </row>
    <row r="6" spans="1:5" ht="15.75">
      <c r="A6" s="1958"/>
      <c r="B6" s="2975"/>
      <c r="C6" s="1961" t="s">
        <v>1619</v>
      </c>
      <c r="D6" s="1040" t="str">
        <f ca="1">NUMBERSTRING(INT(D5*10000),2)&amp;"元整"</f>
        <v>壹亿壹仟壹佰零肆万元整</v>
      </c>
      <c r="E6" s="1958"/>
    </row>
    <row r="7" spans="1:5" ht="15.75">
      <c r="A7" s="1958"/>
      <c r="B7" s="2980"/>
      <c r="C7" s="1962" t="s">
        <v>1620</v>
      </c>
      <c r="D7" s="1041">
        <f ca="1">结果表!H102</f>
        <v>74815</v>
      </c>
      <c r="E7" s="1958"/>
    </row>
    <row r="8" spans="1:5" ht="15.75">
      <c r="A8" s="1958"/>
      <c r="B8" s="2981" t="str">
        <f>结果表!E103</f>
        <v>2.估价师知悉的法定优先受偿款</v>
      </c>
      <c r="C8" s="1963" t="s">
        <v>1621</v>
      </c>
      <c r="D8" s="1041">
        <f>结果表!H103</f>
        <v>0</v>
      </c>
      <c r="E8" s="1958"/>
    </row>
    <row r="9" spans="1:5" ht="15.75">
      <c r="A9" s="1958"/>
      <c r="B9" s="298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74" t="str">
        <f>结果表!E107</f>
        <v>3.房地产抵押价值</v>
      </c>
      <c r="C13" s="1966" t="s">
        <v>1618</v>
      </c>
      <c r="D13" s="1043">
        <f ca="1">结果表!H107</f>
        <v>11104</v>
      </c>
      <c r="E13" s="1958"/>
    </row>
    <row r="14" spans="1:5" ht="15.75">
      <c r="A14" s="1958"/>
      <c r="B14" s="2975"/>
      <c r="C14" s="1961" t="s">
        <v>1619</v>
      </c>
      <c r="D14" s="1040" t="str">
        <f ca="1">NUMBERSTRING(INT(D13*10000),2)&amp;"元整"</f>
        <v>壹亿壹仟壹佰零肆万元整</v>
      </c>
      <c r="E14" s="1958"/>
    </row>
    <row r="15" spans="1:5" ht="15">
      <c r="A15" s="1958"/>
      <c r="B15" s="2980"/>
      <c r="C15" s="1962" t="s">
        <v>1629</v>
      </c>
      <c r="D15" s="1052">
        <f ca="1">结果表!H108</f>
        <v>74815</v>
      </c>
      <c r="E15" s="1958"/>
    </row>
    <row r="16" spans="1:5" ht="15">
      <c r="A16" s="1958"/>
      <c r="B16" s="2981" t="str">
        <f>结果表!E109</f>
        <v>——</v>
      </c>
      <c r="C16" s="1966" t="s">
        <v>1630</v>
      </c>
      <c r="D16" s="1967" t="str">
        <f>结果表!H109</f>
        <v>——</v>
      </c>
      <c r="E16" s="1958"/>
    </row>
    <row r="17" spans="1:5" ht="15.75">
      <c r="A17" s="1958"/>
      <c r="B17" s="2982"/>
      <c r="C17" s="1961" t="s">
        <v>1631</v>
      </c>
      <c r="D17" s="1040" t="e">
        <f>NUMBERSTRING(INT(D16*10000),2)&amp;"元整"</f>
        <v>#VALUE!</v>
      </c>
      <c r="E17" s="1958"/>
    </row>
    <row r="18" spans="1:5" ht="15">
      <c r="A18" s="1958"/>
      <c r="B18" s="2983"/>
      <c r="C18" s="1962" t="s">
        <v>1620</v>
      </c>
      <c r="D18" s="1052" t="str">
        <f>结果表!H110</f>
        <v>——</v>
      </c>
      <c r="E18" s="1958"/>
    </row>
    <row r="19" spans="1:5" ht="15.75">
      <c r="A19" s="1958"/>
      <c r="B19" s="2974" t="str">
        <f>结果表!E111</f>
        <v>——</v>
      </c>
      <c r="C19" s="1966" t="s">
        <v>1618</v>
      </c>
      <c r="D19" s="1041" t="str">
        <f>结果表!H111</f>
        <v>——</v>
      </c>
      <c r="E19" s="1958"/>
    </row>
    <row r="20" spans="1:5" ht="15.75">
      <c r="A20" s="1958"/>
      <c r="B20" s="2975"/>
      <c r="C20" s="1961" t="s">
        <v>1631</v>
      </c>
      <c r="D20" s="1040" t="e">
        <f>NUMBERSTRING(INT(D19*10000),2)&amp;"元整"</f>
        <v>#VALUE!</v>
      </c>
      <c r="E20" s="1958"/>
    </row>
    <row r="21" spans="1:5" ht="15.75" thickBot="1">
      <c r="A21" s="1958"/>
      <c r="B21" s="297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06" t="s">
        <v>3006</v>
      </c>
      <c r="D1" s="3307"/>
      <c r="E1" s="3307"/>
      <c r="F1" s="3307"/>
      <c r="G1" s="3307"/>
      <c r="H1" s="3307"/>
      <c r="I1" s="3307"/>
      <c r="J1" s="3307"/>
      <c r="K1" s="3307"/>
      <c r="L1" s="3307"/>
      <c r="M1" s="3307"/>
      <c r="N1" s="3307"/>
      <c r="O1" s="3307"/>
      <c r="P1" s="3307"/>
      <c r="Q1" s="3307"/>
      <c r="R1" s="3307"/>
      <c r="S1" s="3308"/>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65" t="s">
        <v>33</v>
      </c>
      <c r="D22" s="3166"/>
      <c r="E22" s="3166"/>
      <c r="F22" s="3166"/>
      <c r="G22" s="3166"/>
      <c r="H22" s="3166"/>
      <c r="I22" s="3166"/>
      <c r="J22" s="3166"/>
      <c r="K22" s="3166"/>
      <c r="L22" s="3166"/>
      <c r="M22" s="3166"/>
      <c r="N22" s="3166"/>
      <c r="O22" s="3166"/>
      <c r="P22" s="3166"/>
      <c r="Q22" s="330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194785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v>
      </c>
      <c r="D9" s="1032">
        <f>'数据-汇总表'!E5</f>
        <v>1484.1999999999998</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30</v>
      </c>
      <c r="D19" s="1036">
        <f>'数据-汇总表'!E3</f>
        <v>1484.1999999999998</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3158</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3158</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416</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v>
      </c>
      <c r="D36" s="264"/>
      <c r="E36" s="264"/>
      <c r="F36" s="303">
        <f>'数据-取费表'!B34</f>
        <v>0.03</v>
      </c>
      <c r="G36" s="304" t="s">
        <v>62</v>
      </c>
    </row>
    <row r="37" spans="1:7" s="302" customFormat="1" ht="13.5" customHeight="1">
      <c r="A37" s="951" t="s">
        <v>798</v>
      </c>
      <c r="B37" s="259" t="s">
        <v>118</v>
      </c>
      <c r="C37" s="293">
        <f>ROUND(E37*D37*F34/10000,0)</f>
        <v>30</v>
      </c>
      <c r="D37" s="261">
        <f>'数据-汇总表'!E3</f>
        <v>1484.1999999999998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23</v>
      </c>
      <c r="D42" s="282"/>
      <c r="E42" s="282"/>
      <c r="F42" s="283"/>
      <c r="G42" s="3170" t="s">
        <v>121</v>
      </c>
    </row>
    <row r="43" spans="1:7" ht="13.5" customHeight="1">
      <c r="A43" s="951" t="s">
        <v>792</v>
      </c>
      <c r="B43" s="259" t="s">
        <v>1061</v>
      </c>
      <c r="C43" s="282">
        <f ca="1">ROUND(IF('数据-取费表'!B22&lt;=1,C39*F22*'数据-取费表'!B21/2,C39*(POWER((1+F22),'数据-取费表'!B21/2)-1)),0)</f>
        <v>0</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73</v>
      </c>
      <c r="D45" s="279">
        <f>C47</f>
        <v>3.0000000000000001E-3</v>
      </c>
      <c r="E45" s="280" t="s">
        <v>129</v>
      </c>
      <c r="F45" s="290"/>
      <c r="G45" s="291" t="s">
        <v>1069</v>
      </c>
    </row>
    <row r="46" spans="1:7" s="258" customFormat="1" ht="13.5" customHeight="1">
      <c r="A46" s="951" t="s">
        <v>794</v>
      </c>
      <c r="B46" s="292" t="s">
        <v>1062</v>
      </c>
      <c r="C46" s="293">
        <f>ROUND((C33+C39)*F27,0)</f>
        <v>73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631</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473</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868</v>
      </c>
      <c r="B1" s="330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1636</v>
      </c>
      <c r="B2" s="2994" t="s">
        <v>1637</v>
      </c>
      <c r="C2" s="2994" t="s">
        <v>1638</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4" t="s">
        <v>1633</v>
      </c>
      <c r="E3" s="1044" t="s">
        <v>1639</v>
      </c>
      <c r="F3" s="1044" t="s">
        <v>1633</v>
      </c>
      <c r="G3" s="1044" t="s">
        <v>1634</v>
      </c>
      <c r="H3" s="1044" t="s">
        <v>1633</v>
      </c>
      <c r="I3" s="1044" t="s">
        <v>1634</v>
      </c>
    </row>
    <row r="4" spans="1:9" ht="30">
      <c r="A4" s="1972" t="str">
        <f>项目基本情况!S2</f>
        <v>北京市海淀区联慧路101号房地产</v>
      </c>
      <c r="B4" s="1044">
        <f>项目基本情况!C17</f>
        <v>1484.1999999999998</v>
      </c>
      <c r="C4" s="1044">
        <f>项目基本情况!C18</f>
        <v>0</v>
      </c>
      <c r="D4" s="1044" t="e">
        <f ca="1">结果表!D118</f>
        <v>#REF!</v>
      </c>
      <c r="E4" s="1044" t="e">
        <f ca="1">结果表!E118</f>
        <v>#REF!</v>
      </c>
      <c r="F4" s="1044" t="e">
        <f ca="1">结果表!F118</f>
        <v>#REF!</v>
      </c>
      <c r="G4" s="1044" t="e">
        <f ca="1">结果表!G118</f>
        <v>#REF!</v>
      </c>
      <c r="H4" s="1044">
        <f ca="1">结果表!H118</f>
        <v>11104</v>
      </c>
      <c r="I4" s="1044">
        <f ca="1">结果表!I118</f>
        <v>74815</v>
      </c>
    </row>
    <row r="5" spans="1:9" ht="30" customHeight="1">
      <c r="A5" s="2988" t="s">
        <v>1635</v>
      </c>
      <c r="B5" s="2988"/>
      <c r="C5" s="2988"/>
      <c r="D5" s="2989" t="e">
        <f ca="1">结果表!D119</f>
        <v>#REF!</v>
      </c>
      <c r="E5" s="2989"/>
      <c r="F5" s="2989" t="e">
        <f ca="1">结果表!F119</f>
        <v>#REF!</v>
      </c>
      <c r="G5" s="2989"/>
      <c r="H5" s="2989" t="str">
        <f ca="1">结果表!H119</f>
        <v>壹亿壹仟壹佰零肆万元整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1635</v>
      </c>
      <c r="B7" s="2988"/>
      <c r="C7" s="2988"/>
      <c r="D7" s="2990" t="str">
        <f>结果表!D121</f>
        <v>零元整</v>
      </c>
      <c r="E7" s="2991"/>
      <c r="F7" s="2991"/>
      <c r="G7" s="2991"/>
      <c r="H7" s="2991"/>
      <c r="I7" s="2992"/>
    </row>
    <row r="8" spans="1:9" ht="15.75">
      <c r="A8" s="2987" t="str">
        <f>结果表!A122</f>
        <v>房地产抵押价值</v>
      </c>
      <c r="B8" s="2987"/>
      <c r="C8" s="2987"/>
      <c r="D8" s="2987">
        <f ca="1">结果表!D122</f>
        <v>11104</v>
      </c>
      <c r="E8" s="2987"/>
      <c r="F8" s="2987"/>
      <c r="G8" s="2987"/>
      <c r="H8" s="2987"/>
      <c r="I8" s="2987"/>
    </row>
    <row r="9" spans="1:9" ht="15">
      <c r="A9" s="2988" t="s">
        <v>1635</v>
      </c>
      <c r="B9" s="2988"/>
      <c r="C9" s="2988"/>
      <c r="D9" s="2989" t="str">
        <f ca="1">结果表!D123</f>
        <v>壹亿壹仟壹佰零肆万元整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1635</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1635</v>
      </c>
      <c r="B13" s="2984"/>
      <c r="C13" s="2984"/>
      <c r="D13" s="2985" t="e">
        <f>结果表!D127</f>
        <v>#VALUE!</v>
      </c>
      <c r="E13" s="2985"/>
      <c r="F13" s="2985"/>
      <c r="G13" s="2985"/>
      <c r="H13" s="2985"/>
      <c r="I13" s="2985"/>
    </row>
    <row r="14" spans="1:9" ht="15" thickTop="1">
      <c r="A14" s="2986" t="s">
        <v>1640</v>
      </c>
      <c r="B14" s="2986"/>
      <c r="C14" s="2986"/>
      <c r="D14" s="2986"/>
      <c r="E14" s="2986"/>
      <c r="F14" s="2986"/>
      <c r="G14" s="2986"/>
      <c r="H14" s="2986"/>
      <c r="I14" s="298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1" t="s">
        <v>1657</v>
      </c>
      <c r="B1" s="3001"/>
      <c r="C1" s="3001"/>
      <c r="D1" s="3001"/>
    </row>
    <row r="2" spans="1:4" ht="18">
      <c r="A2" s="3002" t="s">
        <v>1641</v>
      </c>
      <c r="B2" s="3002"/>
      <c r="C2" s="3002"/>
      <c r="D2" s="3002"/>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002" t="s">
        <v>1647</v>
      </c>
      <c r="B6" s="3002"/>
      <c r="C6" s="3002"/>
      <c r="D6" s="300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03" t="s">
        <v>1650</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1651</v>
      </c>
      <c r="B16" s="2997"/>
      <c r="C16" s="2997"/>
      <c r="D16" s="2997"/>
    </row>
    <row r="17" spans="1:4" ht="144" customHeight="1">
      <c r="A17" s="2997" t="s">
        <v>1652</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1653</v>
      </c>
      <c r="B22" s="2999"/>
      <c r="C22" s="2999"/>
      <c r="D22" s="299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9" t="s">
        <v>1664</v>
      </c>
      <c r="B15" s="3004" t="s">
        <v>136</v>
      </c>
      <c r="C15" s="3005"/>
    </row>
    <row r="16" spans="1:7" ht="13.5">
      <c r="A16" s="3010"/>
      <c r="B16" s="3004" t="s">
        <v>69</v>
      </c>
      <c r="C16" s="3005"/>
    </row>
    <row r="17" spans="1:3" ht="13.5">
      <c r="A17" s="3010"/>
      <c r="B17" s="3007" t="s">
        <v>1665</v>
      </c>
      <c r="C17" s="1999" t="s">
        <v>1664</v>
      </c>
    </row>
    <row r="18" spans="1:3" ht="13.5">
      <c r="A18" s="3010"/>
      <c r="B18" s="3007"/>
      <c r="C18" s="1999" t="s">
        <v>1666</v>
      </c>
    </row>
    <row r="19" spans="1:3" ht="13.5">
      <c r="A19" s="3010"/>
      <c r="B19" s="3007"/>
      <c r="C19" s="1999" t="s">
        <v>1667</v>
      </c>
    </row>
    <row r="20" spans="1:3" ht="13.5">
      <c r="A20" s="3011"/>
      <c r="B20" s="3006" t="s">
        <v>1668</v>
      </c>
      <c r="C20" s="3005"/>
    </row>
    <row r="21" spans="1:3" ht="13.5">
      <c r="A21" s="2000" t="s">
        <v>1669</v>
      </c>
      <c r="B21" s="2001"/>
      <c r="C21" s="2002"/>
    </row>
    <row r="22" spans="1:3" ht="13.5">
      <c r="A22" s="3008" t="s">
        <v>1670</v>
      </c>
      <c r="B22" s="3006" t="s">
        <v>1671</v>
      </c>
      <c r="C22" s="3005"/>
    </row>
    <row r="23" spans="1:3" ht="13.5">
      <c r="A23" s="3008"/>
      <c r="B23" s="3006" t="s">
        <v>1672</v>
      </c>
      <c r="C23" s="3005"/>
    </row>
    <row r="24" spans="1:3" ht="13.5">
      <c r="A24" s="3008"/>
      <c r="B24" s="3006" t="s">
        <v>1673</v>
      </c>
      <c r="C24" s="3005"/>
    </row>
    <row r="25" spans="1:3" ht="13.5">
      <c r="A25" s="3008"/>
      <c r="B25" s="3007" t="s">
        <v>1674</v>
      </c>
      <c r="C25" s="1999" t="s">
        <v>1675</v>
      </c>
    </row>
    <row r="26" spans="1:3" ht="13.5">
      <c r="A26" s="3008"/>
      <c r="B26" s="3007"/>
      <c r="C26" s="1999" t="s">
        <v>1676</v>
      </c>
    </row>
    <row r="27" spans="1:3" ht="13.5">
      <c r="A27" s="3008"/>
      <c r="B27" s="3007"/>
      <c r="C27" s="1999" t="s">
        <v>1677</v>
      </c>
    </row>
    <row r="28" spans="1:3" ht="13.5">
      <c r="A28" s="3008"/>
      <c r="B28" s="3007"/>
      <c r="C28" s="1999" t="s">
        <v>1678</v>
      </c>
    </row>
    <row r="29" spans="1:3" ht="13.5">
      <c r="A29" s="3008"/>
      <c r="B29" s="3007"/>
      <c r="C29" s="1999" t="s">
        <v>1679</v>
      </c>
    </row>
    <row r="30" spans="1:3" ht="13.5">
      <c r="A30" s="3008"/>
      <c r="B30" s="3007"/>
      <c r="C30" s="1999" t="s">
        <v>1680</v>
      </c>
    </row>
    <row r="31" spans="1:3" ht="13.5">
      <c r="A31" s="3008"/>
      <c r="B31" s="3007"/>
      <c r="C31" s="1999" t="s">
        <v>1681</v>
      </c>
    </row>
    <row r="32" spans="1:3" ht="13.5">
      <c r="A32" s="3008"/>
      <c r="B32" s="3007"/>
      <c r="C32" s="1999" t="s">
        <v>1682</v>
      </c>
    </row>
    <row r="33" spans="1:3" ht="13.5">
      <c r="A33" s="3008"/>
      <c r="B33" s="300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2" activeCellId="1" sqref="B19 B4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0">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12" t="s">
        <v>843</v>
      </c>
      <c r="B25" s="3012"/>
      <c r="C25" s="3012"/>
      <c r="D25" s="3012"/>
      <c r="E25" s="3012"/>
      <c r="F25" s="3012"/>
      <c r="G25" s="3012"/>
    </row>
    <row r="26" spans="1:7" s="1025" customFormat="1" ht="24" customHeight="1">
      <c r="A26" s="3013" t="s">
        <v>844</v>
      </c>
      <c r="B26" s="3013"/>
      <c r="C26" s="3014"/>
      <c r="D26" s="3015" t="s">
        <v>845</v>
      </c>
      <c r="E26" s="3013"/>
      <c r="F26" s="301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2019-09-16T02:02:18Z</dcterms:modified>
</cp:coreProperties>
</file>