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805" windowHeight="1087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清单" sheetId="64"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D15" i="62" l="1"/>
  <c r="B16" i="62" l="1"/>
  <c r="D16" i="62" l="1"/>
  <c r="G16" i="62" l="1"/>
  <c r="L14" i="62"/>
  <c r="I16" i="62" l="1"/>
  <c r="L18" i="62" s="1"/>
  <c r="L20" i="62" s="1"/>
  <c r="B15" i="62" l="1"/>
  <c r="C75" i="9" l="1"/>
  <c r="C6" i="11" l="1"/>
  <c r="H6" i="11"/>
  <c r="I21" i="1"/>
  <c r="H20" i="1"/>
  <c r="G20" i="1"/>
  <c r="E13" i="1" l="1"/>
  <c r="C12" i="4" l="1"/>
  <c r="D2" i="4"/>
  <c r="D14" i="9"/>
  <c r="I6" i="64"/>
  <c r="D6" i="64"/>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E1" i="6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6" i="62"/>
  <c r="L16" i="62" s="1"/>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D19" i="59"/>
  <c r="I112" i="9"/>
  <c r="D39" i="50" s="1"/>
  <c r="D40" i="50" s="1"/>
  <c r="D114" i="9"/>
  <c r="D115" i="9"/>
  <c r="I113" i="9" s="1"/>
  <c r="D3" i="61"/>
  <c r="H23" i="31"/>
  <c r="E2" i="36"/>
  <c r="C19" i="57"/>
  <c r="F4" i="61"/>
  <c r="F7" i="61"/>
  <c r="C20" i="57"/>
  <c r="E2" i="33"/>
  <c r="F3" i="61"/>
  <c r="D6" i="61"/>
  <c r="E2" i="34"/>
  <c r="D5" i="61"/>
  <c r="F6" i="61"/>
  <c r="E2" i="11"/>
  <c r="F5" i="61"/>
  <c r="D20" i="57"/>
  <c r="E2" i="37"/>
  <c r="E2" i="35"/>
  <c r="E2" i="21"/>
  <c r="D7" i="61"/>
  <c r="D19" i="57"/>
  <c r="D4" i="61"/>
  <c r="C27" i="15" l="1"/>
  <c r="G41" i="11"/>
  <c r="D24" i="15"/>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E27" i="1" l="1"/>
  <c r="F7" i="35"/>
  <c r="F69" i="39"/>
  <c r="C7" i="43"/>
  <c r="S9" i="59"/>
  <c r="B8" i="59"/>
  <c r="U9" i="59"/>
  <c r="E8" i="59"/>
  <c r="V9" i="59"/>
  <c r="F8"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W7" i="36"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98" i="57" l="1"/>
  <c r="E98" i="57" s="1"/>
  <c r="E99" i="57" s="1"/>
  <c r="C101" i="9"/>
  <c r="C102"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20" i="57" l="1"/>
  <c r="D121" i="57" s="1"/>
  <c r="I117" i="57" s="1"/>
  <c r="I116" i="57"/>
  <c r="C6" i="59"/>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133" i="57"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9" i="9"/>
  <c r="N55" i="9" s="1"/>
  <c r="AA7" i="34" l="1"/>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20" i="9"/>
  <c r="D19" i="9"/>
  <c r="D102" i="9" l="1"/>
  <c r="G20" i="9"/>
  <c r="D101" i="9"/>
  <c r="G19" i="9"/>
  <c r="D2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5" i="62" l="1"/>
  <c r="K14" i="62"/>
  <c r="F15" i="62"/>
  <c r="E15" i="62"/>
  <c r="K16" i="62" s="1"/>
  <c r="I15" i="62" l="1"/>
  <c r="K18" i="62" s="1"/>
  <c r="K20" i="62" s="1"/>
  <c r="I121" i="9"/>
  <c r="H121" i="9" s="1"/>
  <c r="E121" i="9"/>
  <c r="D121" i="9" s="1"/>
  <c r="G121" i="9"/>
  <c r="F121" i="9" s="1"/>
  <c r="I4" i="52" l="1"/>
  <c r="E4" i="52"/>
  <c r="B38" i="60" s="1"/>
  <c r="C104" i="9"/>
  <c r="G4" i="52"/>
  <c r="B41" i="60" s="1"/>
  <c r="I103" i="9"/>
  <c r="D107" i="9"/>
  <c r="I102" i="9"/>
  <c r="D45" i="9" s="1"/>
  <c r="H122" i="9"/>
  <c r="H5" i="52" s="1"/>
  <c r="D106" i="9"/>
  <c r="D112" i="9" s="1"/>
  <c r="D14" i="62"/>
  <c r="C103" i="9"/>
  <c r="H4" i="52"/>
  <c r="F122" i="9"/>
  <c r="F5" i="52" s="1"/>
  <c r="B42" i="60" s="1"/>
  <c r="F4" i="52"/>
  <c r="B40" i="60" s="1"/>
  <c r="D4" i="52"/>
  <c r="B37" i="60" s="1"/>
  <c r="D122" i="9"/>
  <c r="D5" i="52" s="1"/>
  <c r="B39" i="60" s="1"/>
  <c r="I110" i="9"/>
  <c r="D7" i="50"/>
  <c r="D28" i="50"/>
  <c r="D29" i="50" s="1"/>
  <c r="J14" i="62" l="1"/>
  <c r="N48" i="9"/>
  <c r="D113" i="9"/>
  <c r="D30" i="50"/>
  <c r="D9" i="50"/>
  <c r="B21" i="60" s="1"/>
  <c r="B5" i="62"/>
  <c r="M14" i="62" s="1"/>
  <c r="J15" i="62" s="1"/>
  <c r="F14" i="62"/>
  <c r="E14" i="62"/>
  <c r="J16" i="62" s="1"/>
  <c r="D55" i="9"/>
  <c r="N53" i="9" s="1"/>
  <c r="C72" i="9"/>
  <c r="C85" i="9"/>
  <c r="D53" i="9"/>
  <c r="C64" i="9"/>
  <c r="C63" i="9" s="1"/>
  <c r="C67" i="9" s="1"/>
  <c r="C68" i="9" s="1"/>
  <c r="D54" i="9" s="1"/>
  <c r="D48" i="9" s="1"/>
  <c r="N52" i="9" s="1"/>
  <c r="C78" i="9"/>
  <c r="C73" i="9" s="1"/>
  <c r="C93" i="9"/>
  <c r="C86" i="9" s="1"/>
  <c r="D52" i="9"/>
  <c r="D8" i="50"/>
  <c r="B22" i="60" s="1"/>
  <c r="B19" i="60"/>
  <c r="D125" i="9"/>
  <c r="D36" i="50"/>
  <c r="D37" i="50" s="1"/>
  <c r="N49" i="9"/>
  <c r="D15" i="50"/>
  <c r="D38" i="50" l="1"/>
  <c r="B62" i="60" s="1"/>
  <c r="I111" i="9"/>
  <c r="C5" i="62"/>
  <c r="D5" i="62"/>
  <c r="M63" i="9"/>
  <c r="N63" i="9" s="1"/>
  <c r="M64" i="9"/>
  <c r="N64" i="9" s="1"/>
  <c r="M65" i="9"/>
  <c r="N65" i="9" s="1"/>
  <c r="M66" i="9"/>
  <c r="N66" i="9" s="1"/>
  <c r="M67" i="9"/>
  <c r="N67" i="9" s="1"/>
  <c r="M68" i="9"/>
  <c r="N68" i="9" s="1"/>
  <c r="G14" i="62"/>
  <c r="B6" i="62" s="1"/>
  <c r="D8" i="52"/>
  <c r="D16" i="50"/>
  <c r="B30" i="60" s="1"/>
  <c r="B29" i="60"/>
  <c r="C79" i="9"/>
  <c r="C95" i="9"/>
  <c r="D17" i="50" l="1"/>
  <c r="D126" i="9"/>
  <c r="D9" i="52" s="1"/>
  <c r="C6" i="62"/>
  <c r="D6" i="62"/>
  <c r="N69" i="9"/>
  <c r="O69" i="9" s="1"/>
  <c r="C96" i="9"/>
  <c r="E96" i="9" s="1"/>
  <c r="E97" i="9" s="1"/>
  <c r="C80" i="9"/>
  <c r="E80" i="9" s="1"/>
  <c r="E81" i="9" s="1"/>
  <c r="C97" i="9" l="1"/>
  <c r="C81" i="9"/>
  <c r="D58" i="9" s="1"/>
  <c r="D56" i="9" s="1"/>
  <c r="N54" i="9" s="1"/>
  <c r="O57" i="9" s="1"/>
  <c r="Q57" i="9" l="1"/>
  <c r="O58" i="9"/>
  <c r="O59" i="9"/>
  <c r="D116" i="9" l="1"/>
  <c r="I114" i="9"/>
  <c r="O61" i="9"/>
  <c r="O60" i="9"/>
  <c r="D117" i="9" l="1"/>
  <c r="D129" i="9"/>
  <c r="D21" i="50"/>
  <c r="D42" i="50"/>
  <c r="D43" i="50" s="1"/>
  <c r="I14" i="62" l="1"/>
  <c r="D12" i="52"/>
  <c r="B33" i="60"/>
  <c r="D22" i="50"/>
  <c r="B35" i="60" s="1"/>
  <c r="D44" i="50"/>
  <c r="I115" i="9"/>
  <c r="D23" i="50" s="1"/>
  <c r="B34" i="60" s="1"/>
  <c r="B8" i="62" l="1"/>
  <c r="D8" i="62" s="1"/>
  <c r="J18" i="62"/>
  <c r="J20" i="62" s="1"/>
  <c r="C8" i="62" l="1"/>
  <c r="M18" i="62"/>
  <c r="J19" i="6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<sst xmlns="http://schemas.openxmlformats.org/spreadsheetml/2006/main" count="6931" uniqueCount="3072">
  <si>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</si>
  <si>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</si>
  <si>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</si>
  <si>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</si>
  <si>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</si>
  <si>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</si>
  <si>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</si>
  <si>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</si>
  <si>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</si>
  <si>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</si>
  <si>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</si>
  <si>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</si>
  <si>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</si>
  <si>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</si>
  <si>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</si>
  <si>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</si>
  <si>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</si>
  <si>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</si>
  <si>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</si>
  <si>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</si>
  <si>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</si>
  <si>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</si>
  <si>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</si>
  <si>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</si>
  <si>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</si>
  <si>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</si>
  <si>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</si>
  <si>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</si>
  <si>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</si>
  <si>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</si>
  <si>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</si>
  <si>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</si>
  <si>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</si>
  <si>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</si>
  <si>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</si>
  <si>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</si>
  <si>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</si>
  <si>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</si>
  <si>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</si>
  <si>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</si>
  <si>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</si>
  <si>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</si>
  <si>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</si>
  <si>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</si>
  <si>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</si>
  <si>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</si>
  <si>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</si>
  <si>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</si>
  <si>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</si>
  <si>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</si>
  <si>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</si>
  <si>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</si>
  <si>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</si>
  <si>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</si>
  <si>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</si>
  <si>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</si>
  <si>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</si>
  <si>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</si>
  <si>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</si>
  <si>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</si>
  <si>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</si>
  <si>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</si>
  <si>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</si>
  <si>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</si>
  <si>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</si>
  <si>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</si>
  <si>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</si>
  <si>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</si>
  <si>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</si>
  <si>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</si>
  <si>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</si>
  <si>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</si>
  <si>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</si>
  <si>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</si>
  <si>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</si>
  <si>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</si>
  <si>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</si>
  <si>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</si>
  <si>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</si>
  <si>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</si>
  <si>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</si>
  <si>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</si>
  <si>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</si>
  <si>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</si>
  <si>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</si>
  <si>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</si>
  <si>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</si>
  <si>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</si>
  <si>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</si>
  <si>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</si>
  <si>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</si>
  <si>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</si>
  <si>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</si>
  <si>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</si>
  <si>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</si>
  <si>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</si>
  <si>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</si>
  <si>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</si>
  <si>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</si>
  <si>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</si>
  <si>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</si>
  <si>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</si>
  <si>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</si>
  <si>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</si>
  <si>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</si>
  <si>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</si>
  <si>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</si>
  <si>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</si>
  <si>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</si>
  <si>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</si>
  <si>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</si>
  <si>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</si>
  <si>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</si>
  <si>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</si>
  <si>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</si>
  <si>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</si>
  <si>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</si>
  <si>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</si>
  <si>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</si>
  <si>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</si>
  <si>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</si>
  <si>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</si>
  <si>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</si>
  <si>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</si>
  <si>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</si>
  <si>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</si>
  <si>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</si>
  <si>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</si>
  <si>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</si>
  <si>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</si>
  <si>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</si>
  <si>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</si>
  <si>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</si>
  <si>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</si>
  <si>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</si>
  <si>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</si>
  <si>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</si>
  <si>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</si>
  <si>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</si>
  <si>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</si>
  <si>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</si>
  <si>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</si>
  <si>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</si>
  <si>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</si>
  <si>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</si>
  <si>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</si>
  <si>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</si>
  <si>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</si>
  <si>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</si>
  <si>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</si>
  <si>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</si>
  <si>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</si>
  <si>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</si>
  <si>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</si>
  <si>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</si>
  <si>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</si>
  <si>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</si>
  <si>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</si>
  <si>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</si>
  <si>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</si>
  <si>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</si>
  <si>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</si>
  <si>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</si>
  <si>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</si>
  <si>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</si>
  <si>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</si>
  <si>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</si>
  <si>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</si>
  <si>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</si>
  <si>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</si>
  <si>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</si>
  <si>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</si>
  <si>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</si>
  <si>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</si>
  <si>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</si>
  <si>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</si>
  <si>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</si>
  <si>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</si>
  <si>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</si>
  <si>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</si>
  <si>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</si>
  <si>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</si>
  <si>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</si>
  <si>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</si>
  <si>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</si>
  <si>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</si>
  <si>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</si>
  <si>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</si>
  <si>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</si>
  <si>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</si>
  <si>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</si>
  <si>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</si>
  <si>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</si>
  <si>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</si>
  <si>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</si>
  <si>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</si>
  <si>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</si>
  <si>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</si>
  <si>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</si>
  <si>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</si>
  <si>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</si>
  <si>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</si>
  <si>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</si>
  <si>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</si>
  <si>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</si>
  <si>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</si>
  <si>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</si>
  <si>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</si>
  <si>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</si>
  <si>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</si>
  <si>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</si>
  <si>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</si>
  <si>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</si>
  <si>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</si>
  <si>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</si>
  <si>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</si>
  <si>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</si>
  <si>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</si>
  <si>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</si>
  <si>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</si>
  <si>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</si>
  <si>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</si>
  <si>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</si>
  <si>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</si>
  <si>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</si>
  <si>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</si>
  <si>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</si>
  <si>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</si>
  <si>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</si>
  <si>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</si>
  <si>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</si>
  <si>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</si>
  <si>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</si>
  <si>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</si>
  <si>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</si>
  <si>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</si>
  <si>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</si>
  <si>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</si>
  <si>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</si>
  <si>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</si>
  <si>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</si>
  <si>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</si>
  <si>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</si>
  <si>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</si>
  <si>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</si>
  <si>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</si>
  <si>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</si>
  <si>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</si>
  <si>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</si>
  <si>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</si>
  <si>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</si>
  <si>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</si>
  <si>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</si>
  <si>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</si>
  <si>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</si>
  <si>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</si>
  <si>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</si>
  <si>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</si>
  <si>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</si>
  <si>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</si>
  <si>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</si>
  <si>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</si>
  <si>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</si>
  <si>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</si>
  <si>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</si>
  <si>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</si>
  <si>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</si>
  <si>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</si>
  <si>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</si>
  <si>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</si>
  <si>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</si>
  <si>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</si>
  <si>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</si>
  <si>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</si>
  <si>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</si>
  <si>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</si>
  <si>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</si>
  <si>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</si>
  <si>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</si>
  <si>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</si>
  <si>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</si>
  <si>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</si>
  <si>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</si>
  <si>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</si>
  <si>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</si>
  <si>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</si>
  <si>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</si>
  <si>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</si>
  <si>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</si>
  <si>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</si>
  <si>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</si>
  <si>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</si>
  <si>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</si>
  <si>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</si>
  <si>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</si>
  <si>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</si>
  <si>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</si>
  <si>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</si>
  <si>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</si>
  <si>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</si>
  <si>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</si>
  <si>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</si>
  <si>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</si>
  <si>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</si>
  <si>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</si>
  <si>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</si>
  <si>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</si>
  <si>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</si>
  <si>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</si>
  <si>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</si>
  <si>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</si>
  <si>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</si>
  <si>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</si>
  <si>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</si>
  <si>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</si>
  <si>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</si>
  <si>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</si>
  <si>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</si>
  <si>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</si>
  <si>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</si>
  <si>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</si>
  <si>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</si>
  <si>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</si>
  <si>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</si>
  <si>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</si>
  <si>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</si>
  <si>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</si>
  <si>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</si>
  <si>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</si>
  <si>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</si>
  <si>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</si>
  <si>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</si>
  <si>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</si>
  <si>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</si>
  <si>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</si>
  <si>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</si>
  <si>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</si>
  <si>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</si>
  <si>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</si>
  <si>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</si>
  <si>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</si>
  <si>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</si>
  <si>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</si>
  <si>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</si>
  <si>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</si>
  <si>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</si>
  <si>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</si>
  <si>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</si>
  <si>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</si>
  <si>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</si>
  <si>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</si>
  <si>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</si>
  <si>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</si>
  <si>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</si>
  <si>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</si>
  <si>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</si>
  <si>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</si>
  <si>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</si>
  <si>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</si>
  <si>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</si>
  <si>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</si>
  <si>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</si>
  <si>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</si>
  <si>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</si>
  <si>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</si>
  <si>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</si>
  <si>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</si>
  <si>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</si>
  <si>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</si>
  <si>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</si>
  <si>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</si>
  <si>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</si>
  <si>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</si>
  <si>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</si>
  <si>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</si>
  <si>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</si>
  <si>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</si>
  <si>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</si>
  <si>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</si>
  <si>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</si>
  <si>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</si>
  <si>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</si>
  <si>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</si>
  <si>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</si>
  <si>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</si>
  <si>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</si>
  <si>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</si>
  <si>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</si>
  <si>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</si>
  <si>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</si>
  <si>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</si>
  <si>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</si>
  <si>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</si>
  <si>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</si>
  <si>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</si>
  <si>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</si>
  <si>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</si>
  <si>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</si>
  <si>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</si>
  <si>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</si>
  <si>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</si>
  <si>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</si>
  <si>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</si>
  <si>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</si>
  <si>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</si>
  <si>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</si>
  <si>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</si>
  <si>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</si>
  <si>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</si>
  <si>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</si>
  <si>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</si>
  <si>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</si>
  <si>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</si>
  <si>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</si>
  <si>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</si>
  <si>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</si>
  <si>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</si>
  <si>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</si>
  <si>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</si>
  <si>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</si>
  <si>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</si>
  <si>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</si>
  <si>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</si>
  <si>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</si>
  <si>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</si>
  <si>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</si>
  <si>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</si>
  <si>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</si>
  <si>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</si>
  <si>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</si>
  <si>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</si>
  <si>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</si>
  <si>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</si>
  <si>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</si>
  <si>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</si>
  <si>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</si>
  <si>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</si>
  <si>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</si>
  <si>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</si>
  <si>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</si>
  <si>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</si>
  <si>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</si>
  <si>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</si>
  <si>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</si>
  <si>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</si>
  <si>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</si>
  <si>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</si>
  <si>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</si>
  <si>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</si>
  <si>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</si>
  <si>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</si>
  <si>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</si>
  <si>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</si>
  <si>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</si>
  <si>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</si>
  <si>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</si>
  <si>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</si>
  <si>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</si>
  <si>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</si>
  <si>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</si>
  <si>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</si>
  <si>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</si>
  <si>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</si>
  <si>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</si>
  <si>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</si>
  <si>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</si>
  <si>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</si>
  <si>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</si>
  <si>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</si>
  <si>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</si>
  <si>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</si>
  <si>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</si>
  <si>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</si>
  <si>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</si>
  <si>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</si>
  <si>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</si>
  <si>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</si>
  <si>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</si>
  <si>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</si>
  <si>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</si>
  <si>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</si>
  <si>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</si>
  <si>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</si>
  <si>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</si>
  <si>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</si>
  <si>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</si>
  <si>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</si>
  <si>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</si>
  <si>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</si>
  <si>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</si>
  <si>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</si>
  <si>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</si>
  <si>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</si>
  <si>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</si>
  <si>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</si>
  <si>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</si>
  <si>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</si>
  <si>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</si>
  <si>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</si>
  <si>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</si>
  <si>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</si>
  <si>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</si>
  <si>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</si>
  <si>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</si>
  <si>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</si>
  <si>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</si>
  <si>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</si>
  <si>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</si>
  <si>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</si>
  <si>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</si>
  <si>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</si>
  <si>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</si>
  <si>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</si>
  <si>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</si>
  <si>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</si>
  <si>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</si>
  <si>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</si>
  <si>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</si>
  <si>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</si>
  <si>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</si>
  <si>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</si>
  <si>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</si>
  <si>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</si>
  <si>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</si>
  <si>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</si>
  <si>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</si>
  <si>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</si>
  <si>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</si>
  <si>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</si>
  <si>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</si>
  <si>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</si>
  <si>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</si>
  <si>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</si>
  <si>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</si>
  <si>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</si>
  <si>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</si>
  <si>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</si>
  <si>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</si>
  <si>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</si>
  <si>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</si>
  <si>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</si>
  <si>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</si>
  <si>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</si>
  <si>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</si>
  <si>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</si>
  <si>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</si>
  <si>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</si>
  <si>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</si>
  <si>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</si>
  <si>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</si>
  <si>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</si>
  <si>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</si>
  <si>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</si>
  <si>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</si>
  <si>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</si>
  <si>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</si>
  <si>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</si>
  <si>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</si>
  <si>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</si>
  <si>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</si>
  <si>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</si>
  <si>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</si>
  <si>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</si>
  <si>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</si>
  <si>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</si>
  <si>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</si>
  <si>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</si>
  <si>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</si>
  <si>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</si>
  <si>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</si>
  <si>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</si>
  <si>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</si>
  <si>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</si>
  <si>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</si>
  <si>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</si>
  <si>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</si>
  <si>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</si>
  <si>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</si>
  <si>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</si>
  <si>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</si>
  <si>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</si>
  <si>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</si>
  <si>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</si>
  <si>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</si>
  <si>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</si>
  <si>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</si>
  <si>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</si>
  <si>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</si>
  <si>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</si>
  <si>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</si>
  <si>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</si>
  <si>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</si>
  <si>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</si>
  <si>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</si>
  <si>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</si>
  <si>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</si>
  <si>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</si>
  <si>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</si>
  <si>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</si>
  <si>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</si>
  <si>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</si>
  <si>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</si>
  <si>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</si>
  <si>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</si>
  <si>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</si>
  <si>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</si>
  <si>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</si>
  <si>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</si>
  <si>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</si>
  <si>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</si>
  <si>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</si>
  <si>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</si>
  <si>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</si>
  <si>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</si>
  <si>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</si>
  <si>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</si>
  <si>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</si>
  <si>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</si>
  <si>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</si>
  <si>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</si>
  <si>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</si>
  <si>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</si>
  <si>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</si>
  <si>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</si>
  <si>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</si>
  <si>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</si>
  <si>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</si>
  <si>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</si>
  <si>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</si>
  <si>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</si>
  <si>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</si>
  <si>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</si>
  <si>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</si>
  <si>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</si>
  <si>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</si>
  <si>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</si>
  <si>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</si>
  <si>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</si>
  <si>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</si>
  <si>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</si>
  <si>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</si>
  <si>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</si>
  <si>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</si>
  <si>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</si>
  <si>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</si>
  <si>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</si>
  <si>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</si>
  <si>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</si>
  <si>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</si>
  <si>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</si>
  <si>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</si>
  <si>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</si>
  <si>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</si>
  <si>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</si>
  <si>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</si>
  <si>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</si>
  <si>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</si>
  <si>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</si>
  <si>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</si>
  <si>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</si>
  <si>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</si>
  <si>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</si>
  <si>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</si>
  <si>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</si>
  <si>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</si>
  <si>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</si>
  <si>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</si>
  <si>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</si>
  <si>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</si>
  <si>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</si>
  <si>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</si>
  <si>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</si>
  <si>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</si>
  <si>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</si>
  <si>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</si>
  <si>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</si>
  <si>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</si>
  <si>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</si>
  <si>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</si>
  <si>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</si>
  <si>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</si>
  <si>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</si>
  <si>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</si>
  <si>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</si>
  <si>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</si>
  <si>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</si>
  <si>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</si>
  <si>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</si>
  <si>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</si>
  <si>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</si>
  <si>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</si>
  <si>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</si>
  <si>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</si>
  <si>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</si>
  <si>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</si>
  <si>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</si>
  <si>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</si>
  <si>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</si>
  <si>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</si>
  <si>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</si>
  <si>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</si>
  <si>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</si>
  <si>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</si>
  <si>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</si>
  <si>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</si>
  <si>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</si>
  <si>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</si>
  <si>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</si>
  <si>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</si>
  <si>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</si>
  <si>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</si>
  <si>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</si>
  <si>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</si>
  <si>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</si>
  <si>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</si>
  <si>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</si>
  <si>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</si>
  <si>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</si>
  <si>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</si>
  <si>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</si>
  <si>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</si>
  <si>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</si>
  <si>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</si>
  <si>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</si>
  <si>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</si>
  <si>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</si>
  <si>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</si>
  <si>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</si>
  <si>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</si>
  <si>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</si>
  <si>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</si>
  <si>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</si>
  <si>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</si>
  <si>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</si>
  <si>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</si>
  <si>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</si>
  <si>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</si>
  <si>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</si>
  <si>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</si>
  <si>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</si>
  <si>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</si>
  <si>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</si>
  <si>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</si>
  <si>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</si>
  <si>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</si>
  <si>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</si>
  <si>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</si>
  <si>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</si>
  <si>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</si>
  <si>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</si>
  <si>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</si>
  <si>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</si>
  <si>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</si>
  <si>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</si>
  <si>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</si>
  <si>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</si>
  <si>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</si>
  <si>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</si>
  <si>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</si>
  <si>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</si>
  <si>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</si>
  <si>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</si>
  <si>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</si>
  <si>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</si>
  <si>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</si>
  <si>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</si>
  <si>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</si>
  <si>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</si>
  <si>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</si>
  <si>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</si>
  <si>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</si>
  <si>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</si>
  <si>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</si>
  <si>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</si>
  <si>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</si>
  <si>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</si>
  <si>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</si>
  <si>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</si>
  <si>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</si>
  <si>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</si>
  <si>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</si>
  <si>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</si>
  <si>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</si>
  <si>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</si>
  <si>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</si>
  <si>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</si>
  <si>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</si>
  <si>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</si>
  <si>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</si>
  <si>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</si>
  <si>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</si>
  <si>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</si>
  <si>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</si>
  <si>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</si>
  <si>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</si>
  <si>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</si>
  <si>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</si>
  <si>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</si>
  <si>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</si>
  <si>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</si>
  <si>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</si>
  <si>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</si>
  <si>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</si>
  <si>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</si>
  <si>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</si>
  <si>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</si>
  <si>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</si>
  <si>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</si>
  <si>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</si>
  <si>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</si>
  <si>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</si>
  <si>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</si>
  <si>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</si>
  <si>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</si>
  <si>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</si>
  <si>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</si>
  <si>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</si>
  <si>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</si>
  <si>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</si>
  <si>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</si>
  <si>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</si>
  <si>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</si>
  <si>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</si>
  <si>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</si>
  <si>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</si>
  <si>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</si>
  <si>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</si>
  <si>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</si>
  <si>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</si>
  <si>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</si>
  <si>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</si>
  <si>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</si>
  <si>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</si>
  <si>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</si>
  <si>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</si>
  <si>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</si>
  <si>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</si>
  <si>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</si>
  <si>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</si>
  <si>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</si>
  <si>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</si>
  <si>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</si>
  <si>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</si>
  <si>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</si>
  <si>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</si>
  <si>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</si>
  <si>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</si>
  <si>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</si>
  <si>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</si>
  <si>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</si>
  <si>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</si>
  <si>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</si>
  <si>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</si>
  <si>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</si>
  <si>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</si>
  <si>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</si>
  <si>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</si>
  <si>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</si>
  <si>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</si>
  <si>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</si>
  <si>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</si>
  <si>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</si>
  <si>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</si>
  <si>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</si>
  <si>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</si>
  <si>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</si>
  <si>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</si>
  <si>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</si>
  <si>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</si>
  <si>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</si>
  <si>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</si>
  <si>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</si>
  <si>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</si>
  <si>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</si>
  <si>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</si>
  <si>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</si>
  <si>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</si>
  <si>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</si>
  <si>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</si>
  <si>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</si>
  <si>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</si>
  <si>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</si>
  <si>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</si>
  <si>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</si>
  <si>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</si>
  <si>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</si>
  <si>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</si>
  <si>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</si>
  <si>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</si>
  <si>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</si>
  <si>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</si>
  <si>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</si>
  <si>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</si>
  <si>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</si>
  <si>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</si>
  <si>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</si>
  <si>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</si>
  <si>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</si>
  <si>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</si>
  <si>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</si>
  <si>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</si>
  <si>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</si>
  <si>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</si>
  <si>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</si>
  <si>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</si>
  <si>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</si>
  <si>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</si>
  <si>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</si>
  <si>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</si>
  <si>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</si>
  <si>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</si>
  <si>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</si>
  <si>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</si>
  <si>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</si>
  <si>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</si>
  <si>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</si>
  <si>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</si>
  <si>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</si>
  <si>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</si>
  <si>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</si>
  <si>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</si>
  <si>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</si>
  <si>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</si>
  <si>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</si>
  <si>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</si>
  <si>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</si>
  <si>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</si>
  <si>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</si>
  <si>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</si>
  <si>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</si>
  <si>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</si>
  <si>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</si>
  <si>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</si>
  <si>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</si>
  <si>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</si>
  <si>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</si>
  <si>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</si>
  <si>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</si>
  <si>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</si>
  <si>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</si>
  <si>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</si>
  <si>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</si>
  <si>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</si>
  <si>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</si>
  <si>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</si>
  <si>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</si>
  <si>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</si>
  <si>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</si>
  <si>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</si>
  <si>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</si>
  <si>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</si>
  <si>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</si>
  <si>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</si>
  <si>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</si>
  <si>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</si>
  <si>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</si>
  <si>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</si>
  <si>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</si>
  <si>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</si>
  <si>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</si>
  <si>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</si>
  <si>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</si>
  <si>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</si>
  <si>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</si>
  <si>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</si>
  <si>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</si>
  <si>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</si>
  <si>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</si>
  <si>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</si>
  <si>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</si>
  <si>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</si>
  <si>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</si>
  <si>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</si>
  <si>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</si>
  <si>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</si>
  <si>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</si>
  <si>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</si>
  <si>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</si>
  <si>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</si>
  <si>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</si>
  <si>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</si>
  <si>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</si>
  <si>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</si>
  <si>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</si>
  <si>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</si>
  <si>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</si>
  <si>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</si>
  <si>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</si>
  <si>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</si>
  <si>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</si>
  <si>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</si>
  <si>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</si>
  <si>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</si>
  <si>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</si>
  <si>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</si>
  <si>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</si>
  <si>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</si>
  <si>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</si>
  <si>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</si>
  <si>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</si>
  <si>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</si>
  <si>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</si>
  <si>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</si>
  <si>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</si>
  <si>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</si>
  <si>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</si>
  <si>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</si>
  <si>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</si>
  <si>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</si>
  <si>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</si>
  <si>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</si>
  <si>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</si>
  <si>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</si>
  <si>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</si>
  <si>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</si>
  <si>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</si>
  <si>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</si>
  <si>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</si>
  <si>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</si>
  <si>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</si>
  <si>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</si>
  <si>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</si>
  <si>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</si>
  <si>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</si>
  <si>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</si>
  <si>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</si>
  <si>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</si>
  <si>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</si>
  <si>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</si>
  <si>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</si>
  <si>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</si>
  <si>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</si>
  <si>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</si>
  <si>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</si>
  <si>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</si>
  <si>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</si>
  <si>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</si>
  <si>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</si>
  <si>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</si>
  <si>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</si>
  <si>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</si>
  <si>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</si>
  <si>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</si>
  <si>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</si>
  <si>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</si>
  <si>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</si>
  <si>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</si>
  <si>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</si>
  <si>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</si>
  <si>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</si>
  <si>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</si>
  <si>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</si>
  <si>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</si>
  <si>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</si>
  <si>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</si>
  <si>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</si>
  <si>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</si>
  <si>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</si>
  <si>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</si>
  <si>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</si>
  <si>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</si>
  <si>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</si>
  <si>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</si>
  <si>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</si>
  <si>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</si>
  <si>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</si>
  <si>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</si>
  <si>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</si>
  <si>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</si>
  <si>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</si>
  <si>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</si>
  <si>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</si>
  <si>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</si>
  <si>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</si>
  <si>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</si>
  <si>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</si>
  <si>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</si>
  <si>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</si>
  <si>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</si>
  <si>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</si>
  <si>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</si>
  <si>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</si>
  <si>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</si>
  <si>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</si>
  <si>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</si>
  <si>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</si>
  <si>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</si>
  <si>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</si>
  <si>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</si>
  <si>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</si>
  <si>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</si>
  <si>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</si>
  <si>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</si>
  <si>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</si>
  <si>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</si>
  <si>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</si>
  <si>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</si>
  <si>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</si>
  <si>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</si>
  <si>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</si>
  <si>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</si>
  <si>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</si>
  <si>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</si>
  <si>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</si>
  <si>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</si>
  <si>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</si>
  <si>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</si>
  <si>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</si>
  <si>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</si>
  <si>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</si>
  <si>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</si>
  <si>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</si>
  <si>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</si>
  <si>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</si>
  <si>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</si>
  <si>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</si>
  <si>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</si>
  <si>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</si>
  <si>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</si>
  <si>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</si>
  <si>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</si>
  <si>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</si>
  <si>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</si>
  <si>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</si>
  <si>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</si>
  <si>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</si>
  <si>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</si>
  <si>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</si>
  <si>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</si>
  <si>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</si>
  <si>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</si>
  <si>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</si>
  <si>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</si>
  <si>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</si>
  <si>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</si>
  <si>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</si>
  <si>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</si>
  <si>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</si>
  <si>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</si>
  <si>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</si>
  <si>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</si>
  <si>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</si>
  <si>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</si>
  <si>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</si>
  <si>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</si>
  <si>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</si>
  <si>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</si>
  <si>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</si>
  <si>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</si>
  <si>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</si>
  <si>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</si>
  <si>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</si>
  <si>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</si>
  <si>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</si>
  <si>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</si>
  <si>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</si>
  <si>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</si>
  <si>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</si>
  <si>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</si>
  <si>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</si>
  <si>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</si>
  <si>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</si>
  <si>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</si>
  <si>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</si>
  <si>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</si>
  <si>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</si>
  <si>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</si>
  <si>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</si>
  <si>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</si>
  <si>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</si>
  <si>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</si>
  <si>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</si>
  <si>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</si>
  <si>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</si>
  <si>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</si>
  <si>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</si>
  <si>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</si>
  <si>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</si>
  <si>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</si>
  <si>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</si>
  <si>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</si>
  <si>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</si>
  <si>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</si>
  <si>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</si>
  <si>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</si>
  <si>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</si>
  <si>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</si>
  <si>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</si>
  <si>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</si>
  <si>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</si>
  <si>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</si>
  <si>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</si>
  <si>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</si>
  <si>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</si>
  <si>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</si>
  <si>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</si>
  <si>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</si>
  <si>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</si>
  <si>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</si>
  <si>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</si>
  <si>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</si>
  <si>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</si>
  <si>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</si>
  <si>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</si>
  <si>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</si>
  <si>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</si>
  <si>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</si>
  <si>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</si>
  <si>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</si>
  <si>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</si>
  <si>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</si>
  <si>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</si>
  <si>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</si>
  <si>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</si>
  <si>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</si>
  <si>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</si>
  <si>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</si>
  <si>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</si>
  <si>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</si>
  <si>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</si>
  <si>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</si>
  <si>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</si>
  <si>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</si>
  <si>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</si>
  <si>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</si>
  <si>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</si>
  <si>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</si>
  <si>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</si>
  <si>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</si>
  <si>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</si>
  <si>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</si>
  <si>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</si>
  <si>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</si>
  <si>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</si>
  <si>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</si>
  <si>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</si>
  <si>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</si>
  <si>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</si>
  <si>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</si>
  <si>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</si>
  <si>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</si>
  <si>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</si>
  <si>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</si>
  <si>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</si>
  <si>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</si>
  <si>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</si>
  <si>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</si>
  <si>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</si>
  <si>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</si>
  <si>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</si>
  <si>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</si>
  <si>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</si>
  <si>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</si>
  <si>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</si>
  <si>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</si>
  <si>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</si>
  <si>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</si>
  <si>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</si>
  <si>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</si>
  <si>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</si>
  <si>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</si>
  <si>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</si>
  <si>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</si>
  <si>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</si>
  <si>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</si>
  <si>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</si>
  <si>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</si>
  <si>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</si>
  <si>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</si>
  <si>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</si>
  <si>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</si>
  <si>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</si>
  <si>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</si>
  <si>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</si>
  <si>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</si>
  <si>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</si>
  <si>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</si>
  <si>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</si>
  <si>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</si>
  <si>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</si>
  <si>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</si>
  <si>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</si>
  <si>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</si>
  <si>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</si>
  <si>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</si>
  <si>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</si>
  <si>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</si>
  <si>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</si>
  <si>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</si>
  <si>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</si>
  <si>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</si>
  <si>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</si>
  <si>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</si>
  <si>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</si>
  <si>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</si>
  <si>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</si>
  <si>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</si>
  <si>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</si>
  <si>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</si>
  <si>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</si>
  <si>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</si>
  <si>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</si>
  <si>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</si>
  <si>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</si>
  <si>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</si>
  <si>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</si>
  <si>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</si>
  <si>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</si>
  <si>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</si>
  <si>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</si>
  <si>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</si>
  <si>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</si>
  <si>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</si>
  <si>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</si>
  <si>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</si>
  <si>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</si>
  <si>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</si>
  <si>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</si>
  <si>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</si>
  <si>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</si>
  <si>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</si>
  <si>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</si>
  <si>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</si>
  <si>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</si>
  <si>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</si>
  <si>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</si>
  <si>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</si>
  <si>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</si>
  <si>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</si>
  <si>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</si>
  <si>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</si>
  <si>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</si>
  <si>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</si>
  <si>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</si>
  <si>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</si>
  <si>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</si>
  <si>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</si>
  <si>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</si>
  <si>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</si>
  <si>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</si>
  <si>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</si>
  <si>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</si>
  <si>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</si>
  <si>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</si>
  <si>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</si>
  <si>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</si>
  <si>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</si>
  <si>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</si>
  <si>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</si>
  <si>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</si>
  <si>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</si>
  <si>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</si>
  <si>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</si>
  <si>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</si>
  <si>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</si>
  <si>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</si>
  <si>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</si>
  <si>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</si>
  <si>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</si>
  <si>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</si>
  <si>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</si>
  <si>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</si>
  <si>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</si>
  <si>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</si>
  <si>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</si>
  <si>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</si>
  <si>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</si>
  <si>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</si>
  <si>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</si>
  <si>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</si>
  <si>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</si>
  <si>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</si>
  <si>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</si>
  <si>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</si>
  <si>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</si>
  <si>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</si>
  <si>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</si>
  <si>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</si>
  <si>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</si>
  <si>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</si>
  <si>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</si>
  <si>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</si>
  <si>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</si>
  <si>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</si>
  <si>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</si>
  <si>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</si>
  <si>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</si>
  <si>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</si>
  <si>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</si>
  <si>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</si>
  <si>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</si>
  <si>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</si>
  <si>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</si>
  <si>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</si>
  <si>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</si>
  <si>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</si>
  <si>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</si>
  <si>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</si>
  <si>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</si>
  <si>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</si>
  <si>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</si>
  <si>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</si>
  <si>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</si>
  <si>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</si>
  <si>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</si>
  <si>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</si>
  <si>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</si>
  <si>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</si>
  <si>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</si>
  <si>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</si>
  <si>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</si>
  <si>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</si>
  <si>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</si>
  <si>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</si>
  <si>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</si>
  <si>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</si>
  <si>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</si>
  <si>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</si>
  <si>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</si>
  <si>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</si>
  <si>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</si>
  <si>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</si>
  <si>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</si>
  <si>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</si>
  <si>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</si>
  <si>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</si>
  <si>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</si>
  <si>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</si>
  <si>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</si>
  <si>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</si>
  <si>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</si>
  <si>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</si>
  <si>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</si>
  <si>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</si>
  <si>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</si>
  <si>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</si>
  <si>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</si>
  <si>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</si>
  <si>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</si>
  <si>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</si>
  <si>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</si>
  <si>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</si>
  <si>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</si>
  <si>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</si>
  <si>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</si>
  <si>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</si>
  <si>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</si>
  <si>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</si>
  <si>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</si>
  <si>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</si>
  <si>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</si>
  <si>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</si>
  <si>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</si>
  <si>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</si>
  <si>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</si>
  <si>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</si>
  <si>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</si>
  <si>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</si>
  <si>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</si>
  <si>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</si>
  <si>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</si>
  <si>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</si>
  <si>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</si>
  <si>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</si>
  <si>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</si>
  <si>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</si>
  <si>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</si>
  <si>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</si>
  <si>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</si>
  <si>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</si>
  <si>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</si>
  <si>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</si>
  <si>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</si>
  <si>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</si>
  <si>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</si>
  <si>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</si>
  <si>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</si>
  <si>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</si>
  <si>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</si>
  <si>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</si>
  <si>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</si>
  <si>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</si>
  <si>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</si>
  <si>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</si>
  <si>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</si>
  <si>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</si>
  <si>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</si>
  <si>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</si>
  <si>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</si>
  <si>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</si>
  <si>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</si>
  <si>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</si>
  <si>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</si>
  <si>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</si>
  <si>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</si>
  <si>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</si>
  <si>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</si>
  <si>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</si>
  <si>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</si>
  <si>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</si>
  <si>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</si>
  <si>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</si>
  <si>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</si>
  <si>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</si>
  <si>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</si>
  <si>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</si>
  <si>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</si>
  <si>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</si>
  <si>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</si>
  <si>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</si>
  <si>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</si>
  <si>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</si>
  <si>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</si>
  <si>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</si>
  <si>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</si>
  <si>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</si>
  <si>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</si>
  <si>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</si>
  <si>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</si>
  <si>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</si>
  <si>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</si>
  <si>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</si>
  <si>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</si>
  <si>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</si>
  <si>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</si>
  <si>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</si>
  <si>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</si>
  <si>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</si>
  <si>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</si>
  <si>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</si>
  <si>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</si>
  <si>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</si>
  <si>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</si>
  <si>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</si>
  <si>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</si>
  <si>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</si>
  <si>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</si>
  <si>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</si>
  <si>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</si>
  <si>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</si>
  <si>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</si>
  <si>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</si>
  <si>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</si>
  <si>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</si>
  <si>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</si>
  <si>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</si>
  <si>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</si>
  <si>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</si>
  <si>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</si>
  <si>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</si>
  <si>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</si>
  <si>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</si>
  <si>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</si>
  <si>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</si>
  <si>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</si>
  <si>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</si>
  <si>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</si>
  <si>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</si>
  <si>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</si>
  <si>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</si>
  <si>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</si>
  <si>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</si>
  <si>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</si>
  <si>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</si>
  <si>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</si>
  <si>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</si>
  <si>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</si>
  <si>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</si>
  <si>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</si>
  <si>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</si>
  <si>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</si>
  <si>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</si>
  <si>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</si>
  <si>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</si>
  <si>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</si>
  <si>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</si>
  <si>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</si>
  <si>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</si>
  <si>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</si>
  <si>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</si>
  <si>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</si>
  <si>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</si>
  <si>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</si>
  <si>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</si>
  <si>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</si>
  <si>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</si>
  <si>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</si>
  <si>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</si>
  <si>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</si>
  <si>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</si>
  <si>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</si>
  <si>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</si>
  <si>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</si>
  <si>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</si>
  <si>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</si>
  <si>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</si>
  <si>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</si>
  <si>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</si>
  <si>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</si>
  <si>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</si>
  <si>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</si>
  <si>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</si>
  <si>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</si>
  <si>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</si>
  <si>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</si>
  <si>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</si>
  <si>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</si>
  <si>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</si>
  <si>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</si>
  <si>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</si>
  <si>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</si>
  <si>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</si>
  <si>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</si>
  <si>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</si>
  <si>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</si>
  <si>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</si>
  <si>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</si>
  <si>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</si>
  <si>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</si>
  <si>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</si>
  <si>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</si>
  <si>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</si>
  <si>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</si>
  <si>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</si>
  <si>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</si>
  <si>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</si>
  <si>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</si>
  <si>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</si>
  <si>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</si>
  <si>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</si>
  <si>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</si>
  <si>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</si>
  <si>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</si>
  <si>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</si>
  <si>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</si>
  <si>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</si>
  <si>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</si>
  <si>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</si>
  <si>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</si>
  <si>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</si>
  <si>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</si>
  <si>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</si>
  <si>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</si>
  <si>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</si>
  <si>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</si>
  <si>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</si>
  <si>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</si>
  <si>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</si>
  <si>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</si>
  <si>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</si>
  <si>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</si>
  <si>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</si>
  <si>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</si>
  <si>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</si>
  <si>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</si>
  <si>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</si>
  <si>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</si>
  <si>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</si>
  <si>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</si>
  <si>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</si>
  <si>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</si>
  <si>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</si>
  <si>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</si>
  <si>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</si>
  <si>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</si>
  <si>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</si>
  <si>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</si>
  <si>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</si>
  <si>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</si>
  <si>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</si>
  <si>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</si>
  <si>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</si>
  <si>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</si>
  <si>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</si>
  <si>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</si>
  <si>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</si>
  <si>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</si>
  <si>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</si>
  <si>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</si>
  <si>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</si>
  <si>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</si>
  <si>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</si>
  <si>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</si>
  <si>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</si>
  <si>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</si>
  <si>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</si>
  <si>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</si>
  <si>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</si>
  <si>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</si>
  <si>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</si>
  <si>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</si>
  <si>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</si>
  <si>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</si>
  <si>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</si>
  <si>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</si>
  <si>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</si>
  <si>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</si>
  <si>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</si>
  <si>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</si>
  <si>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</si>
  <si>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</si>
  <si>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</si>
  <si>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</si>
  <si>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</si>
  <si>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</si>
  <si>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</si>
  <si>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</si>
  <si>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</si>
  <si>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</si>
  <si>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</si>
  <si>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</si>
  <si>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</si>
  <si>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</si>
  <si>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</si>
  <si>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</si>
  <si>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</si>
  <si>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</si>
  <si>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</si>
  <si>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</si>
  <si>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</si>
  <si>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</si>
  <si>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</si>
  <si>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</si>
  <si>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</si>
  <si>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</si>
  <si>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</si>
  <si>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</si>
  <si>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</si>
  <si>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</si>
  <si>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</si>
  <si>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</si>
  <si>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</si>
  <si>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</si>
  <si>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</si>
  <si>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</si>
  <si>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</si>
  <si>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</si>
  <si>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</si>
  <si>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</si>
  <si>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</si>
  <si>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</si>
  <si>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</si>
  <si>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</si>
  <si>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</si>
  <si>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</si>
  <si>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</si>
  <si>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</si>
  <si>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</si>
  <si>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</si>
  <si>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</si>
  <si>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</si>
  <si>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</si>
  <si>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</si>
  <si>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</si>
  <si>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</si>
  <si>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</si>
  <si>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</si>
  <si>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</si>
  <si>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</si>
  <si>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</si>
  <si>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</si>
  <si>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</si>
  <si>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</si>
  <si>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</si>
  <si>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</si>
  <si>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</si>
  <si>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</si>
  <si>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</si>
  <si>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</si>
  <si>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</si>
  <si>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</si>
  <si>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</si>
  <si>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</si>
  <si>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</si>
  <si>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</si>
  <si>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</si>
  <si>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</si>
  <si>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</si>
  <si>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</si>
  <si>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</si>
  <si>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</si>
  <si>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</si>
  <si>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</si>
  <si>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</si>
  <si>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</si>
  <si>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</si>
  <si>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</si>
  <si>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</si>
  <si>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</si>
  <si>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</si>
  <si>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</si>
  <si>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</si>
  <si>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</si>
  <si>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</si>
  <si>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</si>
  <si>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</si>
  <si>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</si>
  <si>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</si>
  <si>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</si>
  <si>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</si>
  <si>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</si>
  <si>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</si>
  <si>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</si>
  <si>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</si>
  <si>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</si>
  <si>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</si>
  <si>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</si>
  <si>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</si>
  <si>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</si>
  <si>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</si>
  <si>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</si>
  <si>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</si>
  <si>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</si>
  <si>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</si>
  <si>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</si>
  <si>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</si>
  <si>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</si>
  <si>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</si>
  <si>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</si>
  <si>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</si>
  <si>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</si>
  <si>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</si>
  <si>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</si>
  <si>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</si>
  <si>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</si>
  <si>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</si>
  <si>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</si>
  <si>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</si>
  <si>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</si>
  <si>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</si>
  <si>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</si>
  <si>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</si>
  <si>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</si>
  <si>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</si>
  <si>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</si>
  <si>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</si>
  <si>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</si>
  <si>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</si>
  <si>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</si>
  <si>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</si>
  <si>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</si>
  <si>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</si>
  <si>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</si>
  <si>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</si>
  <si>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</si>
  <si>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</si>
  <si>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</si>
  <si>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</si>
  <si>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</si>
  <si>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</si>
  <si>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</si>
  <si>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</si>
  <si>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</si>
  <si>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</si>
  <si>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</si>
  <si>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</si>
  <si>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</si>
  <si>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</si>
  <si>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</si>
  <si>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</si>
  <si>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</si>
  <si>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</si>
  <si>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</si>
  <si>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</si>
  <si>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</si>
  <si>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</si>
  <si>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</si>
  <si>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</si>
  <si>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</si>
  <si>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</si>
  <si>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</si>
  <si>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</si>
  <si>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</si>
  <si>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</si>
  <si>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</si>
  <si>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</si>
  <si>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</si>
  <si>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</si>
  <si>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</si>
  <si>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</si>
  <si>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</si>
  <si>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</si>
  <si>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</si>
  <si>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</si>
  <si>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</si>
  <si>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</si>
  <si>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</si>
  <si>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</si>
  <si>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</si>
  <si>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</si>
  <si>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</si>
  <si>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</si>
  <si>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</si>
  <si>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</si>
  <si>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</si>
  <si>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</si>
  <si>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</si>
  <si>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</si>
  <si>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</si>
  <si>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</si>
  <si>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</si>
  <si>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</si>
  <si>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</si>
  <si>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</si>
  <si>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</si>
  <si>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</si>
  <si>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</si>
  <si>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</si>
  <si>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</si>
  <si>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</si>
  <si>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</si>
  <si>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</si>
  <si>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</si>
  <si>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</si>
  <si>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</si>
  <si>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</si>
  <si>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</si>
  <si>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</si>
  <si>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</si>
  <si>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</si>
  <si>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</si>
  <si>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</si>
  <si>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</si>
  <si>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</si>
  <si>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</si>
  <si>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</si>
  <si>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</si>
  <si>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</si>
  <si>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</si>
  <si>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</si>
  <si>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</si>
  <si>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</si>
  <si>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</si>
  <si>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</si>
  <si>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</si>
  <si>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</si>
  <si>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</si>
  <si>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</si>
  <si>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</si>
  <si>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</si>
  <si>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</si>
  <si>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</si>
  <si>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</si>
  <si>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</si>
  <si>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</si>
  <si>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</si>
  <si>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</si>
  <si>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</si>
  <si>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</si>
  <si>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</si>
  <si>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</si>
  <si>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</si>
  <si>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</si>
  <si>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</si>
  <si>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</si>
  <si>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</si>
  <si>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</si>
  <si>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</si>
  <si>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</si>
  <si>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</si>
  <si>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</si>
  <si>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</si>
  <si>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</si>
  <si>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</si>
  <si>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</si>
  <si>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</si>
  <si>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</si>
  <si>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</si>
  <si>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</si>
  <si>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</si>
  <si>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</si>
  <si>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</si>
  <si>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</si>
  <si>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</si>
  <si>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</si>
  <si>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</si>
  <si>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</si>
  <si>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</si>
  <si>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</si>
  <si>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</si>
  <si>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</si>
  <si>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</si>
  <si>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</si>
  <si>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</si>
  <si>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</si>
  <si>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</si>
  <si>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</si>
  <si>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</si>
  <si>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</si>
  <si>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</si>
  <si>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</si>
  <si>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</si>
  <si>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</si>
  <si>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</si>
  <si>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</si>
  <si>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</si>
  <si>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</si>
  <si>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</si>
  <si>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</si>
  <si>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</si>
  <si>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</si>
  <si>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</si>
  <si>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</si>
  <si>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</si>
  <si>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</si>
  <si>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</si>
  <si>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</si>
  <si>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</si>
  <si>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</si>
  <si>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</si>
  <si>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</si>
  <si>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</si>
  <si>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</si>
  <si>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</si>
  <si>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</si>
  <si>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</si>
  <si>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</si>
  <si>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</si>
  <si>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</si>
  <si>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</si>
  <si>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</si>
  <si>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</si>
  <si>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</si>
  <si>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</si>
  <si>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</si>
  <si>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</si>
  <si>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</si>
  <si>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</si>
  <si>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</si>
  <si>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</si>
  <si>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</si>
  <si>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</si>
  <si>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</si>
  <si>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</si>
  <si>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</si>
  <si>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</si>
  <si>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</si>
  <si>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</si>
  <si>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</si>
  <si>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</si>
  <si>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</si>
  <si>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</si>
  <si>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</si>
  <si>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</si>
  <si>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</si>
  <si>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</si>
  <si>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</si>
  <si>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</si>
  <si>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</si>
  <si>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</si>
  <si>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</si>
  <si>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</si>
  <si>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</si>
  <si>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</si>
  <si>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</si>
  <si>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</si>
  <si>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</si>
  <si>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</si>
  <si>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</si>
  <si>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</si>
  <si>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</si>
  <si>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</si>
  <si>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</si>
  <si>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</si>
  <si>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</si>
  <si>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</si>
  <si>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</si>
  <si>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</si>
  <si>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</si>
  <si>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</si>
  <si>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</si>
  <si>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</si>
  <si>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</si>
  <si>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</si>
  <si>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</si>
  <si>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</si>
  <si>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</si>
  <si>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</si>
  <si>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</si>
  <si>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</si>
  <si>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</si>
  <si>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</si>
  <si>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</si>
  <si>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</si>
  <si>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</si>
  <si>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</si>
  <si>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</si>
  <si>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</si>
  <si>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</si>
  <si>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</si>
  <si>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</si>
  <si>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</si>
  <si>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</si>
  <si>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</si>
  <si>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</si>
  <si>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</si>
  <si>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</si>
  <si>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</si>
  <si>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</si>
  <si>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</si>
  <si>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</si>
  <si>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</si>
  <si>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</si>
  <si>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</si>
  <si>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</si>
  <si>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</si>
  <si>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</si>
  <si>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</si>
  <si>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</si>
  <si>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</si>
  <si>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</si>
  <si>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</si>
  <si>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</si>
  <si>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</si>
  <si>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</si>
  <si>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</si>
  <si>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</si>
  <si>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</si>
  <si>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</si>
  <si>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</si>
  <si>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</si>
  <si>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</si>
  <si>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</si>
  <si>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</si>
  <si>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</si>
  <si>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</si>
  <si>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</si>
  <si>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</si>
  <si>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</si>
  <si>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</si>
  <si>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</si>
  <si>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</si>
  <si>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</si>
  <si>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</si>
  <si>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</si>
  <si>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</si>
  <si>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</si>
  <si>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</si>
  <si>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</si>
  <si>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</si>
  <si>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</si>
  <si>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</si>
  <si>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</si>
  <si>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</si>
  <si>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</si>
  <si>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</si>
  <si>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</si>
  <si>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</si>
  <si>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</si>
  <si>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</si>
  <si>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</si>
  <si>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</si>
  <si>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</si>
  <si>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</si>
  <si>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</si>
  <si>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</si>
  <si>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</si>
  <si>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</si>
  <si>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</si>
  <si>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</si>
  <si>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</si>
  <si>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</si>
  <si>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</si>
  <si>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</si>
  <si>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</si>
  <si>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</si>
  <si>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</si>
  <si>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</si>
  <si>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</si>
  <si>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</si>
  <si>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</si>
  <si>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</si>
  <si>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</si>
  <si>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</si>
  <si>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</si>
  <si>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</si>
  <si>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</si>
  <si>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</si>
  <si>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</si>
  <si>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</si>
  <si>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</si>
  <si>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</si>
  <si>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</si>
  <si>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</si>
  <si>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</si>
  <si>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</si>
  <si>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</si>
  <si>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</si>
  <si>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</si>
  <si>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</si>
  <si>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</si>
  <si>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</si>
  <si>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</si>
  <si>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</si>
  <si>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</si>
  <si>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</si>
  <si>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</si>
  <si>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</si>
  <si>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</si>
  <si>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</si>
  <si>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</si>
  <si>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</si>
  <si>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</si>
  <si>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</si>
  <si>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</si>
  <si>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</si>
  <si>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</si>
  <si>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</si>
  <si>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</si>
  <si>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</si>
  <si>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</si>
  <si>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</si>
  <si>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</si>
  <si>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</si>
  <si>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</si>
  <si>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</si>
  <si>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</si>
  <si>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</si>
  <si>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</si>
  <si>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</si>
  <si>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</si>
  <si>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</si>
  <si>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</si>
  <si>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</si>
  <si>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</si>
  <si>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</si>
  <si>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</si>
  <si>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</si>
  <si>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</si>
  <si>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</si>
  <si>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</si>
  <si>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</si>
  <si>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</si>
  <si>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</si>
  <si>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</si>
  <si>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</si>
  <si>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</si>
  <si>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</si>
  <si>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</si>
  <si>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</si>
  <si>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</si>
  <si>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</si>
  <si>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</si>
  <si>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</si>
  <si>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</si>
  <si>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</si>
  <si>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</si>
  <si>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</si>
  <si>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</si>
  <si>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</si>
  <si>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</si>
  <si>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</si>
  <si>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</si>
  <si>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</si>
  <si>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</si>
  <si>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</si>
  <si>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</si>
  <si>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</si>
  <si>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</si>
  <si>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</si>
  <si>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</si>
  <si>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</si>
  <si>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</si>
  <si>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</si>
  <si>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</si>
  <si>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</si>
  <si>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</si>
  <si>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</si>
  <si>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</si>
  <si>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</si>
  <si>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</si>
  <si>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</si>
  <si>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</si>
  <si>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</si>
  <si>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</si>
  <si>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</si>
  <si>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</si>
  <si>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</si>
  <si>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</si>
  <si>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</si>
  <si>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</si>
  <si>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</si>
  <si>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</si>
  <si>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</si>
  <si>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</si>
  <si>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</si>
  <si>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</si>
  <si>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</si>
  <si>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</si>
  <si>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</si>
  <si>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</si>
  <si>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</si>
  <si>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</si>
  <si>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</si>
  <si>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</si>
  <si>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</si>
  <si>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</si>
  <si>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</si>
  <si>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</si>
  <si>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</si>
  <si>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</si>
  <si>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</si>
  <si>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</si>
  <si>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</si>
  <si>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</si>
  <si>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</si>
  <si>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</si>
  <si>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</si>
  <si>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</si>
  <si>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</si>
  <si>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</si>
  <si>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</si>
  <si>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</si>
  <si>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</si>
  <si>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</si>
  <si>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</si>
  <si>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</si>
  <si>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</si>
  <si>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</si>
  <si>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</si>
  <si>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</si>
  <si>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</si>
  <si>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</si>
  <si>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</si>
  <si>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</si>
  <si>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</si>
  <si>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</si>
  <si>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</si>
  <si>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</si>
  <si>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</si>
  <si>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</si>
  <si>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</si>
  <si>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</si>
  <si>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</si>
  <si>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</si>
  <si>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</si>
  <si>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</si>
  <si>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</si>
  <si>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</si>
  <si>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</si>
  <si>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</si>
  <si>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</si>
  <si>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</si>
  <si>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</si>
  <si>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</si>
  <si>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</si>
  <si>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</si>
  <si>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</si>
  <si>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</si>
  <si>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</si>
  <si>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</si>
  <si>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</si>
  <si>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</si>
  <si>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</si>
  <si>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</si>
  <si>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</si>
  <si>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</si>
  <si>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</si>
  <si>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</si>
  <si>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</si>
  <si>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</si>
  <si>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</si>
  <si>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</si>
  <si>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</si>
  <si>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</si>
  <si>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</si>
  <si>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</si>
  <si>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</si>
  <si>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</si>
  <si>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</si>
  <si>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</si>
  <si>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</si>
  <si>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</si>
  <si>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</si>
  <si>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</si>
  <si>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</si>
  <si>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</si>
  <si>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</si>
  <si>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</si>
  <si>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</si>
  <si>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</si>
  <si>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</si>
  <si>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</si>
  <si>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</si>
  <si>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</si>
  <si>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</si>
  <si>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</si>
  <si>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</si>
  <si>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</si>
  <si>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</si>
  <si>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</si>
  <si>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</si>
  <si>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</si>
  <si>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</si>
  <si>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</si>
  <si>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</si>
  <si>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</si>
  <si>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</si>
  <si>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</si>
  <si>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</si>
  <si>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</si>
  <si>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</si>
  <si>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</si>
  <si>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</si>
  <si>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</si>
  <si>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</si>
  <si>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</si>
  <si>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</si>
  <si>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</si>
  <si>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</si>
  <si>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</si>
  <si>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</si>
  <si>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</si>
  <si>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</si>
  <si>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</si>
  <si>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</si>
  <si>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</si>
  <si>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</si>
  <si>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</si>
  <si>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</si>
  <si>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</si>
  <si>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</si>
  <si>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</si>
  <si>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</si>
  <si>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</si>
  <si>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</si>
  <si>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</si>
  <si>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</si>
  <si>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</si>
  <si>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</si>
  <si>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</si>
  <si>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</si>
  <si>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</si>
  <si>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</si>
  <si>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</si>
  <si>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</si>
  <si>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</si>
  <si>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</si>
  <si>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</si>
  <si>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</si>
  <si>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</si>
  <si>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</si>
  <si>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</si>
  <si>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</si>
  <si>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</si>
  <si>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</si>
  <si>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</si>
  <si>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</si>
  <si>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</si>
  <si>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</si>
  <si>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</si>
  <si>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</si>
  <si>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</si>
  <si>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</si>
  <si>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</si>
  <si>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</si>
  <si>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</si>
  <si>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</si>
  <si>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</si>
  <si>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</si>
  <si>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</si>
  <si>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</si>
  <si>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</si>
  <si>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</si>
  <si>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</si>
  <si>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</si>
  <si>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</si>
  <si>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</si>
  <si>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</si>
  <si>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</si>
  <si>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</si>
  <si>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</si>
  <si>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</si>
  <si>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</si>
  <si>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</si>
  <si>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</si>
  <si>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</si>
  <si>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</si>
  <si>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</si>
  <si>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</si>
  <si>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</si>
  <si>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</si>
  <si>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</si>
  <si>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</si>
  <si>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</si>
  <si>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</si>
  <si>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</si>
  <si>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</si>
  <si>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</si>
  <si>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</si>
  <si>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</si>
  <si>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</si>
  <si>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</si>
  <si>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</si>
  <si>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</si>
  <si>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</si>
  <si>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</si>
  <si>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</si>
  <si>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</si>
  <si>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</si>
  <si>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</si>
  <si>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</si>
  <si>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</si>
  <si>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</si>
  <si>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</si>
  <si>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</si>
  <si>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</si>
  <si>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</si>
  <si>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</si>
  <si>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</si>
  <si>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</si>
  <si>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</si>
  <si>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</si>
  <si>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</si>
  <si>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</si>
  <si>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</si>
  <si>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</si>
  <si>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</si>
  <si>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</si>
  <si>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</si>
  <si>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</si>
  <si>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</si>
  <si>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</si>
  <si>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</si>
  <si>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</si>
  <si>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</si>
  <si>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</si>
  <si>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</si>
  <si>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</si>
  <si>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</si>
  <si>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</si>
  <si>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</si>
  <si>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</si>
  <si>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</si>
  <si>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</si>
  <si>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</si>
  <si>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</si>
  <si>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</si>
  <si>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</si>
  <si>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</si>
  <si>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</si>
  <si>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</si>
  <si>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</si>
  <si>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</si>
  <si>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</si>
  <si>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</si>
  <si>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</si>
  <si>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</si>
  <si>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</si>
  <si>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</si>
  <si>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</si>
  <si>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</si>
  <si>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</si>
  <si>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</si>
  <si>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</si>
  <si>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</si>
  <si>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</si>
  <si>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</si>
  <si>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</si>
  <si>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</si>
  <si>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</si>
  <si>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</si>
  <si>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</si>
  <si>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</si>
  <si>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</si>
  <si>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</si>
  <si>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</si>
  <si>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</si>
  <si>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</si>
  <si>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</si>
  <si>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</si>
  <si>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</si>
  <si>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</si>
  <si>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</si>
  <si>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</si>
  <si>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</si>
  <si>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</si>
  <si>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</si>
  <si>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</si>
  <si>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</si>
  <si>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</si>
  <si>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</si>
  <si>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</si>
  <si>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</si>
  <si>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</si>
  <si>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</si>
  <si>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</si>
  <si>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</si>
  <si>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</si>
  <si>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</si>
  <si>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</si>
  <si>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</si>
  <si>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</si>
  <si>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</si>
  <si>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</si>
  <si>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</si>
  <si>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</si>
  <si>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</si>
  <si>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</si>
  <si>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</si>
  <si>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</si>
  <si>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</si>
  <si>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</si>
  <si>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</si>
  <si>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</si>
  <si>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</si>
  <si>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</si>
  <si>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</si>
  <si>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</si>
  <si>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</si>
  <si>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</si>
  <si>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</si>
  <si>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</si>
  <si>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</si>
  <si>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</si>
  <si>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</si>
  <si>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</si>
  <si>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</si>
  <si>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</si>
  <si>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</si>
  <si>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</si>
  <si>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</si>
  <si>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</si>
  <si>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</si>
  <si>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</si>
  <si>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</si>
  <si>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</si>
  <si>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</si>
  <si>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</si>
  <si>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</si>
  <si>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</si>
  <si>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</si>
  <si>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</si>
  <si>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</si>
  <si>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</si>
  <si>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</si>
  <si>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</si>
  <si>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</si>
  <si>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</si>
  <si>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</si>
  <si>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</si>
  <si>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</si>
  <si>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</si>
  <si>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</si>
  <si>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</si>
  <si>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</si>
  <si>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</si>
  <si>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</si>
  <si>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</si>
  <si>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</si>
  <si>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</si>
  <si>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</si>
  <si>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</si>
  <si>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</si>
  <si>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</si>
  <si>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</si>
  <si>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</si>
  <si>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</si>
  <si>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</si>
  <si>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</si>
  <si>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</si>
  <si>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</si>
  <si>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</si>
  <si>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</si>
  <si>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</si>
  <si>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</si>
  <si>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</si>
  <si>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</si>
  <si>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</si>
  <si>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</si>
  <si>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</si>
  <si>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</si>
  <si>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</si>
  <si>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</si>
  <si>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</si>
  <si>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</si>
  <si>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</si>
  <si>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</si>
  <si>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</si>
  <si>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</si>
  <si>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</si>
  <si>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</si>
  <si>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</si>
  <si>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</si>
  <si>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</si>
  <si>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</si>
  <si>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</si>
  <si>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</si>
  <si>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</si>
  <si>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</si>
  <si>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</si>
  <si>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</si>
  <si>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</si>
  <si>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</si>
  <si>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</si>
  <si>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</si>
  <si>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</si>
  <si>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</si>
  <si>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</si>
  <si>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</si>
  <si>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</si>
  <si>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</si>
  <si>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</si>
  <si>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</si>
  <si>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</si>
  <si>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</si>
  <si>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</si>
  <si>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</si>
  <si>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</si>
  <si>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</si>
  <si>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</si>
  <si>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</si>
  <si>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</si>
  <si>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</si>
  <si>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</si>
  <si>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</si>
  <si>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</si>
  <si>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</si>
  <si>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</si>
  <si>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</si>
  <si>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</si>
  <si>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</si>
  <si>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</si>
  <si>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</si>
  <si>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</si>
  <si>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</si>
  <si>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</si>
  <si>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</si>
  <si>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</si>
  <si>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</si>
  <si>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</si>
  <si>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</si>
  <si>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</si>
  <si>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</si>
  <si>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</si>
  <si>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</si>
  <si>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</si>
  <si>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</si>
  <si>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</si>
  <si>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</si>
  <si>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</si>
  <si>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</si>
  <si>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</si>
  <si>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</si>
  <si>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</si>
  <si>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</si>
  <si>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</si>
  <si>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</si>
  <si>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</si>
  <si>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</si>
  <si>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</si>
  <si>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</si>
  <si>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</si>
  <si>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</si>
  <si>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</si>
  <si>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</si>
  <si>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</si>
  <si>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</si>
  <si>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</si>
  <si>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</si>
  <si>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</si>
  <si>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</si>
  <si>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</si>
  <si>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</si>
  <si>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</si>
  <si>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</si>
  <si>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</si>
  <si>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</si>
  <si>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</si>
  <si>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</si>
  <si>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</si>
  <si>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</si>
  <si>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</si>
  <si>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</si>
  <si>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</si>
  <si>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</si>
  <si>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</si>
  <si>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</si>
  <si>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</si>
  <si>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</si>
  <si>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</si>
  <si>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</si>
  <si>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</si>
  <si>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</si>
  <si>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</si>
  <si>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</si>
  <si>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</si>
  <si>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</si>
  <si>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</si>
  <si>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</si>
  <si>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</si>
  <si>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</si>
  <si>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</si>
  <si>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</si>
  <si>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</si>
  <si>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</si>
  <si>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</si>
  <si>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</si>
  <si>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</si>
  <si>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</si>
  <si>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</si>
  <si>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</si>
  <si>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</si>
  <si>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</si>
  <si>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</si>
  <si>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</si>
  <si>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</si>
  <si>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</si>
  <si>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</si>
  <si>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</si>
  <si>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</si>
  <si>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</si>
  <si>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</si>
  <si>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</si>
  <si>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</si>
  <si>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</si>
  <si>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</si>
  <si>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</si>
  <si>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</si>
  <si>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</si>
  <si>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</si>
  <si>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</si>
  <si>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</si>
  <si>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</si>
  <si>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</si>
  <si>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</si>
  <si>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</si>
  <si>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</si>
  <si>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</si>
  <si>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</si>
  <si>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</si>
  <si>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</si>
  <si>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</si>
  <si>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</si>
  <si>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</si>
  <si>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</si>
  <si>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</si>
  <si>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</si>
  <si>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</si>
  <si>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</si>
  <si>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</si>
  <si>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</si>
  <si>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</si>
  <si>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</si>
  <si>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</si>
  <si>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</si>
  <si>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</si>
  <si>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</si>
  <si>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</si>
  <si>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</si>
  <si>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</si>
  <si>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</si>
  <si>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</si>
  <si>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</si>
  <si>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</si>
  <si>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</si>
  <si>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</si>
  <si>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</si>
  <si>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</si>
  <si>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</si>
  <si>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</si>
  <si>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</si>
  <si>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</si>
  <si>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</si>
  <si>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</si>
  <si>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</si>
  <si>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</si>
  <si>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</si>
  <si>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</si>
  <si>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</si>
  <si>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</si>
  <si>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</si>
  <si>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</si>
  <si>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</si>
  <si>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</si>
  <si>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</si>
  <si>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</si>
  <si>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</si>
  <si>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</si>
  <si>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</si>
  <si>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</si>
  <si>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</si>
  <si>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</si>
  <si>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</si>
  <si>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</si>
  <si>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</si>
  <si>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</si>
  <si>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</si>
  <si>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</si>
  <si>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</si>
  <si>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</si>
  <si>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</si>
  <si>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</si>
  <si>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</si>
  <si>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</si>
  <si>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</si>
  <si>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</si>
  <si>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</si>
  <si>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</si>
  <si>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</si>
  <si>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</si>
  <si>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</si>
  <si>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</si>
  <si>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</si>
  <si>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</si>
  <si>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</si>
  <si>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</si>
  <si>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</si>
  <si>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</si>
  <si>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</si>
  <si>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</si>
  <si>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</si>
  <si>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</si>
  <si>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</si>
  <si>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</si>
  <si>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</si>
  <si>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</si>
  <si>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</si>
  <si>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</si>
  <si>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</si>
  <si>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</si>
  <si>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</si>
  <si>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</si>
  <si>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</si>
  <si>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</si>
  <si>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</si>
  <si>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</si>
  <si>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</si>
  <si>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</si>
  <si>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</si>
  <si>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</si>
  <si>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</si>
  <si>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</si>
  <si>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</si>
  <si>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</si>
  <si>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</si>
  <si>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</si>
  <si>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</si>
  <si>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</si>
  <si>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</si>
  <si>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</si>
  <si>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</si>
  <si>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</si>
  <si>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</si>
  <si>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</si>
  <si>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</si>
  <si>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</si>
  <si>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</si>
  <si>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</si>
  <si>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</si>
  <si>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</si>
  <si>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</si>
  <si>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</si>
  <si>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</si>
  <si>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</si>
  <si>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</si>
  <si>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</si>
  <si>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</si>
  <si>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</si>
  <si>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</si>
  <si>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</si>
  <si>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</si>
  <si>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</si>
  <si>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</si>
  <si>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</si>
  <si>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</si>
  <si>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</si>
  <si>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</si>
  <si>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</si>
  <si>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</si>
  <si>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</si>
  <si>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</si>
  <si>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</si>
  <si>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</si>
  <si>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</si>
  <si>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</si>
  <si>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</si>
  <si>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</si>
  <si>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</si>
  <si>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</si>
  <si>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</si>
  <si>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</si>
  <si>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</si>
  <si>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</si>
  <si>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</si>
  <si>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</si>
  <si>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</si>
  <si>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</si>
  <si>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</si>
  <si>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</si>
  <si>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</si>
  <si>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</si>
  <si>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</si>
  <si>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</si>
  <si>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</si>
  <si>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</si>
  <si>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</si>
  <si>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</si>
  <si>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</si>
  <si>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</si>
  <si>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</si>
  <si>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</si>
  <si>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</si>
  <si>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</si>
  <si>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</si>
  <si>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</si>
  <si>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</si>
  <si>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</si>
  <si>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</si>
  <si>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</si>
  <si>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</si>
  <si>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</si>
  <si>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</si>
  <si>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</si>
  <si>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</si>
  <si>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</si>
  <si>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</si>
  <si>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</si>
  <si>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</si>
  <si>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</si>
  <si>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</si>
  <si>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</si>
  <si>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</si>
  <si>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</si>
  <si>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</si>
  <si>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</si>
  <si>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</si>
  <si>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</si>
  <si>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序号</t>
    <phoneticPr fontId="146" type="noConversion"/>
  </si>
  <si>
    <t>坐落</t>
    <phoneticPr fontId="146" type="noConversion"/>
  </si>
  <si>
    <t>房产证号</t>
    <phoneticPr fontId="146" type="noConversion"/>
  </si>
  <si>
    <t>建筑面积</t>
    <phoneticPr fontId="146" type="noConversion"/>
  </si>
  <si>
    <t>所在楼层</t>
    <phoneticPr fontId="146" type="noConversion"/>
  </si>
  <si>
    <t>总楼层</t>
    <phoneticPr fontId="146" type="noConversion"/>
  </si>
  <si>
    <t>原始购买价格</t>
    <phoneticPr fontId="146" type="noConversion"/>
  </si>
  <si>
    <t>朝阳区朝外大街乙6号5层0606号</t>
    <phoneticPr fontId="146" type="noConversion"/>
  </si>
  <si>
    <r>
      <t>X京房权证朝字第</t>
    </r>
    <r>
      <rPr>
        <sz val="11"/>
        <color theme="1"/>
        <rFont val="宋体"/>
        <family val="3"/>
        <charset val="134"/>
        <scheme val="minor"/>
      </rPr>
      <t>1315740号</t>
    </r>
    <phoneticPr fontId="146" type="noConversion"/>
  </si>
  <si>
    <r>
      <t>2</t>
    </r>
    <r>
      <rPr>
        <sz val="11"/>
        <color theme="1"/>
        <rFont val="宋体"/>
        <family val="3"/>
        <charset val="134"/>
        <scheme val="minor"/>
      </rPr>
      <t>5（-03）</t>
    </r>
    <phoneticPr fontId="146" type="noConversion"/>
  </si>
  <si>
    <t>瑜伽普拉提</t>
    <phoneticPr fontId="146" type="noConversion"/>
  </si>
  <si>
    <t>租赁未进入</t>
    <phoneticPr fontId="146" type="noConversion"/>
  </si>
  <si>
    <t>朝阳区朝外大街乙6号5层0607号</t>
    <phoneticPr fontId="146" type="noConversion"/>
  </si>
  <si>
    <r>
      <t>X京房权证朝字第131574</t>
    </r>
    <r>
      <rPr>
        <sz val="11"/>
        <color theme="1"/>
        <rFont val="宋体"/>
        <family val="3"/>
        <charset val="134"/>
        <scheme val="minor"/>
      </rPr>
      <t>3</t>
    </r>
    <r>
      <rPr>
        <sz val="11"/>
        <color theme="1"/>
        <rFont val="宋体"/>
        <family val="3"/>
        <charset val="134"/>
        <scheme val="minor"/>
      </rPr>
      <t>号</t>
    </r>
    <phoneticPr fontId="146" type="noConversion"/>
  </si>
  <si>
    <t>麻将馆</t>
    <phoneticPr fontId="146" type="noConversion"/>
  </si>
  <si>
    <t>进入</t>
    <phoneticPr fontId="146" type="noConversion"/>
  </si>
  <si>
    <t>朝阳区朝外大街乙6号5层0659号</t>
    <phoneticPr fontId="146" type="noConversion"/>
  </si>
  <si>
    <r>
      <t>X京房权证朝字第1315737号</t>
    </r>
    <r>
      <rPr>
        <sz val="11"/>
        <color theme="1"/>
        <rFont val="宋体"/>
        <family val="3"/>
        <charset val="134"/>
        <scheme val="minor"/>
      </rPr>
      <t/>
    </r>
    <phoneticPr fontId="146" type="noConversion"/>
  </si>
  <si>
    <t>自用</t>
    <phoneticPr fontId="146" type="noConversion"/>
  </si>
  <si>
    <t>合计</t>
    <phoneticPr fontId="146" type="noConversion"/>
  </si>
  <si>
    <t>成本法</t>
  </si>
  <si>
    <t>收益法</t>
  </si>
  <si>
    <t>抵押</t>
  </si>
  <si>
    <t>房地产抵押价值</t>
  </si>
  <si>
    <t>北京市</t>
  </si>
  <si>
    <t>企业</t>
  </si>
  <si>
    <t>与房产证证载一致</t>
  </si>
  <si>
    <t>万元</t>
  </si>
  <si>
    <t>楼面单价</t>
  </si>
  <si>
    <t>办公</t>
  </si>
  <si>
    <t>无租约</t>
  </si>
  <si>
    <t>否</t>
  </si>
  <si>
    <t>利息：取LPR加浮动点数</t>
  </si>
  <si>
    <t>设定收益年期(n)</t>
  </si>
  <si>
    <t>钢混</t>
  </si>
  <si>
    <t>非生产用房</t>
  </si>
  <si>
    <t>是</t>
  </si>
  <si>
    <t>已包含在土地取得成本中</t>
  </si>
  <si>
    <t>未包含在土地购买价格中</t>
  </si>
  <si>
    <t>成本法成本比率</t>
  </si>
  <si>
    <t>情况4</t>
  </si>
  <si>
    <t>转让取得</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</si>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</sst>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93" fillId="0" borderId="0" xfId="0" applyFont="1" applyAlignment="1">
      <alignment horizontal="center" vertical="center"/>
    </xf>
    <xf numFmtId="0" fontId="0" fillId="0" borderId="0" xfId="0" applyAlignment="1">
      <alignment horizontal="center"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3" fillId="0" borderId="0" xfId="0" applyFont="1" applyAlignment="1">
      <alignment horizontal="center" vertical="center"/>
    </xf>
    <xf numFmtId="0" fontId="0" fillId="0" borderId="0" xfId="0" applyAlignment="1">
      <alignment horizontal="center" vertical="center"/>
    </xf>
    <xf numFmtId="10" fontId="39" fillId="0" borderId="6" xfId="0" applyNumberFormat="1" applyFont="1" applyFill="1" applyBorder="1" applyAlignment="1" applyProtection="1">
      <alignment horizontal="left" vertical="center"/>
      <protection locked="0"/>
    </xf>
    <xf numFmtId="183" fontId="39" fillId="0" borderId="6" xfId="0"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82" fontId="0" fillId="0" borderId="0" xfId="0" applyNumberFormat="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4180;&#26397;&#22806;soho06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4180;&#26397;&#22806;soho06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27770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398.43</v>
          </cell>
          <cell r="D14">
            <v>1723</v>
          </cell>
          <cell r="I14">
            <v>1553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285.95</v>
          </cell>
          <cell r="D14">
            <v>1236</v>
          </cell>
          <cell r="I14">
            <v>1113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估价对象为北京市房地产，为XX所有。根据《》[]，估价对象建筑面积为464.13平方米。根据《》[]，估价对象（分摊）出让国有建设用地使用权面积为平方米。估价对象用途为。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2022年5月16日（评估专业人员实地查勘之日）</v>
      </c>
    </row>
    <row r="10" spans="1:2">
      <c r="A10" s="1139" t="s">
        <v>865</v>
      </c>
      <c r="B10" s="1126" t="str">
        <f>'预评函-1'!A13</f>
        <v>本次估价的“房地产价值”是指在正常市场情况下，在价值时点2022年5月16日，估价对象规划用途为，假定未设立法定优先受偿款下的房地产市场价值。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464.13</v>
      </c>
    </row>
    <row r="19" spans="1:2">
      <c r="A19" s="1139" t="s">
        <v>874</v>
      </c>
      <c r="B19" s="1126">
        <f ca="1">'预评函-2（1）'!D7</f>
        <v>2007</v>
      </c>
    </row>
    <row r="20" spans="1:2">
      <c r="A20" s="1139" t="s">
        <v>912</v>
      </c>
      <c r="B20" s="1126" t="str">
        <f>'预评函-2（1）'!C7</f>
        <v>总价（万元）</v>
      </c>
    </row>
    <row r="21" spans="1:2">
      <c r="A21" s="1139" t="s">
        <v>875</v>
      </c>
      <c r="B21" s="1126">
        <f ca="1">'预评函-2（1）'!D9</f>
        <v>43241</v>
      </c>
    </row>
    <row r="22" spans="1:2">
      <c r="A22" s="1139" t="s">
        <v>876</v>
      </c>
      <c r="B22" s="1126" t="str">
        <f ca="1">'预评函-2（1）'!D8</f>
        <v>贰仟零柒万元整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2007</v>
      </c>
    </row>
    <row r="30" spans="1:2">
      <c r="A30" s="1139" t="s">
        <v>882</v>
      </c>
      <c r="B30" s="1126" t="str">
        <f ca="1">'预评函-2（1）'!D16</f>
        <v>贰仟零柒万元整</v>
      </c>
    </row>
    <row r="31" spans="1:2">
      <c r="A31" s="1139" t="s">
        <v>883</v>
      </c>
      <c r="B31" s="1126" t="str">
        <f>'预评函-2（1）'!D18</f>
        <v>——</v>
      </c>
    </row>
    <row r="32" spans="1:2">
      <c r="A32" s="1139" t="s">
        <v>884</v>
      </c>
      <c r="B32" s="1126" t="e">
        <f>'预评函-2（1）'!D19</f>
        <v>#VALUE!</v>
      </c>
    </row>
    <row r="33" spans="1:2">
      <c r="A33" s="1139" t="s">
        <v>885</v>
      </c>
      <c r="B33" s="1126">
        <f ca="1">'预评函-2（1）'!D21</f>
        <v>1809</v>
      </c>
    </row>
    <row r="34" spans="1:2">
      <c r="A34" s="1139" t="s">
        <v>886</v>
      </c>
      <c r="B34" s="1126">
        <f ca="1">'预评函-2（1）'!D23</f>
        <v>38976</v>
      </c>
    </row>
    <row r="35" spans="1:2">
      <c r="A35" s="1139" t="s">
        <v>887</v>
      </c>
      <c r="B35" s="1126" t="str">
        <f ca="1">'预评函-2（1）'!D22</f>
        <v>壹仟捌佰零玖万元整</v>
      </c>
    </row>
    <row r="36" spans="1:2">
      <c r="A36" s="1139" t="s">
        <v>888</v>
      </c>
      <c r="B36" s="1126">
        <f>'预评函-2（2）'!C4</f>
        <v>0</v>
      </c>
    </row>
    <row r="37" spans="1:2">
      <c r="A37" s="1139" t="s">
        <v>889</v>
      </c>
      <c r="B37" s="1126">
        <f ca="1">'预评函-2（2）'!D4</f>
        <v>1786</v>
      </c>
    </row>
    <row r="38" spans="1:2">
      <c r="A38" s="1139" t="s">
        <v>890</v>
      </c>
      <c r="B38" s="1126">
        <f ca="1">'预评函-2（2）'!E4</f>
        <v>38484</v>
      </c>
    </row>
    <row r="39" spans="1:2">
      <c r="A39" s="1139" t="s">
        <v>891</v>
      </c>
      <c r="B39" s="1126" t="str">
        <f ca="1">'预评函-2（2）'!D5</f>
        <v>壹仟柒佰捌拾陆万元整</v>
      </c>
    </row>
    <row r="40" spans="1:2">
      <c r="A40" s="1139" t="s">
        <v>892</v>
      </c>
      <c r="B40" s="1126">
        <f ca="1">'预评函-2（2）'!F4</f>
        <v>221</v>
      </c>
    </row>
    <row r="41" spans="1:2">
      <c r="A41" s="1139" t="s">
        <v>893</v>
      </c>
      <c r="B41" s="1126">
        <f ca="1">'预评函-2（2）'!G4</f>
        <v>4757</v>
      </c>
    </row>
    <row r="42" spans="1:2" s="1136" customFormat="1" ht="15.75" thickBot="1">
      <c r="A42" s="1140" t="s">
        <v>894</v>
      </c>
      <c r="B42" s="1128" t="str">
        <f ca="1">'预评函-2（2）'!F5</f>
        <v>贰佰贰拾壹万元整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4.抵押净值</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43241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抵押净值</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19" sqref="B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10">
        <v>44697</v>
      </c>
      <c r="C2" s="2806" t="s">
        <v>1291</v>
      </c>
      <c r="D2" s="2510">
        <f>B2</f>
        <v>44697</v>
      </c>
      <c r="E2" s="782"/>
      <c r="F2" s="782"/>
      <c r="G2" s="1121"/>
      <c r="H2" s="2818"/>
    </row>
    <row r="3" spans="1:17" ht="13.5" thickBot="1">
      <c r="A3" s="2511" t="s">
        <v>1292</v>
      </c>
      <c r="B3" s="2512"/>
      <c r="C3" s="2513">
        <f>SUMIF(注册房地产估价师,B3,估价师及机构信息!B3:B16)</f>
        <v>0</v>
      </c>
      <c r="D3" s="2512"/>
      <c r="E3" s="2514">
        <f>SUMIF(注册房地产估价师,D3,估价师及机构信息!B3:B16)</f>
        <v>0</v>
      </c>
      <c r="F3" s="783"/>
      <c r="G3" s="1122"/>
      <c r="H3" s="2818"/>
    </row>
    <row r="4" spans="1:17" ht="13.5" customHeight="1" thickTop="1">
      <c r="A4" s="1355" t="s">
        <v>1293</v>
      </c>
      <c r="B4" s="1356" t="s">
        <v>2478</v>
      </c>
      <c r="C4" s="2807" t="s">
        <v>1294</v>
      </c>
      <c r="D4" s="1357" t="s">
        <v>3050</v>
      </c>
      <c r="E4" s="782"/>
      <c r="F4" s="782"/>
      <c r="G4" s="1121"/>
    </row>
    <row r="5" spans="1:17">
      <c r="A5" s="1358" t="s">
        <v>1295</v>
      </c>
      <c r="B5" s="1359" t="s">
        <v>2479</v>
      </c>
      <c r="C5" s="2808" t="s">
        <v>1296</v>
      </c>
      <c r="D5" s="1361" t="s">
        <v>3051</v>
      </c>
      <c r="E5" s="2809" t="s">
        <v>1297</v>
      </c>
      <c r="F5" s="1361" t="s">
        <v>3051</v>
      </c>
      <c r="G5" s="1362" t="s">
        <v>983</v>
      </c>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5" t="s">
        <v>3052</v>
      </c>
      <c r="C6" s="2516">
        <v>606</v>
      </c>
      <c r="D6" s="2517" t="s">
        <v>1299</v>
      </c>
      <c r="E6" s="769"/>
      <c r="F6" s="769"/>
      <c r="G6" s="788"/>
      <c r="I6" s="758" t="str">
        <f>IF(COUNTIF(B5,"*上海银行*"),"上海银行","")</f>
        <v/>
      </c>
      <c r="J6" s="758"/>
      <c r="K6" s="2836"/>
      <c r="L6" s="2836"/>
      <c r="M6" s="2836"/>
      <c r="N6" s="758"/>
      <c r="O6" s="758"/>
      <c r="P6" s="758"/>
      <c r="Q6" s="758"/>
    </row>
    <row r="7" spans="1:17" ht="13.5" thickBot="1">
      <c r="A7" s="2811" t="s">
        <v>1300</v>
      </c>
      <c r="B7" s="2518" t="s">
        <v>3053</v>
      </c>
      <c r="C7" s="1453" t="str">
        <f>IF(B7="自然人","姓名","名称")</f>
        <v>名称</v>
      </c>
      <c r="D7" s="1366" t="s">
        <v>2479</v>
      </c>
      <c r="E7" s="783"/>
      <c r="F7" s="783"/>
      <c r="G7" s="1122"/>
    </row>
    <row r="8" spans="1:17" ht="13.5" thickTop="1">
      <c r="A8" s="3386" t="s">
        <v>1301</v>
      </c>
      <c r="B8" s="1367" t="s">
        <v>1302</v>
      </c>
      <c r="C8" s="3398">
        <v>606</v>
      </c>
      <c r="D8" s="3399"/>
      <c r="E8" s="2519" t="s">
        <v>1303</v>
      </c>
      <c r="F8" s="2520" t="s">
        <v>1304</v>
      </c>
      <c r="G8" s="2521">
        <f>C6</f>
        <v>606</v>
      </c>
    </row>
    <row r="9" spans="1:17" ht="25.5">
      <c r="A9" s="3386"/>
      <c r="B9" s="259" t="s">
        <v>1305</v>
      </c>
      <c r="C9" s="1359"/>
      <c r="D9" s="1368" t="s">
        <v>3054</v>
      </c>
      <c r="E9" s="2812" t="s">
        <v>1306</v>
      </c>
      <c r="F9" s="2522"/>
      <c r="G9" s="2523"/>
    </row>
    <row r="10" spans="1:17" ht="13.5" thickBot="1">
      <c r="A10" s="3386"/>
      <c r="B10" s="259" t="s">
        <v>1307</v>
      </c>
      <c r="C10" s="3400"/>
      <c r="D10" s="3401"/>
      <c r="E10" s="2813" t="s">
        <v>1308</v>
      </c>
      <c r="F10" s="2524"/>
      <c r="G10" s="2525"/>
    </row>
    <row r="11" spans="1:17" ht="13.5" thickBot="1">
      <c r="A11" s="3386"/>
      <c r="B11" s="1370" t="s">
        <v>1309</v>
      </c>
      <c r="C11" s="3402"/>
      <c r="D11" s="3403"/>
      <c r="E11" s="769"/>
      <c r="F11" s="769"/>
      <c r="G11" s="788"/>
    </row>
    <row r="12" spans="1:17" ht="13.5" thickBot="1">
      <c r="A12" s="3389" t="s">
        <v>2584</v>
      </c>
      <c r="B12" s="2814" t="s">
        <v>1310</v>
      </c>
      <c r="C12" s="766">
        <f>清单!D3</f>
        <v>464.13</v>
      </c>
      <c r="D12" s="1371" t="s">
        <v>1311</v>
      </c>
      <c r="E12" s="1372"/>
      <c r="F12" s="1373"/>
      <c r="G12" s="788"/>
    </row>
    <row r="13" spans="1:17" ht="21" customHeight="1" thickBot="1">
      <c r="A13" s="3390"/>
      <c r="B13" s="2815" t="s">
        <v>1312</v>
      </c>
      <c r="C13" s="767"/>
      <c r="D13" s="1374" t="s">
        <v>1313</v>
      </c>
      <c r="E13" s="1375"/>
      <c r="F13" s="769"/>
      <c r="G13" s="788"/>
      <c r="I13" s="3375"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6"/>
      <c r="B14" s="2829" t="s">
        <v>2585</v>
      </c>
      <c r="C14" s="2527"/>
      <c r="D14" s="769"/>
      <c r="E14" s="769"/>
      <c r="F14" s="769"/>
      <c r="G14" s="788"/>
      <c r="I14" s="3375"/>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8"/>
      <c r="B15" s="2816" t="s">
        <v>1315</v>
      </c>
      <c r="C15" s="784"/>
      <c r="D15" s="783"/>
      <c r="E15" s="783"/>
      <c r="F15" s="783"/>
      <c r="G15" s="1122"/>
      <c r="I15" s="3375"/>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18"/>
    </row>
    <row r="17" spans="1:66" ht="13.5" customHeight="1">
      <c r="A17" s="1383" t="s">
        <v>1319</v>
      </c>
      <c r="B17" s="3404" t="s">
        <v>1320</v>
      </c>
      <c r="C17" s="3405"/>
      <c r="D17" s="3406" t="s">
        <v>1321</v>
      </c>
      <c r="E17" s="3407"/>
      <c r="F17" s="1378" t="s">
        <v>1322</v>
      </c>
      <c r="G17" s="1379"/>
      <c r="J17" s="2818"/>
    </row>
    <row r="18" spans="1:66" ht="24">
      <c r="A18" s="1383"/>
      <c r="B18" s="2531"/>
      <c r="C18" s="1362"/>
      <c r="D18" s="1380" t="s">
        <v>1323</v>
      </c>
      <c r="E18" s="1381"/>
      <c r="F18" s="1382"/>
      <c r="G18" s="1245"/>
      <c r="H18" s="2818"/>
      <c r="J18" s="2818"/>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1"/>
      <c r="D21" s="1383" t="s">
        <v>1326</v>
      </c>
      <c r="E21" s="2537"/>
      <c r="F21" s="769"/>
      <c r="G21" s="1245"/>
    </row>
    <row r="22" spans="1:66">
      <c r="A22" s="1245"/>
      <c r="B22" s="769" t="s">
        <v>1327</v>
      </c>
      <c r="C22" s="2538"/>
      <c r="D22" s="769" t="s">
        <v>1327</v>
      </c>
      <c r="E22" s="2537"/>
      <c r="F22" s="769"/>
      <c r="G22" s="1245"/>
    </row>
    <row r="23" spans="1:66" s="2800" customFormat="1" ht="16.5" thickBot="1">
      <c r="A23" s="1246"/>
      <c r="B23" s="787" t="s">
        <v>1328</v>
      </c>
      <c r="C23" s="767"/>
      <c r="D23" s="787" t="s">
        <v>1329</v>
      </c>
      <c r="E23" s="2539"/>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85" t="s">
        <v>2583</v>
      </c>
      <c r="B24" s="3385"/>
      <c r="C24" s="3385"/>
      <c r="D24" s="3385"/>
      <c r="E24" s="3385"/>
      <c r="F24" s="3385"/>
      <c r="G24" s="3385"/>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40"/>
      <c r="B26" s="765" t="s">
        <v>1331</v>
      </c>
      <c r="C26" s="2540"/>
      <c r="D26" s="765"/>
      <c r="E26" s="2541" t="s">
        <v>1332</v>
      </c>
      <c r="F26" s="2540"/>
      <c r="G26" s="2542"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40"/>
      <c r="B27" s="2543"/>
      <c r="C27" s="2540"/>
      <c r="D27" s="765"/>
      <c r="E27" s="2543"/>
      <c r="F27" s="2540"/>
      <c r="G27" s="2544"/>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2" t="s">
        <v>1334</v>
      </c>
      <c r="D28" s="3393"/>
      <c r="E28" s="759"/>
      <c r="F28" s="761" t="s">
        <v>1334</v>
      </c>
      <c r="G28" s="759"/>
      <c r="K28" s="2819"/>
    </row>
    <row r="29" spans="1:66">
      <c r="A29" s="762" t="s">
        <v>1335</v>
      </c>
      <c r="B29" s="756"/>
      <c r="C29" s="3394" t="s">
        <v>1336</v>
      </c>
      <c r="D29" s="3395"/>
      <c r="E29" s="756"/>
      <c r="F29" s="762" t="s">
        <v>1336</v>
      </c>
      <c r="G29" s="756"/>
      <c r="K29" s="2819"/>
    </row>
    <row r="30" spans="1:66">
      <c r="A30" s="762" t="s">
        <v>1337</v>
      </c>
      <c r="B30" s="756"/>
      <c r="C30" s="3394" t="s">
        <v>1337</v>
      </c>
      <c r="D30" s="3395"/>
      <c r="E30" s="756"/>
      <c r="F30" s="762" t="s">
        <v>1338</v>
      </c>
      <c r="G30" s="756"/>
      <c r="K30" s="2819"/>
    </row>
    <row r="31" spans="1:66">
      <c r="A31" s="762" t="s">
        <v>1339</v>
      </c>
      <c r="B31" s="756"/>
      <c r="C31" s="3382" t="s">
        <v>1340</v>
      </c>
      <c r="D31" s="769"/>
      <c r="E31" s="2545" t="str">
        <f>E32&amp;" "&amp;E33&amp;" "&amp;E34&amp;" "&amp;E35</f>
        <v xml:space="preserve">   </v>
      </c>
      <c r="F31" s="762" t="s">
        <v>1341</v>
      </c>
      <c r="G31" s="756"/>
    </row>
    <row r="32" spans="1:66">
      <c r="A32" s="762" t="s">
        <v>1342</v>
      </c>
      <c r="B32" s="756"/>
      <c r="C32" s="3383"/>
      <c r="D32" s="259" t="s">
        <v>1343</v>
      </c>
      <c r="E32" s="756"/>
      <c r="F32" s="762" t="s">
        <v>1344</v>
      </c>
      <c r="G32" s="756"/>
    </row>
    <row r="33" spans="1:7" ht="24.75" thickBot="1">
      <c r="A33" s="763" t="s">
        <v>1345</v>
      </c>
      <c r="B33" s="760"/>
      <c r="C33" s="3383"/>
      <c r="D33" s="259" t="s">
        <v>1346</v>
      </c>
      <c r="E33" s="756"/>
      <c r="F33" s="762" t="s">
        <v>1347</v>
      </c>
      <c r="G33" s="756"/>
    </row>
    <row r="34" spans="1:7">
      <c r="A34" s="761" t="s">
        <v>1348</v>
      </c>
      <c r="B34" s="759"/>
      <c r="C34" s="3383"/>
      <c r="D34" s="259" t="s">
        <v>1349</v>
      </c>
      <c r="E34" s="756"/>
      <c r="F34" s="762" t="s">
        <v>1350</v>
      </c>
      <c r="G34" s="756"/>
    </row>
    <row r="35" spans="1:7" ht="13.5" thickBot="1">
      <c r="A35" s="762" t="s">
        <v>1351</v>
      </c>
      <c r="B35" s="756"/>
      <c r="C35" s="3384"/>
      <c r="D35" s="259" t="s">
        <v>1352</v>
      </c>
      <c r="E35" s="756"/>
      <c r="F35" s="763" t="s">
        <v>1353</v>
      </c>
      <c r="G35" s="2546"/>
    </row>
    <row r="36" spans="1:7">
      <c r="A36" s="762" t="s">
        <v>1310</v>
      </c>
      <c r="B36" s="756"/>
      <c r="C36" s="3394" t="s">
        <v>1354</v>
      </c>
      <c r="D36" s="3395"/>
      <c r="E36" s="756"/>
      <c r="F36" s="2547" t="s">
        <v>1355</v>
      </c>
      <c r="G36" s="759"/>
    </row>
    <row r="37" spans="1:7" ht="13.5" thickBot="1">
      <c r="A37" s="762" t="s">
        <v>1356</v>
      </c>
      <c r="B37" s="756"/>
      <c r="C37" s="3396" t="s">
        <v>1357</v>
      </c>
      <c r="D37" s="3397"/>
      <c r="E37" s="760"/>
      <c r="F37" s="1391" t="s">
        <v>1358</v>
      </c>
      <c r="G37" s="756"/>
    </row>
    <row r="38" spans="1:7" ht="13.5" thickBot="1">
      <c r="A38" s="762" t="s">
        <v>1359</v>
      </c>
      <c r="B38" s="756"/>
      <c r="C38" s="3380" t="s">
        <v>1360</v>
      </c>
      <c r="D38" s="1371" t="s">
        <v>1344</v>
      </c>
      <c r="E38" s="759"/>
      <c r="F38" s="763" t="s">
        <v>1361</v>
      </c>
      <c r="G38" s="760"/>
    </row>
    <row r="39" spans="1:7">
      <c r="A39" s="762" t="s">
        <v>1362</v>
      </c>
      <c r="B39" s="756"/>
      <c r="C39" s="3387"/>
      <c r="D39" s="259" t="s">
        <v>1351</v>
      </c>
      <c r="E39" s="756"/>
      <c r="F39" s="761" t="s">
        <v>1363</v>
      </c>
      <c r="G39" s="759"/>
    </row>
    <row r="40" spans="1:7">
      <c r="A40" s="762" t="s">
        <v>1364</v>
      </c>
      <c r="B40" s="756"/>
      <c r="C40" s="3387" t="s">
        <v>1365</v>
      </c>
      <c r="D40" s="259" t="s">
        <v>1310</v>
      </c>
      <c r="E40" s="756"/>
      <c r="F40" s="762" t="s">
        <v>1366</v>
      </c>
      <c r="G40" s="756"/>
    </row>
    <row r="41" spans="1:7" ht="24.75" customHeight="1" thickBot="1">
      <c r="A41" s="763" t="s">
        <v>1367</v>
      </c>
      <c r="B41" s="760"/>
      <c r="C41" s="3388"/>
      <c r="D41" s="1374" t="s">
        <v>1312</v>
      </c>
      <c r="E41" s="760"/>
      <c r="F41" s="763" t="s">
        <v>1368</v>
      </c>
      <c r="G41" s="760"/>
    </row>
    <row r="42" spans="1:7">
      <c r="A42" s="764" t="s">
        <v>1369</v>
      </c>
      <c r="B42" s="2548"/>
      <c r="C42" s="3376" t="s">
        <v>1369</v>
      </c>
      <c r="D42" s="337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8" t="s">
        <v>1372</v>
      </c>
      <c r="D49" s="3379"/>
      <c r="E49" s="778"/>
      <c r="F49" s="763" t="s">
        <v>1373</v>
      </c>
      <c r="G49" s="760"/>
    </row>
    <row r="50" spans="1:66">
      <c r="A50" s="762" t="s">
        <v>1374</v>
      </c>
      <c r="B50" s="777"/>
      <c r="C50" s="3380" t="s">
        <v>1375</v>
      </c>
      <c r="D50" s="3381"/>
      <c r="E50" s="2550"/>
      <c r="F50" s="795"/>
      <c r="G50" s="796"/>
    </row>
    <row r="51" spans="1:66" ht="13.5" thickBot="1">
      <c r="A51" s="762" t="s">
        <v>1376</v>
      </c>
      <c r="B51" s="777"/>
      <c r="C51" s="3388" t="s">
        <v>1377</v>
      </c>
      <c r="D51" s="3391"/>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50" sqref="C50"/>
    </sheetView>
  </sheetViews>
  <sheetFormatPr defaultColWidth="13.75" defaultRowHeight="12.75"/>
  <cols>
    <col min="1" max="1" width="20.875" style="2604" customWidth="1"/>
    <col min="2" max="2" width="16.75" style="2552" customWidth="1"/>
    <col min="3" max="3" width="18.25" style="2593" customWidth="1"/>
    <col min="4" max="4" width="34.125" style="2605" customWidth="1"/>
    <col min="5" max="5" width="17.625" style="2605" customWidth="1"/>
    <col min="6" max="6" width="15.5" style="2551" customWidth="1"/>
    <col min="7" max="8" width="9.125" style="2883"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37" t="s">
        <v>1379</v>
      </c>
      <c r="B1" s="905"/>
      <c r="D1" s="2551"/>
      <c r="E1" s="2551"/>
    </row>
    <row r="2" spans="1:41" s="2555" customFormat="1" ht="15.75" thickBot="1">
      <c r="A2" s="2838" t="s">
        <v>1380</v>
      </c>
      <c r="B2" s="2839">
        <f>项目基本情况!D2</f>
        <v>44697</v>
      </c>
      <c r="C2" s="1613"/>
      <c r="D2" s="3410" t="s">
        <v>1381</v>
      </c>
      <c r="E2" s="2553"/>
      <c r="F2" s="2554"/>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3055</v>
      </c>
      <c r="C3" s="1613"/>
      <c r="D3" s="3411"/>
      <c r="E3" s="2557" t="s">
        <v>3059</v>
      </c>
      <c r="F3" s="2554"/>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3056</v>
      </c>
      <c r="C4" s="1613"/>
      <c r="D4" s="3411"/>
      <c r="E4" s="2557"/>
      <c r="F4" s="2554"/>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464.13</v>
      </c>
      <c r="C5" s="1613"/>
      <c r="D5" s="2840" t="s">
        <v>1385</v>
      </c>
      <c r="E5" s="2560"/>
      <c r="F5" s="2554"/>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0" t="s">
        <v>1387</v>
      </c>
      <c r="E6" s="2560"/>
      <c r="F6" s="2554"/>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5" customFormat="1" ht="15" thickBot="1">
      <c r="A10" s="2841" t="s">
        <v>1388</v>
      </c>
      <c r="B10" s="2564" t="s">
        <v>3057</v>
      </c>
      <c r="C10" s="1613"/>
      <c r="D10" s="2838" t="s">
        <v>1389</v>
      </c>
      <c r="E10" s="2842" t="s">
        <v>1390</v>
      </c>
      <c r="F10" s="3006"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3" t="s">
        <v>1391</v>
      </c>
      <c r="B11" s="2566">
        <v>50</v>
      </c>
      <c r="C11" s="1613"/>
      <c r="D11" s="2844" t="s">
        <v>1392</v>
      </c>
      <c r="E11" s="2567">
        <v>160</v>
      </c>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5" t="s">
        <v>1394</v>
      </c>
      <c r="B12" s="2569">
        <v>52842</v>
      </c>
      <c r="C12" s="1613"/>
      <c r="D12" s="2845"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6" t="s">
        <v>1396</v>
      </c>
      <c r="B13" s="2847">
        <f>IF(B12="",B11-(YEAR($B$2)-B27+B24),ROUNDDOWN(MIN((B12-$B$2)/365,B11),2))</f>
        <v>22.31</v>
      </c>
      <c r="C13" s="2882"/>
      <c r="D13" s="2848" t="s">
        <v>1397</v>
      </c>
      <c r="E13" s="2571">
        <f>成本法!C10</f>
        <v>92826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5" t="s">
        <v>1399</v>
      </c>
      <c r="B14" s="2849">
        <f>IF(ISERROR(ROUND(POWER(1+B15,B11-B13)*(POWER(1+B15,B13)-1)/(POWER(1+B15,B11)-1),3)),0,ROUND(POWER(1+B15,B11-B13)*(POWER(1+B15,B13)-1)/(POWER(1+B15,B11)-1),3))</f>
        <v>0.70299999999999996</v>
      </c>
      <c r="C14" s="1613"/>
      <c r="D14" s="2850"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5" t="s">
        <v>1401</v>
      </c>
      <c r="B15" s="2573">
        <v>4.4999999999999998E-2</v>
      </c>
      <c r="C15" s="2481" t="s">
        <v>2594</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5" t="s">
        <v>1403</v>
      </c>
      <c r="B16" s="2573">
        <v>5.5E-2</v>
      </c>
      <c r="C16" s="2481" t="s">
        <v>2595</v>
      </c>
      <c r="D16" s="2852"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2" t="s">
        <v>2592</v>
      </c>
      <c r="B17" s="3004">
        <v>0.08</v>
      </c>
      <c r="C17" s="2481" t="s">
        <v>2596</v>
      </c>
      <c r="D17" s="2841" t="s">
        <v>1406</v>
      </c>
      <c r="E17" s="2575">
        <v>4200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3" t="s">
        <v>1405</v>
      </c>
      <c r="B18" s="3012">
        <v>7.4999999999999997E-2</v>
      </c>
      <c r="C18" s="1613"/>
      <c r="D18" s="2854" t="str">
        <f>IF(B26=0,"建安总额","在建建安")</f>
        <v>建安总额</v>
      </c>
      <c r="E18" s="2855">
        <f>ROUND(B5*E17*IF(B26=0,1,E20),0)</f>
        <v>1949346</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4" t="str">
        <f>IF(B26=0,"——","续建建安")</f>
        <v>——</v>
      </c>
      <c r="E19" s="2855"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6" t="s">
        <v>1407</v>
      </c>
      <c r="B20" s="1239"/>
      <c r="C20" s="1613"/>
      <c r="D20" s="2858" t="str">
        <f>IF(B26=0,"成新率","工程进度")</f>
        <v>成新率</v>
      </c>
      <c r="E20" s="2578">
        <v>0.8</v>
      </c>
      <c r="F20" s="905"/>
      <c r="G20" s="1613">
        <f>2022-B27</f>
        <v>15</v>
      </c>
      <c r="H20" s="1613">
        <f>45/60</f>
        <v>0.75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7" t="s">
        <v>1408</v>
      </c>
      <c r="B21" s="2577">
        <v>0</v>
      </c>
      <c r="C21" s="1613"/>
      <c r="D21" s="2845" t="s">
        <v>1410</v>
      </c>
      <c r="E21" s="2580">
        <v>0.03</v>
      </c>
      <c r="F21" s="2591" t="s">
        <v>2602</v>
      </c>
      <c r="G21" s="1613"/>
      <c r="H21" s="1613">
        <v>0.85</v>
      </c>
      <c r="I21" s="1613">
        <f>(H20+H21)/2</f>
        <v>0.8</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59" t="s">
        <v>1409</v>
      </c>
      <c r="B22" s="2579">
        <v>2</v>
      </c>
      <c r="C22" s="1613"/>
      <c r="D22" s="2845" t="s">
        <v>1412</v>
      </c>
      <c r="E22" s="2583">
        <v>0</v>
      </c>
      <c r="F22" s="2591" t="s">
        <v>2600</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0" t="s">
        <v>1411</v>
      </c>
      <c r="B23" s="2582">
        <v>2</v>
      </c>
      <c r="C23" s="1613"/>
      <c r="D23" s="2845"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1" t="s">
        <v>1413</v>
      </c>
      <c r="B24" s="2862">
        <f>B21+B22</f>
        <v>2</v>
      </c>
      <c r="C24" s="1613"/>
      <c r="D24" s="2852" t="s">
        <v>1416</v>
      </c>
      <c r="E24" s="2584">
        <v>1.4999999999999999E-2</v>
      </c>
      <c r="F24" s="2591" t="s">
        <v>2603</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80">
        <v>0.02</v>
      </c>
      <c r="F25" s="2591" t="s">
        <v>2601</v>
      </c>
      <c r="I25" s="2883"/>
    </row>
    <row r="26" spans="1:41" ht="15" thickBot="1">
      <c r="A26" s="2861" t="s">
        <v>1417</v>
      </c>
      <c r="B26" s="2865">
        <f>B22-B23</f>
        <v>0</v>
      </c>
      <c r="D26" s="2845" t="s">
        <v>1420</v>
      </c>
      <c r="E26" s="2583">
        <v>2.5000000000000001E-2</v>
      </c>
      <c r="F26" s="2591" t="s">
        <v>2601</v>
      </c>
      <c r="G26" s="2884"/>
      <c r="H26" s="2884"/>
      <c r="I26" s="1613"/>
      <c r="J26" s="1613"/>
      <c r="K26" s="1613"/>
      <c r="L26" s="1613"/>
      <c r="M26" s="1613"/>
      <c r="N26" s="1613"/>
    </row>
    <row r="27" spans="1:41" ht="15.75" thickBot="1">
      <c r="A27" s="2866" t="s">
        <v>1419</v>
      </c>
      <c r="B27" s="2585">
        <v>2007</v>
      </c>
      <c r="C27" s="1613"/>
      <c r="D27" s="3071" t="s">
        <v>3060</v>
      </c>
      <c r="E27" s="2867">
        <f ca="1">IF(D27="利息：取LPR",存贷款利率!G1,存贷款利率!G1+F27)</f>
        <v>4.2000000000000003E-2</v>
      </c>
      <c r="F27" s="3072">
        <v>5.0000000000000001E-3</v>
      </c>
      <c r="G27" s="2884"/>
      <c r="H27" s="2884"/>
      <c r="K27" s="1613"/>
      <c r="N27" s="1613"/>
    </row>
    <row r="28" spans="1:41" ht="15" thickBot="1">
      <c r="A28" s="905"/>
      <c r="B28" s="905"/>
      <c r="D28" s="2848" t="s">
        <v>1422</v>
      </c>
      <c r="E28" s="2587">
        <v>0.25</v>
      </c>
      <c r="G28" s="2884"/>
      <c r="H28" s="2884"/>
      <c r="K28" s="1613"/>
      <c r="N28" s="1613"/>
    </row>
    <row r="29" spans="1:41" ht="14.25">
      <c r="A29" s="2868" t="s">
        <v>1421</v>
      </c>
      <c r="B29" s="2586" t="s">
        <v>3058</v>
      </c>
      <c r="D29" s="2850" t="s">
        <v>1423</v>
      </c>
      <c r="E29" s="2869">
        <f>E30+E31</f>
        <v>5.6000000000000001E-2</v>
      </c>
      <c r="F29" s="1238"/>
      <c r="G29" s="2884"/>
      <c r="H29" s="2884"/>
      <c r="K29" s="1613"/>
      <c r="N29" s="1613"/>
    </row>
    <row r="30" spans="1:41" ht="14.25">
      <c r="A30" s="2845" t="str">
        <f>IF(B29="租赁期内按合同租金","合同租金","市场租金")</f>
        <v>市场租金</v>
      </c>
      <c r="B30" s="2588">
        <v>7.5</v>
      </c>
      <c r="D30" s="2852" t="s">
        <v>1425</v>
      </c>
      <c r="E30" s="2589">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3">
        <v>0.03</v>
      </c>
      <c r="D32" s="2852" t="s">
        <v>1429</v>
      </c>
      <c r="E32" s="2590">
        <v>7.0000000000000007E-2</v>
      </c>
      <c r="F32" s="2591" t="s">
        <v>2489</v>
      </c>
      <c r="G32" s="2884"/>
      <c r="H32" s="2884"/>
      <c r="K32" s="1613"/>
      <c r="L32" s="1613"/>
      <c r="M32" s="1613"/>
      <c r="N32" s="1613"/>
    </row>
    <row r="33" spans="1:14" ht="14.25">
      <c r="A33" s="2845" t="s">
        <v>1428</v>
      </c>
      <c r="B33" s="2573">
        <v>0.1</v>
      </c>
      <c r="D33" s="2852" t="s">
        <v>1431</v>
      </c>
      <c r="E33" s="2589">
        <v>0.03</v>
      </c>
      <c r="F33" s="1237" t="s">
        <v>1432</v>
      </c>
      <c r="G33" s="2884"/>
      <c r="H33" s="2884"/>
      <c r="K33" s="1613"/>
      <c r="L33" s="1613"/>
      <c r="M33" s="1613"/>
      <c r="N33" s="1613"/>
    </row>
    <row r="34" spans="1:14" s="2593" customFormat="1" ht="14.25">
      <c r="A34" s="2845" t="s">
        <v>1430</v>
      </c>
      <c r="B34" s="2873">
        <f>收益法!J54</f>
        <v>22.31</v>
      </c>
      <c r="D34" s="2852" t="s">
        <v>1433</v>
      </c>
      <c r="E34" s="2589">
        <v>0.02</v>
      </c>
      <c r="F34" s="1237" t="s">
        <v>1434</v>
      </c>
      <c r="G34" s="2884"/>
      <c r="H34" s="2884"/>
      <c r="I34" s="1613"/>
      <c r="J34" s="1613"/>
      <c r="K34" s="1613"/>
      <c r="L34" s="1613"/>
      <c r="M34" s="1613"/>
      <c r="N34" s="1613"/>
    </row>
    <row r="35" spans="1:14" s="2593" customFormat="1" ht="15" thickBot="1">
      <c r="A35" s="2852" t="str">
        <f>IF(B29="租赁期内按合同租金","剩余租赁期","——")</f>
        <v>——</v>
      </c>
      <c r="B35" s="2592"/>
      <c r="D35" s="2848" t="s">
        <v>1436</v>
      </c>
      <c r="E35" s="2595"/>
      <c r="F35" s="1240" t="s">
        <v>1437</v>
      </c>
      <c r="G35" s="2884"/>
      <c r="H35" s="2884"/>
      <c r="I35" s="1613"/>
      <c r="J35" s="1613"/>
      <c r="K35" s="1613"/>
      <c r="L35" s="1613"/>
      <c r="M35" s="1613"/>
      <c r="N35" s="1613"/>
    </row>
    <row r="36" spans="1:14" s="2593" customFormat="1" ht="15">
      <c r="A36" s="2874" t="s">
        <v>1435</v>
      </c>
      <c r="B36" s="2875"/>
      <c r="D36" s="2876" t="s">
        <v>1438</v>
      </c>
      <c r="E36" s="2597">
        <v>0.03</v>
      </c>
      <c r="F36" s="1239" t="s">
        <v>1439</v>
      </c>
      <c r="G36" s="2884"/>
      <c r="H36" s="2884"/>
      <c r="I36" s="1613"/>
      <c r="J36" s="1613"/>
      <c r="K36" s="1613"/>
      <c r="L36" s="1613"/>
      <c r="M36" s="1613"/>
      <c r="N36" s="1613"/>
    </row>
    <row r="37" spans="1:14" s="2593" customFormat="1" ht="15" thickBot="1">
      <c r="A37" s="2850" t="str">
        <f>IF(B29="租赁期内按合同租金","租金","——")</f>
        <v>——</v>
      </c>
      <c r="B37" s="2596"/>
      <c r="D37" s="2852" t="s">
        <v>1440</v>
      </c>
      <c r="E37" s="2589">
        <v>5.0000000000000001E-4</v>
      </c>
      <c r="F37" s="1239" t="s">
        <v>1441</v>
      </c>
      <c r="G37" s="2884"/>
      <c r="H37" s="2884"/>
      <c r="I37" s="1613"/>
      <c r="J37" s="1613"/>
      <c r="K37" s="1613"/>
      <c r="L37" s="1613"/>
      <c r="M37" s="1613"/>
      <c r="N37" s="1613"/>
    </row>
    <row r="38" spans="1:14" s="2593" customFormat="1" ht="14.25">
      <c r="A38" s="2845" t="str">
        <f>IF(B29="租赁期内按合同租金","年租金增长率","——")</f>
        <v>——</v>
      </c>
      <c r="B38" s="2573"/>
      <c r="D38" s="2877" t="s">
        <v>1442</v>
      </c>
      <c r="E38" s="2878">
        <v>1.2E-2</v>
      </c>
      <c r="F38" s="1239"/>
      <c r="G38" s="2883"/>
      <c r="H38" s="2883"/>
      <c r="I38" s="2884"/>
      <c r="J38" s="1613"/>
      <c r="K38" s="1613"/>
      <c r="L38" s="1613"/>
      <c r="M38" s="1613"/>
      <c r="N38" s="1613"/>
    </row>
    <row r="39" spans="1:14" s="2593" customFormat="1" ht="15" thickBot="1">
      <c r="A39" s="2845" t="str">
        <f>IF(B29="租赁期内按合同租金","空置率","——")</f>
        <v>——</v>
      </c>
      <c r="B39" s="2573"/>
      <c r="D39" s="2848" t="s">
        <v>1443</v>
      </c>
      <c r="E39" s="2879">
        <v>0.12</v>
      </c>
      <c r="F39" s="1239"/>
      <c r="G39" s="2884"/>
      <c r="H39" s="2884"/>
      <c r="I39" s="1613"/>
      <c r="J39" s="1613"/>
      <c r="K39" s="1613"/>
      <c r="L39" s="1613"/>
      <c r="M39" s="1613"/>
      <c r="N39" s="1613"/>
    </row>
    <row r="40" spans="1:14" ht="14.25">
      <c r="A40" s="2845" t="str">
        <f>IF(B29="租赁期内按合同租金","成新率","——")</f>
        <v>——</v>
      </c>
      <c r="B40" s="2573"/>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9"/>
      <c r="F41" s="1239" t="s">
        <v>1447</v>
      </c>
      <c r="G41" s="1700" t="s">
        <v>1448</v>
      </c>
      <c r="H41" s="2884"/>
      <c r="I41" s="1613"/>
      <c r="J41" s="1613"/>
      <c r="K41" s="1613"/>
      <c r="L41" s="1613"/>
      <c r="M41" s="1613"/>
      <c r="N41" s="1613"/>
    </row>
    <row r="42" spans="1:14" ht="14.25">
      <c r="A42" s="2844" t="s">
        <v>1445</v>
      </c>
      <c r="B42" s="2598"/>
      <c r="D42" s="2601" t="s">
        <v>1450</v>
      </c>
      <c r="E42" s="2588"/>
      <c r="F42" s="1239">
        <v>30</v>
      </c>
      <c r="G42" s="2884"/>
      <c r="H42" s="2884"/>
      <c r="I42" s="1613"/>
      <c r="J42" s="1613"/>
      <c r="K42" s="1613"/>
      <c r="L42" s="1613"/>
      <c r="M42" s="1613"/>
      <c r="N42" s="1613"/>
    </row>
    <row r="43" spans="1:14" ht="14.25">
      <c r="A43" s="2845" t="s">
        <v>1449</v>
      </c>
      <c r="B43" s="2600">
        <v>365</v>
      </c>
      <c r="D43" s="2601" t="s">
        <v>1452</v>
      </c>
      <c r="E43" s="2588"/>
      <c r="F43" s="1239">
        <v>24</v>
      </c>
      <c r="G43" s="2884"/>
      <c r="H43" s="2884"/>
      <c r="I43" s="1613"/>
      <c r="J43" s="1613"/>
      <c r="K43" s="1613"/>
      <c r="L43" s="1613"/>
      <c r="M43" s="1613"/>
      <c r="N43" s="1613"/>
    </row>
    <row r="44" spans="1:14" ht="14.25">
      <c r="A44" s="2845" t="s">
        <v>1451</v>
      </c>
      <c r="B44" s="2588"/>
      <c r="D44" s="2601" t="s">
        <v>1454</v>
      </c>
      <c r="E44" s="2588"/>
      <c r="F44" s="1239">
        <v>18</v>
      </c>
      <c r="G44" s="2593"/>
      <c r="H44" s="2593"/>
      <c r="I44" s="2884"/>
      <c r="J44" s="1613"/>
      <c r="K44" s="1613"/>
      <c r="L44" s="1613"/>
      <c r="M44" s="1613"/>
      <c r="N44" s="1613"/>
    </row>
    <row r="45" spans="1:14" ht="14.25">
      <c r="A45" s="2845" t="s">
        <v>1453</v>
      </c>
      <c r="B45" s="3732">
        <v>1.4999999999999999E-2</v>
      </c>
      <c r="C45" s="2481" t="s">
        <v>2599</v>
      </c>
      <c r="D45" s="2601" t="s">
        <v>1456</v>
      </c>
      <c r="E45" s="2588"/>
      <c r="F45" s="1239">
        <v>12</v>
      </c>
      <c r="G45" s="2593"/>
      <c r="H45" s="2593"/>
      <c r="M45" s="1613"/>
      <c r="N45" s="1613"/>
    </row>
    <row r="46" spans="1:14" ht="14.25">
      <c r="A46" s="2845" t="s">
        <v>1455</v>
      </c>
      <c r="B46" s="3733">
        <v>1.5E-3</v>
      </c>
      <c r="C46" s="2481" t="s">
        <v>2597</v>
      </c>
      <c r="D46" s="2601" t="s">
        <v>1218</v>
      </c>
      <c r="E46" s="2588"/>
      <c r="F46" s="1239">
        <v>3</v>
      </c>
      <c r="G46" s="2593"/>
      <c r="H46" s="2593"/>
      <c r="M46" s="1613"/>
      <c r="N46" s="1613"/>
    </row>
    <row r="47" spans="1:14" ht="15" thickBot="1">
      <c r="A47" s="2848" t="s">
        <v>1457</v>
      </c>
      <c r="B47" s="3734">
        <v>1.4999999999999999E-2</v>
      </c>
      <c r="C47" s="2481" t="s">
        <v>2598</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2" t="s">
        <v>1462</v>
      </c>
      <c r="E51" s="2603"/>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4"/>
      <c r="E52" s="2884"/>
      <c r="F52" s="2884"/>
      <c r="G52" s="2884"/>
      <c r="H52" s="2884"/>
      <c r="I52" s="1613"/>
      <c r="J52" s="1613"/>
      <c r="K52" s="1613"/>
      <c r="L52" s="1613"/>
      <c r="M52" s="1613"/>
      <c r="N52" s="1613"/>
    </row>
    <row r="53" spans="1:41" s="2593" customFormat="1" ht="14.25">
      <c r="D53" s="2884"/>
      <c r="E53" s="2884"/>
      <c r="F53" s="2884"/>
      <c r="G53" s="2884"/>
      <c r="H53" s="2884"/>
      <c r="I53" s="1613"/>
      <c r="J53" s="1613"/>
      <c r="K53" s="1613"/>
      <c r="L53" s="1613"/>
      <c r="M53" s="1613"/>
      <c r="N53" s="1613"/>
    </row>
    <row r="54" spans="1:41" s="2593" customFormat="1" ht="14.25">
      <c r="D54" s="2884"/>
      <c r="E54" s="2884"/>
      <c r="F54" s="2884"/>
      <c r="G54" s="2884"/>
      <c r="H54" s="2884"/>
      <c r="I54" s="1613"/>
      <c r="J54" s="1613"/>
      <c r="K54" s="1613"/>
      <c r="L54" s="1613"/>
      <c r="M54" s="1613"/>
      <c r="N54" s="1613"/>
    </row>
    <row r="55" spans="1:41" s="2593" customFormat="1" ht="14.25">
      <c r="D55" s="2884"/>
      <c r="E55" s="2884"/>
      <c r="F55" s="2884"/>
      <c r="G55" s="2884"/>
      <c r="H55" s="2884"/>
      <c r="I55" s="1613"/>
      <c r="J55" s="1613"/>
      <c r="K55" s="1613"/>
      <c r="L55" s="1613"/>
      <c r="M55" s="1613"/>
      <c r="N55" s="1613"/>
    </row>
    <row r="56" spans="1:41" s="2593" customFormat="1" ht="14.25">
      <c r="D56" s="2884"/>
      <c r="E56" s="2884"/>
      <c r="F56" s="2884"/>
      <c r="G56" s="2884"/>
      <c r="H56" s="2884"/>
      <c r="I56" s="1613"/>
      <c r="J56" s="1613"/>
      <c r="K56" s="1613"/>
      <c r="L56" s="1613"/>
      <c r="M56" s="1613"/>
      <c r="N56" s="1613"/>
    </row>
    <row r="57" spans="1:41" s="2593" customFormat="1" ht="14.25">
      <c r="D57" s="2884"/>
      <c r="E57" s="2884"/>
      <c r="F57" s="2884"/>
      <c r="G57" s="2884"/>
      <c r="H57" s="2884"/>
      <c r="I57" s="1613"/>
      <c r="J57" s="1613"/>
      <c r="K57" s="1613"/>
      <c r="L57" s="1613"/>
      <c r="M57" s="1613"/>
      <c r="N57" s="1613"/>
    </row>
    <row r="58" spans="1:41" s="2593" customFormat="1" ht="14.25">
      <c r="D58" s="2884"/>
      <c r="E58" s="2884"/>
      <c r="F58" s="2884"/>
      <c r="G58" s="2884"/>
      <c r="H58" s="2884"/>
      <c r="I58" s="1613"/>
      <c r="J58" s="1613"/>
      <c r="K58" s="1613"/>
      <c r="L58" s="1613"/>
      <c r="M58" s="1613"/>
      <c r="N58" s="1613"/>
    </row>
    <row r="59" spans="1:41" s="2593" customFormat="1" ht="14.25">
      <c r="D59" s="2884"/>
      <c r="E59" s="2884"/>
      <c r="F59" s="2884"/>
      <c r="G59" s="2884"/>
      <c r="H59" s="2884"/>
      <c r="I59" s="1613"/>
      <c r="J59" s="1613"/>
      <c r="K59" s="1613"/>
      <c r="L59" s="1613"/>
      <c r="M59" s="2885"/>
      <c r="N59" s="1613"/>
    </row>
    <row r="60" spans="1:41" s="2593" customFormat="1" ht="14.25">
      <c r="D60" s="2884"/>
      <c r="E60" s="2884"/>
      <c r="F60" s="2884"/>
      <c r="G60" s="2884"/>
      <c r="H60" s="2884"/>
      <c r="I60" s="1613"/>
      <c r="J60" s="1613"/>
      <c r="K60" s="1613"/>
      <c r="L60" s="1613"/>
      <c r="M60" s="1613"/>
      <c r="N60" s="1613"/>
    </row>
    <row r="61" spans="1:41" s="2593" customFormat="1" ht="14.25">
      <c r="D61" s="2884"/>
      <c r="E61" s="2884"/>
      <c r="F61" s="2884"/>
      <c r="G61" s="2884"/>
      <c r="H61" s="2884"/>
      <c r="I61" s="1613"/>
      <c r="J61" s="1613"/>
      <c r="K61" s="1613"/>
      <c r="L61" s="1613"/>
      <c r="M61" s="1613"/>
      <c r="N61" s="1613"/>
    </row>
    <row r="62" spans="1:41" s="2593" customFormat="1" ht="14.25">
      <c r="D62" s="2884"/>
      <c r="E62" s="2884"/>
      <c r="F62" s="2884"/>
      <c r="G62" s="2884"/>
      <c r="H62" s="2884"/>
      <c r="I62" s="1613"/>
      <c r="J62" s="1613"/>
      <c r="K62" s="1613"/>
      <c r="L62" s="1613"/>
      <c r="M62" s="1613"/>
      <c r="N62" s="1613"/>
    </row>
    <row r="63" spans="1:41" s="2593" customFormat="1" ht="14.25">
      <c r="D63" s="2884"/>
      <c r="E63" s="2884"/>
      <c r="F63" s="2884"/>
      <c r="G63" s="2884"/>
      <c r="H63" s="2884"/>
      <c r="I63" s="1613"/>
      <c r="J63" s="1613"/>
      <c r="K63" s="1613"/>
      <c r="L63" s="1613"/>
      <c r="M63" s="1613"/>
      <c r="N63" s="1613"/>
    </row>
    <row r="64" spans="1:41" s="2593" customFormat="1" ht="14.25">
      <c r="D64" s="2884"/>
      <c r="E64" s="2884"/>
      <c r="F64" s="2884"/>
      <c r="G64" s="2884"/>
      <c r="H64" s="2884"/>
      <c r="I64" s="1613"/>
      <c r="J64" s="1613"/>
      <c r="K64" s="1613"/>
      <c r="L64" s="1613"/>
      <c r="M64" s="1613"/>
      <c r="N64" s="1613"/>
    </row>
    <row r="65" spans="1:14" s="2593" customFormat="1" ht="14.25">
      <c r="D65" s="2884"/>
      <c r="E65" s="2884"/>
      <c r="F65" s="2884"/>
      <c r="G65" s="2884"/>
      <c r="H65" s="2884"/>
      <c r="I65" s="1613"/>
      <c r="J65" s="1613"/>
      <c r="K65" s="1613"/>
      <c r="L65" s="1613"/>
      <c r="M65" s="1613"/>
      <c r="N65" s="1613"/>
    </row>
    <row r="66" spans="1:14" s="2593" customFormat="1" ht="14.25">
      <c r="D66" s="2884"/>
      <c r="E66" s="2884"/>
      <c r="F66" s="2884"/>
      <c r="G66" s="2884"/>
      <c r="H66" s="2884"/>
      <c r="I66" s="1613"/>
      <c r="J66" s="1613"/>
      <c r="K66" s="1613"/>
      <c r="L66" s="1613"/>
      <c r="M66" s="1613"/>
      <c r="N66" s="1613"/>
    </row>
    <row r="67" spans="1:14" s="2593" customFormat="1" ht="14.25">
      <c r="A67" s="2888"/>
      <c r="D67" s="2884"/>
      <c r="E67" s="2884"/>
      <c r="F67" s="2884"/>
      <c r="G67" s="2884"/>
      <c r="H67" s="2884"/>
      <c r="I67" s="1613"/>
      <c r="J67" s="1613"/>
      <c r="K67" s="1613"/>
      <c r="L67" s="1613"/>
      <c r="M67" s="1613"/>
      <c r="N67" s="1613"/>
    </row>
    <row r="68" spans="1:14" s="2593" customFormat="1" ht="14.25">
      <c r="A68" s="2888"/>
      <c r="D68" s="2884"/>
      <c r="E68" s="2884"/>
      <c r="F68" s="2884"/>
      <c r="G68" s="2883"/>
      <c r="H68" s="2883"/>
    </row>
    <row r="69" spans="1:14" s="2593" customFormat="1">
      <c r="A69" s="2888"/>
      <c r="D69" s="2883"/>
      <c r="E69" s="2883"/>
      <c r="F69" s="2883"/>
      <c r="G69" s="2883"/>
      <c r="H69" s="2883"/>
    </row>
    <row r="70" spans="1:14" s="2593" customFormat="1">
      <c r="A70" s="2888"/>
      <c r="D70" s="2883"/>
      <c r="E70" s="2883"/>
      <c r="F70" s="2883"/>
      <c r="G70" s="2883"/>
      <c r="H70" s="2883"/>
    </row>
    <row r="71" spans="1:14" s="2593" customFormat="1">
      <c r="A71" s="2888"/>
      <c r="D71" s="2883"/>
      <c r="E71" s="2883"/>
      <c r="F71" s="2883"/>
      <c r="G71" s="2883"/>
      <c r="H71" s="2883"/>
    </row>
    <row r="72" spans="1:14" s="2593" customFormat="1">
      <c r="A72" s="2888"/>
      <c r="D72" s="2883"/>
      <c r="E72" s="2883"/>
      <c r="F72" s="2883"/>
      <c r="G72" s="2883"/>
      <c r="H72" s="2883"/>
    </row>
    <row r="73" spans="1:14" s="2593" customFormat="1">
      <c r="A73" s="2888"/>
      <c r="D73" s="2883"/>
      <c r="E73" s="2883"/>
      <c r="F73" s="2883"/>
      <c r="G73" s="2883"/>
      <c r="H73" s="2883"/>
    </row>
    <row r="74" spans="1:14" s="2593" customFormat="1">
      <c r="A74" s="2888"/>
      <c r="D74" s="2883"/>
      <c r="E74" s="2883"/>
      <c r="F74" s="2883"/>
      <c r="G74" s="2883"/>
      <c r="H74" s="2883"/>
    </row>
    <row r="75" spans="1:14" s="2593" customFormat="1">
      <c r="A75" s="2888"/>
      <c r="D75" s="2883"/>
      <c r="E75" s="2883"/>
      <c r="F75" s="2883"/>
      <c r="G75" s="2883"/>
      <c r="H75" s="2883"/>
    </row>
    <row r="76" spans="1:14" s="2593" customFormat="1">
      <c r="A76" s="2888"/>
      <c r="D76" s="2883"/>
      <c r="E76" s="2883"/>
      <c r="F76" s="2883"/>
      <c r="G76" s="2883"/>
      <c r="H76" s="2883"/>
    </row>
    <row r="77" spans="1:14" s="2593" customFormat="1">
      <c r="A77" s="2888"/>
      <c r="D77" s="2883"/>
      <c r="E77" s="2883"/>
      <c r="F77" s="2883"/>
      <c r="G77" s="2883"/>
      <c r="H77" s="2883"/>
    </row>
    <row r="78" spans="1:14" s="2593" customFormat="1">
      <c r="A78" s="2888"/>
      <c r="D78" s="2883"/>
      <c r="E78" s="2883"/>
      <c r="F78" s="2883"/>
      <c r="G78" s="2883"/>
      <c r="H78" s="2883"/>
    </row>
    <row r="79" spans="1:14" s="2593" customFormat="1">
      <c r="A79" s="2888"/>
      <c r="D79" s="2883"/>
      <c r="E79" s="2883"/>
      <c r="F79" s="2883"/>
      <c r="G79" s="2883"/>
      <c r="H79" s="2883"/>
    </row>
    <row r="80" spans="1:14" s="2593" customFormat="1">
      <c r="A80" s="2888"/>
      <c r="D80" s="2883"/>
      <c r="E80" s="2883"/>
      <c r="F80" s="2883"/>
      <c r="G80" s="2883"/>
      <c r="H80" s="2883"/>
    </row>
    <row r="81" spans="1:8" s="2593" customFormat="1">
      <c r="A81" s="2888"/>
      <c r="D81" s="2883"/>
      <c r="E81" s="2883"/>
      <c r="F81" s="2883"/>
      <c r="G81" s="2883"/>
      <c r="H81" s="2883"/>
    </row>
    <row r="82" spans="1:8" s="2593" customFormat="1">
      <c r="A82" s="2888"/>
      <c r="D82" s="2883"/>
      <c r="E82" s="2883"/>
      <c r="F82" s="2883"/>
      <c r="G82" s="2883"/>
      <c r="H82" s="2883"/>
    </row>
    <row r="83" spans="1:8" s="2593" customFormat="1">
      <c r="A83" s="2888"/>
      <c r="D83" s="2883"/>
      <c r="E83" s="2883"/>
      <c r="F83" s="2883"/>
      <c r="G83" s="2883"/>
      <c r="H83" s="2883"/>
    </row>
    <row r="84" spans="1:8" s="2593" customFormat="1">
      <c r="A84" s="2888"/>
      <c r="D84" s="2883"/>
      <c r="E84" s="2883"/>
      <c r="F84" s="2883"/>
      <c r="G84" s="2883"/>
      <c r="H84" s="2883"/>
    </row>
    <row r="85" spans="1:8" s="2593" customFormat="1">
      <c r="A85" s="2888"/>
      <c r="D85" s="2883"/>
      <c r="E85" s="2883"/>
      <c r="F85" s="2883"/>
      <c r="G85" s="2883"/>
      <c r="H85" s="2883"/>
    </row>
    <row r="86" spans="1:8" s="2593" customFormat="1">
      <c r="A86" s="2888"/>
      <c r="D86" s="2883"/>
      <c r="E86" s="2883"/>
      <c r="F86" s="2883"/>
      <c r="G86" s="2883"/>
      <c r="H86" s="2883"/>
    </row>
    <row r="87" spans="1:8" s="2593" customFormat="1">
      <c r="A87" s="2888"/>
      <c r="D87" s="2883"/>
      <c r="E87" s="2883"/>
      <c r="F87" s="2883"/>
      <c r="G87" s="2883"/>
      <c r="H87" s="2883"/>
    </row>
    <row r="88" spans="1:8" s="2593" customFormat="1">
      <c r="A88" s="2888"/>
      <c r="D88" s="2883"/>
      <c r="E88" s="2883"/>
      <c r="F88" s="2883"/>
      <c r="G88" s="2883"/>
      <c r="H88" s="2883"/>
    </row>
    <row r="89" spans="1:8" s="2593" customFormat="1">
      <c r="A89" s="2888"/>
      <c r="D89" s="2883"/>
      <c r="E89" s="2883"/>
      <c r="F89" s="2883"/>
      <c r="G89" s="2883"/>
      <c r="H89" s="2883"/>
    </row>
    <row r="90" spans="1:8" s="2593" customFormat="1">
      <c r="A90" s="2888"/>
      <c r="D90" s="2883"/>
      <c r="E90" s="2883"/>
      <c r="F90" s="2883"/>
      <c r="G90" s="2883"/>
      <c r="H90" s="2883"/>
    </row>
    <row r="91" spans="1:8" s="2593" customFormat="1">
      <c r="A91" s="2888"/>
      <c r="D91" s="2883"/>
      <c r="E91" s="2883"/>
      <c r="F91" s="2883"/>
      <c r="G91" s="2883"/>
      <c r="H91" s="2883"/>
    </row>
    <row r="92" spans="1:8" s="2593" customFormat="1">
      <c r="A92" s="2888"/>
      <c r="D92" s="2883"/>
      <c r="E92" s="2883"/>
      <c r="F92" s="2883"/>
      <c r="G92" s="2883"/>
      <c r="H92" s="2883"/>
    </row>
    <row r="93" spans="1:8" s="2593" customFormat="1">
      <c r="A93" s="2888"/>
      <c r="D93" s="2883"/>
      <c r="E93" s="2883"/>
      <c r="F93" s="2883"/>
      <c r="G93" s="2883"/>
      <c r="H93" s="2883"/>
    </row>
    <row r="94" spans="1:8" s="2593" customFormat="1">
      <c r="A94" s="2888"/>
      <c r="D94" s="2883"/>
      <c r="E94" s="2883"/>
      <c r="F94" s="2883"/>
      <c r="G94" s="2883"/>
      <c r="H94" s="2883"/>
    </row>
    <row r="95" spans="1:8" s="2593" customFormat="1">
      <c r="A95" s="2888"/>
      <c r="D95" s="2883"/>
      <c r="E95" s="2883"/>
      <c r="F95" s="2883"/>
      <c r="G95" s="2883"/>
      <c r="H95" s="2883"/>
    </row>
    <row r="96" spans="1:8" s="2593" customFormat="1">
      <c r="A96" s="2888"/>
      <c r="D96" s="2883"/>
      <c r="E96" s="2883"/>
      <c r="F96" s="2883"/>
      <c r="G96" s="2883"/>
      <c r="H96" s="2883"/>
    </row>
    <row r="97" spans="1:8" s="2593" customFormat="1">
      <c r="A97" s="2888"/>
      <c r="D97" s="2883"/>
      <c r="E97" s="2883"/>
      <c r="F97" s="2883"/>
      <c r="G97" s="2883"/>
      <c r="H97" s="2883"/>
    </row>
    <row r="98" spans="1:8" s="2593" customFormat="1">
      <c r="A98" s="2888"/>
      <c r="D98" s="2883"/>
      <c r="E98" s="2883"/>
      <c r="F98" s="2883"/>
      <c r="G98" s="2883"/>
      <c r="H98" s="2883"/>
    </row>
    <row r="99" spans="1:8" s="2593" customFormat="1">
      <c r="A99" s="2888"/>
      <c r="D99" s="2883"/>
      <c r="E99" s="2883"/>
      <c r="F99" s="2883"/>
      <c r="G99" s="2883"/>
      <c r="H99" s="2883"/>
    </row>
    <row r="100" spans="1:8" s="2593" customFormat="1">
      <c r="A100" s="2888"/>
      <c r="D100" s="2883"/>
      <c r="E100" s="2883"/>
      <c r="F100" s="2883"/>
      <c r="G100" s="2883"/>
      <c r="H100" s="2883"/>
    </row>
    <row r="101" spans="1:8" s="2593" customFormat="1">
      <c r="A101" s="2888"/>
      <c r="D101" s="2883"/>
      <c r="E101" s="2883"/>
      <c r="F101" s="2883"/>
      <c r="G101" s="2883"/>
      <c r="H101" s="2883"/>
    </row>
    <row r="102" spans="1:8" s="2593" customFormat="1">
      <c r="A102" s="2888"/>
      <c r="D102" s="2883"/>
      <c r="E102" s="2883"/>
      <c r="F102" s="2883"/>
      <c r="G102" s="2883"/>
      <c r="H102" s="2883"/>
    </row>
    <row r="103" spans="1:8" s="2593" customFormat="1">
      <c r="A103" s="2888"/>
      <c r="D103" s="2883"/>
      <c r="E103" s="2883"/>
      <c r="F103" s="2883"/>
      <c r="G103" s="2883"/>
      <c r="H103" s="2883"/>
    </row>
    <row r="104" spans="1:8" s="2593" customFormat="1">
      <c r="A104" s="2888"/>
      <c r="D104" s="2883"/>
      <c r="E104" s="2883"/>
      <c r="F104" s="2883"/>
      <c r="G104" s="2883"/>
      <c r="H104" s="2883"/>
    </row>
    <row r="105" spans="1:8" s="2593" customFormat="1">
      <c r="A105" s="2888"/>
      <c r="D105" s="2883"/>
      <c r="E105" s="2883"/>
      <c r="F105" s="2883"/>
      <c r="G105" s="2883"/>
      <c r="H105" s="2883"/>
    </row>
    <row r="106" spans="1:8" s="2593" customFormat="1">
      <c r="A106" s="2888"/>
      <c r="D106" s="2883"/>
      <c r="E106" s="2883"/>
      <c r="F106" s="2883"/>
      <c r="G106" s="2883"/>
      <c r="H106" s="2883"/>
    </row>
    <row r="107" spans="1:8" s="2593" customFormat="1">
      <c r="A107" s="2888"/>
      <c r="D107" s="2883"/>
      <c r="E107" s="2883"/>
      <c r="F107" s="2883"/>
      <c r="G107" s="2883"/>
      <c r="H107" s="2883"/>
    </row>
    <row r="108" spans="1:8" s="2593" customFormat="1">
      <c r="A108" s="2888"/>
      <c r="D108" s="2883"/>
      <c r="E108" s="2883"/>
      <c r="F108" s="2883"/>
      <c r="G108" s="2883"/>
      <c r="H108" s="2883"/>
    </row>
    <row r="109" spans="1:8" s="2593" customFormat="1">
      <c r="A109" s="2888"/>
      <c r="D109" s="2883"/>
      <c r="E109" s="2883"/>
      <c r="F109" s="2883"/>
      <c r="G109" s="2883"/>
      <c r="H109" s="2883"/>
    </row>
    <row r="110" spans="1:8" s="2593" customFormat="1">
      <c r="A110" s="2888"/>
      <c r="D110" s="2883"/>
      <c r="E110" s="2883"/>
      <c r="F110" s="2883"/>
      <c r="G110" s="2883"/>
      <c r="H110" s="2883"/>
    </row>
    <row r="111" spans="1:8" s="2593" customFormat="1">
      <c r="A111" s="2888"/>
      <c r="D111" s="2883"/>
      <c r="E111" s="2883"/>
      <c r="F111" s="2883"/>
      <c r="G111" s="2883"/>
      <c r="H111" s="2883"/>
    </row>
    <row r="112" spans="1:8" s="2593" customFormat="1">
      <c r="A112" s="2888"/>
      <c r="D112" s="2883"/>
      <c r="E112" s="2883"/>
      <c r="F112" s="2883"/>
      <c r="G112" s="2883"/>
      <c r="H112" s="2883"/>
    </row>
    <row r="113" spans="1:8" s="2593" customFormat="1">
      <c r="A113" s="2888"/>
      <c r="D113" s="2883"/>
      <c r="E113" s="2883"/>
      <c r="F113" s="2883"/>
      <c r="G113" s="2883"/>
      <c r="H113" s="2883"/>
    </row>
    <row r="114" spans="1:8" s="2593" customFormat="1">
      <c r="A114" s="2888"/>
      <c r="D114" s="2883"/>
      <c r="E114" s="2883"/>
      <c r="F114" s="2883"/>
      <c r="G114" s="2883"/>
      <c r="H114" s="2883"/>
    </row>
    <row r="115" spans="1:8" s="2593" customFormat="1">
      <c r="A115" s="2888"/>
      <c r="D115" s="2883"/>
      <c r="E115" s="2883"/>
      <c r="F115" s="2883"/>
      <c r="G115" s="2883"/>
      <c r="H115" s="2883"/>
    </row>
    <row r="116" spans="1:8" s="2593" customFormat="1">
      <c r="A116" s="2888"/>
      <c r="D116" s="2883"/>
      <c r="E116" s="2883"/>
      <c r="F116" s="2883"/>
      <c r="G116" s="2883"/>
      <c r="H116" s="2883"/>
    </row>
    <row r="117" spans="1:8" s="2593" customFormat="1">
      <c r="A117" s="2888"/>
      <c r="D117" s="2883"/>
      <c r="E117" s="2883"/>
      <c r="F117" s="2883"/>
      <c r="G117" s="2883"/>
      <c r="H117" s="2883"/>
    </row>
    <row r="118" spans="1:8" s="2593" customFormat="1">
      <c r="A118" s="2888"/>
      <c r="D118" s="2883"/>
      <c r="E118" s="2883"/>
      <c r="F118" s="2883"/>
      <c r="G118" s="2883"/>
      <c r="H118" s="2883"/>
    </row>
    <row r="119" spans="1:8" s="2593" customFormat="1">
      <c r="A119" s="2888"/>
      <c r="D119" s="2883"/>
      <c r="E119" s="2883"/>
      <c r="F119" s="2883"/>
      <c r="G119" s="2883"/>
      <c r="H119" s="2883"/>
    </row>
    <row r="120" spans="1:8" s="2593" customFormat="1">
      <c r="A120" s="2888"/>
      <c r="D120" s="2883"/>
      <c r="E120" s="2883"/>
      <c r="F120" s="2883"/>
      <c r="G120" s="2883"/>
      <c r="H120" s="2883"/>
    </row>
    <row r="121" spans="1:8" s="2593" customFormat="1">
      <c r="A121" s="2888"/>
      <c r="D121" s="2883"/>
      <c r="E121" s="2883"/>
      <c r="F121" s="2883"/>
      <c r="G121" s="2883"/>
      <c r="H121" s="2883"/>
    </row>
    <row r="122" spans="1:8" s="2593" customFormat="1">
      <c r="A122" s="2888"/>
      <c r="D122" s="2883"/>
      <c r="E122" s="2883"/>
      <c r="F122" s="2883"/>
      <c r="G122" s="2883"/>
      <c r="H122" s="2883"/>
    </row>
    <row r="123" spans="1:8" s="2593" customFormat="1">
      <c r="A123" s="2888"/>
      <c r="D123" s="2883"/>
      <c r="E123" s="2883"/>
      <c r="F123" s="2883"/>
      <c r="G123" s="2883"/>
      <c r="H123" s="2883"/>
    </row>
    <row r="124" spans="1:8" s="2593" customFormat="1">
      <c r="A124" s="2888"/>
      <c r="D124" s="2883"/>
      <c r="E124" s="2883"/>
      <c r="F124" s="2883"/>
      <c r="G124" s="2883"/>
      <c r="H124" s="2883"/>
    </row>
    <row r="125" spans="1:8" s="2593" customFormat="1">
      <c r="A125" s="2888"/>
      <c r="D125" s="2883"/>
      <c r="E125" s="2883"/>
      <c r="F125" s="2883"/>
      <c r="G125" s="2883"/>
      <c r="H125" s="2883"/>
    </row>
    <row r="126" spans="1:8" s="2593" customFormat="1">
      <c r="A126" s="2888"/>
      <c r="D126" s="2883"/>
      <c r="E126" s="2883"/>
      <c r="F126" s="2883"/>
      <c r="G126" s="2883"/>
      <c r="H126" s="2883"/>
    </row>
    <row r="127" spans="1:8" s="2593" customFormat="1">
      <c r="A127" s="2888"/>
      <c r="D127" s="2883"/>
      <c r="E127" s="2883"/>
      <c r="F127" s="2883"/>
      <c r="G127" s="2883"/>
      <c r="H127" s="2883"/>
    </row>
    <row r="128" spans="1:8" s="2593" customFormat="1">
      <c r="A128" s="2888"/>
      <c r="D128" s="2883"/>
      <c r="E128" s="2883"/>
      <c r="F128" s="2883"/>
      <c r="G128" s="2883"/>
      <c r="H128" s="2883"/>
    </row>
    <row r="129" spans="1:8" s="2593" customFormat="1">
      <c r="A129" s="2888"/>
      <c r="D129" s="2883"/>
      <c r="E129" s="2883"/>
      <c r="F129" s="2883"/>
      <c r="G129" s="2883"/>
      <c r="H129" s="2883"/>
    </row>
    <row r="130" spans="1:8" s="2593" customFormat="1">
      <c r="A130" s="2888"/>
      <c r="D130" s="2883"/>
      <c r="E130" s="2883"/>
      <c r="F130" s="2883"/>
      <c r="G130" s="2883"/>
      <c r="H130" s="2883"/>
    </row>
    <row r="131" spans="1:8" s="2593" customFormat="1">
      <c r="A131" s="2888"/>
      <c r="D131" s="2883"/>
      <c r="E131" s="2883"/>
      <c r="F131" s="2883"/>
      <c r="G131" s="2883"/>
      <c r="H131" s="2883"/>
    </row>
    <row r="132" spans="1:8" s="2593" customFormat="1">
      <c r="A132" s="2888"/>
      <c r="D132" s="2883"/>
      <c r="E132" s="2883"/>
      <c r="F132" s="2883"/>
      <c r="G132" s="2883"/>
      <c r="H132" s="2883"/>
    </row>
    <row r="133" spans="1:8" s="2593" customFormat="1">
      <c r="A133" s="2888"/>
      <c r="D133" s="2883"/>
      <c r="E133" s="2883"/>
      <c r="F133" s="2883"/>
      <c r="G133" s="2883"/>
      <c r="H133" s="2883"/>
    </row>
    <row r="134" spans="1:8" s="2593" customFormat="1">
      <c r="A134" s="2888"/>
      <c r="D134" s="2883"/>
      <c r="E134" s="2883"/>
      <c r="F134" s="2883"/>
      <c r="G134" s="2883"/>
      <c r="H134" s="2883"/>
    </row>
    <row r="135" spans="1:8" s="2593" customFormat="1">
      <c r="A135" s="2888"/>
      <c r="D135" s="2883"/>
      <c r="E135" s="2883"/>
      <c r="F135" s="2883"/>
      <c r="G135" s="2883"/>
      <c r="H135" s="2883"/>
    </row>
    <row r="136" spans="1:8" s="2593" customFormat="1">
      <c r="A136" s="2888"/>
      <c r="D136" s="2883"/>
      <c r="E136" s="2883"/>
      <c r="F136" s="2883"/>
      <c r="G136" s="2883"/>
      <c r="H136" s="2883"/>
    </row>
    <row r="137" spans="1:8" s="2593" customFormat="1">
      <c r="A137" s="2888"/>
      <c r="D137" s="2883"/>
      <c r="E137" s="2883"/>
      <c r="F137" s="2883"/>
      <c r="G137" s="2883"/>
      <c r="H137" s="2883"/>
    </row>
    <row r="138" spans="1:8" s="2593" customFormat="1">
      <c r="A138" s="2888"/>
      <c r="D138" s="2883"/>
      <c r="E138" s="2883"/>
      <c r="F138" s="2883"/>
      <c r="G138" s="2883"/>
      <c r="H138" s="2883"/>
    </row>
    <row r="139" spans="1:8" s="2593" customFormat="1">
      <c r="A139" s="2888"/>
      <c r="D139" s="2883"/>
      <c r="E139" s="2883"/>
      <c r="F139" s="2883"/>
      <c r="G139" s="2883"/>
      <c r="H139" s="2883"/>
    </row>
    <row r="140" spans="1:8" s="2593" customFormat="1">
      <c r="A140" s="2888"/>
      <c r="D140" s="2883"/>
      <c r="E140" s="2883"/>
      <c r="F140" s="2883"/>
      <c r="G140" s="2883"/>
      <c r="H140" s="2883"/>
    </row>
    <row r="141" spans="1:8" s="2593" customFormat="1">
      <c r="A141" s="2888"/>
      <c r="D141" s="2883"/>
      <c r="E141" s="2883"/>
      <c r="F141" s="2883"/>
      <c r="G141" s="2883"/>
      <c r="H141" s="2883"/>
    </row>
    <row r="142" spans="1:8" s="2593" customFormat="1">
      <c r="A142" s="2888"/>
      <c r="D142" s="2883"/>
      <c r="E142" s="2883"/>
      <c r="F142" s="2883"/>
      <c r="G142" s="2883"/>
      <c r="H142" s="2883"/>
    </row>
    <row r="143" spans="1:8" s="2593" customFormat="1">
      <c r="A143" s="2888"/>
      <c r="D143" s="2883"/>
      <c r="E143" s="2883"/>
      <c r="F143" s="2883"/>
      <c r="G143" s="2883"/>
      <c r="H143" s="2883"/>
    </row>
    <row r="144" spans="1:8" s="2593" customFormat="1">
      <c r="A144" s="2888"/>
      <c r="D144" s="2883"/>
      <c r="E144" s="2883"/>
      <c r="F144" s="2883"/>
      <c r="G144" s="2883"/>
      <c r="H144" s="2883"/>
    </row>
    <row r="145" spans="1:8" s="2593" customFormat="1">
      <c r="A145" s="2888"/>
      <c r="D145" s="2883"/>
      <c r="E145" s="2883"/>
      <c r="F145" s="2883"/>
      <c r="G145" s="2883"/>
      <c r="H145" s="2883"/>
    </row>
    <row r="146" spans="1:8" s="2593" customFormat="1">
      <c r="A146" s="2888"/>
      <c r="D146" s="2883"/>
      <c r="E146" s="2883"/>
      <c r="F146" s="2883"/>
      <c r="G146" s="2883"/>
      <c r="H146" s="2883"/>
    </row>
    <row r="147" spans="1:8" s="2593" customFormat="1">
      <c r="A147" s="2888"/>
      <c r="D147" s="2883"/>
      <c r="E147" s="2883"/>
      <c r="F147" s="2883"/>
      <c r="G147" s="2883"/>
      <c r="H147" s="2883"/>
    </row>
    <row r="148" spans="1:8" s="2593" customFormat="1">
      <c r="A148" s="2888"/>
      <c r="D148" s="2883"/>
      <c r="E148" s="2883"/>
      <c r="F148" s="2883"/>
      <c r="G148" s="2883"/>
      <c r="H148" s="2883"/>
    </row>
    <row r="149" spans="1:8" s="2593" customFormat="1">
      <c r="A149" s="2888"/>
      <c r="D149" s="2883"/>
      <c r="E149" s="2883"/>
      <c r="F149" s="2883"/>
      <c r="G149" s="2883"/>
      <c r="H149" s="2883"/>
    </row>
    <row r="150" spans="1:8" s="2593" customFormat="1">
      <c r="A150" s="2888"/>
      <c r="D150" s="2883"/>
      <c r="E150" s="2883"/>
      <c r="F150" s="2883"/>
      <c r="G150" s="2883"/>
      <c r="H150" s="2883"/>
    </row>
    <row r="151" spans="1:8" s="2593" customFormat="1">
      <c r="A151" s="2888"/>
      <c r="D151" s="2883"/>
      <c r="E151" s="2883"/>
      <c r="F151" s="2883"/>
      <c r="G151" s="2883"/>
      <c r="H151" s="2883"/>
    </row>
    <row r="152" spans="1:8" s="2593" customFormat="1">
      <c r="A152" s="2888"/>
      <c r="D152" s="2883"/>
      <c r="E152" s="2883"/>
      <c r="F152" s="2883"/>
      <c r="G152" s="2883"/>
      <c r="H152" s="2883"/>
    </row>
    <row r="153" spans="1:8" s="2593" customFormat="1">
      <c r="A153" s="2888"/>
      <c r="D153" s="2883"/>
      <c r="E153" s="2883"/>
      <c r="F153" s="2883"/>
      <c r="G153" s="2883"/>
      <c r="H153" s="2883"/>
    </row>
    <row r="154" spans="1:8" s="2593" customFormat="1">
      <c r="A154" s="2888"/>
      <c r="D154" s="2883"/>
      <c r="E154" s="2883"/>
      <c r="F154" s="2883"/>
      <c r="G154" s="2883"/>
      <c r="H154" s="2883"/>
    </row>
    <row r="155" spans="1:8" s="2593" customFormat="1">
      <c r="A155" s="2888"/>
      <c r="D155" s="2883"/>
      <c r="E155" s="2883"/>
      <c r="F155" s="2883"/>
      <c r="G155" s="2883"/>
      <c r="H155" s="2883"/>
    </row>
    <row r="156" spans="1:8" s="2593" customFormat="1">
      <c r="A156" s="2888"/>
      <c r="D156" s="2883"/>
      <c r="E156" s="2883"/>
      <c r="F156" s="2883"/>
      <c r="G156" s="2883"/>
      <c r="H156" s="2883"/>
    </row>
    <row r="157" spans="1:8" s="2593" customFormat="1">
      <c r="A157" s="2888"/>
      <c r="D157" s="2883"/>
      <c r="E157" s="2883"/>
      <c r="F157" s="2883"/>
      <c r="G157" s="2883"/>
      <c r="H157" s="2883"/>
    </row>
    <row r="158" spans="1:8">
      <c r="A158" s="2888"/>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6" customWidth="1"/>
    <col min="4" max="4" width="2.625" style="2626" customWidth="1"/>
    <col min="5" max="5" width="5.875" style="2626" customWidth="1"/>
    <col min="6" max="6" width="27" style="2568"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5"/>
  </cols>
  <sheetData>
    <row r="1" spans="1:29" s="2611" customFormat="1" ht="19.5" thickBot="1">
      <c r="A1" s="3412" t="s">
        <v>1463</v>
      </c>
      <c r="B1" s="3413"/>
      <c r="C1" s="3413"/>
      <c r="D1" s="3413"/>
      <c r="E1" s="3413"/>
      <c r="F1" s="3413"/>
      <c r="G1" s="3413"/>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52" customFormat="1" ht="13.5" thickBot="1">
      <c r="A2" s="3013"/>
      <c r="B2" s="3014"/>
      <c r="C2" s="3015" t="s">
        <v>2604</v>
      </c>
      <c r="D2" s="3016"/>
      <c r="E2" s="3013"/>
      <c r="F2" s="3017"/>
      <c r="G2" s="3015" t="s">
        <v>2605</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52" customFormat="1" ht="36">
      <c r="A3" s="3019" t="s">
        <v>2606</v>
      </c>
      <c r="B3" s="3020" t="s">
        <v>2607</v>
      </c>
      <c r="C3" s="3021" t="s">
        <v>2608</v>
      </c>
      <c r="D3" s="3022"/>
      <c r="E3" s="3023" t="s">
        <v>2606</v>
      </c>
      <c r="F3" s="3024" t="s">
        <v>2609</v>
      </c>
      <c r="G3" s="3025" t="s">
        <v>2610</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52" customFormat="1" ht="24.75">
      <c r="A4" s="3023"/>
      <c r="B4" s="3007" t="s">
        <v>2611</v>
      </c>
      <c r="C4" s="3026" t="s">
        <v>2612</v>
      </c>
      <c r="D4" s="3022"/>
      <c r="E4" s="3027"/>
      <c r="F4" s="3009" t="s">
        <v>2613</v>
      </c>
      <c r="G4" s="3028" t="s">
        <v>2614</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52" customFormat="1" ht="24.75">
      <c r="A5" s="3023"/>
      <c r="B5" s="3007" t="s">
        <v>2615</v>
      </c>
      <c r="C5" s="3026" t="s">
        <v>2616</v>
      </c>
      <c r="D5" s="3022"/>
      <c r="E5" s="3027"/>
      <c r="F5" s="3007" t="s">
        <v>2617</v>
      </c>
      <c r="G5" s="3028" t="s">
        <v>2618</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52" customFormat="1" ht="36">
      <c r="A6" s="3023"/>
      <c r="B6" s="3007" t="s">
        <v>2619</v>
      </c>
      <c r="C6" s="3028" t="s">
        <v>2614</v>
      </c>
      <c r="D6" s="3022"/>
      <c r="E6" s="3027"/>
      <c r="F6" s="3007" t="s">
        <v>2620</v>
      </c>
      <c r="G6" s="3028" t="s">
        <v>2621</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52" customFormat="1" ht="24.75" thickBot="1">
      <c r="A7" s="3023"/>
      <c r="B7" s="3007" t="s">
        <v>2617</v>
      </c>
      <c r="C7" s="3028" t="s">
        <v>2618</v>
      </c>
      <c r="D7" s="2897"/>
      <c r="E7" s="3029"/>
      <c r="F7" s="3030" t="s">
        <v>2622</v>
      </c>
      <c r="G7" s="3031" t="s">
        <v>2623</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52" customFormat="1" ht="12.75">
      <c r="A8" s="3023"/>
      <c r="B8" s="3007" t="s">
        <v>2620</v>
      </c>
      <c r="C8" s="3028" t="s">
        <v>2621</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52" customFormat="1" ht="24">
      <c r="A9" s="3023"/>
      <c r="B9" s="3007" t="s">
        <v>2624</v>
      </c>
      <c r="C9" s="3026" t="s">
        <v>2625</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3" customFormat="1" ht="13.5" thickBot="1">
      <c r="A10" s="3032"/>
      <c r="B10" s="3011" t="s">
        <v>2626</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3"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3"/>
      <c r="B12" s="2615"/>
      <c r="C12" s="2614"/>
      <c r="D12" s="2616"/>
      <c r="E12" s="2614"/>
      <c r="F12" s="2615"/>
      <c r="G12" s="1771"/>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52" customFormat="1" ht="13.5" thickBot="1">
      <c r="A14" s="3038"/>
      <c r="B14" s="3038"/>
      <c r="C14" s="3039" t="s">
        <v>2627</v>
      </c>
      <c r="D14" s="3022"/>
      <c r="E14" s="3040"/>
      <c r="F14" s="3040"/>
      <c r="G14" s="3015" t="s">
        <v>2628</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52" customFormat="1" ht="38.25">
      <c r="A15" s="3044" t="s">
        <v>2629</v>
      </c>
      <c r="B15" s="3045" t="s">
        <v>2607</v>
      </c>
      <c r="C15" s="3046" t="str">
        <f>C3</f>
        <v>估价对象周边居住用地比例、居住小区规模和社区发展完善程度，综合评价居住社区成熟度一般</v>
      </c>
      <c r="D15" s="3022"/>
      <c r="E15" s="3047" t="s">
        <v>2630</v>
      </c>
      <c r="F15" s="3045" t="s">
        <v>2631</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52" customFormat="1" ht="25.5">
      <c r="A16" s="3049"/>
      <c r="B16" s="2492" t="s">
        <v>2611</v>
      </c>
      <c r="C16" s="3050" t="str">
        <f>C4</f>
        <v>估价对象位于XX商圈，周边商业氛围成熟，人流量大，商业繁华度好</v>
      </c>
      <c r="D16" s="3022"/>
      <c r="E16" s="3051"/>
      <c r="F16" s="3008" t="s">
        <v>2613</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52" customFormat="1" ht="25.5">
      <c r="A17" s="3049"/>
      <c r="B17" s="2492" t="s">
        <v>2615</v>
      </c>
      <c r="C17" s="3050" t="str">
        <f>C5</f>
        <v>估价对象位于XX商圈，周边办公楼项目较多，入驻率高，办公集聚程度较好</v>
      </c>
      <c r="D17" s="2897"/>
      <c r="E17" s="3051"/>
      <c r="F17" s="3321" t="s">
        <v>3026</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52" customFormat="1" ht="38.25">
      <c r="A18" s="3049"/>
      <c r="B18" s="3008" t="s">
        <v>2619</v>
      </c>
      <c r="C18" s="3052" t="str">
        <f>C6</f>
        <v>估价对象周边道路状况、公共交通通达情况、停车便捷程度，综合评价交通便捷度较好</v>
      </c>
      <c r="D18" s="2897"/>
      <c r="E18" s="3051"/>
      <c r="F18" s="3008" t="s">
        <v>2622</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52" customFormat="1" ht="12.75">
      <c r="A19" s="3049"/>
      <c r="B19" s="3321" t="s">
        <v>3025</v>
      </c>
      <c r="C19" s="3053"/>
      <c r="D19" s="3022"/>
      <c r="E19" s="3051"/>
      <c r="F19" s="3007" t="s">
        <v>2617</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52" customFormat="1" ht="25.5">
      <c r="A20" s="3049"/>
      <c r="B20" s="3008" t="s">
        <v>2632</v>
      </c>
      <c r="C20" s="3050" t="str">
        <f>C9</f>
        <v>区域自然环境：；人文环境；综合评价环境状况一般</v>
      </c>
      <c r="D20" s="2897"/>
      <c r="E20" s="3051"/>
      <c r="F20" s="3007" t="s">
        <v>2620</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52" customFormat="1" ht="25.5">
      <c r="A21" s="3049"/>
      <c r="B21" s="3007" t="s">
        <v>2617</v>
      </c>
      <c r="C21" s="3052" t="str">
        <f>C7</f>
        <v>估价对象所在区域公共配套设施齐备情况</v>
      </c>
      <c r="D21" s="3022"/>
      <c r="E21" s="3051"/>
      <c r="F21" s="3008" t="s">
        <v>2633</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52" customFormat="1" ht="12.75">
      <c r="A22" s="3049"/>
      <c r="B22" s="3007" t="s">
        <v>2620</v>
      </c>
      <c r="C22" s="3052" t="str">
        <f>C8</f>
        <v>估价对象所在区域基础设施水平</v>
      </c>
      <c r="D22" s="3022"/>
      <c r="E22" s="3051"/>
      <c r="F22" s="3008" t="s">
        <v>2626</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2633</v>
      </c>
      <c r="C23" s="3054"/>
      <c r="D23" s="3041"/>
      <c r="E23" s="3056"/>
      <c r="F23" s="3010" t="s">
        <v>2634</v>
      </c>
      <c r="G23" s="3057"/>
      <c r="H23" s="3041"/>
      <c r="I23" s="3042"/>
      <c r="J23" s="3041"/>
      <c r="K23" s="3041"/>
      <c r="L23" s="3042"/>
      <c r="M23" s="3041"/>
      <c r="N23" s="3041"/>
      <c r="O23" s="3042"/>
      <c r="P23" s="3041"/>
      <c r="Q23" s="3041"/>
      <c r="R23" s="3043"/>
    </row>
    <row r="24" spans="1:29" s="3018" customFormat="1" ht="13.5" thickBot="1">
      <c r="A24" s="3058"/>
      <c r="B24" s="3010" t="s">
        <v>2635</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tabSelected="1" view="pageBreakPreview" zoomScale="80" zoomScaleNormal="100" zoomScaleSheetLayoutView="80" workbookViewId="0">
      <selection activeCell="J19" sqref="J19"/>
    </sheetView>
  </sheetViews>
  <sheetFormatPr defaultColWidth="14.625" defaultRowHeight="13.5"/>
  <cols>
    <col min="1" max="1" width="24.375" style="2501" customWidth="1"/>
    <col min="2" max="9" width="14.625" style="2501"/>
    <col min="10" max="10" width="18" style="2501" bestFit="1" customWidth="1"/>
    <col min="11" max="16384" width="14.625" style="2501"/>
  </cols>
  <sheetData>
    <row r="1" spans="1:13" ht="16.5">
      <c r="A1" s="2499" t="s">
        <v>973</v>
      </c>
      <c r="B1" s="2499">
        <f>SUM(B14:B23)</f>
        <v>1148.51</v>
      </c>
      <c r="C1" s="1562"/>
      <c r="D1" s="1562"/>
      <c r="E1" s="1562"/>
      <c r="F1" s="1562"/>
      <c r="G1" s="2500"/>
    </row>
    <row r="2" spans="1:13" ht="16.5">
      <c r="A2" s="2499" t="s">
        <v>974</v>
      </c>
      <c r="B2" s="2499">
        <f>SUM(C14:C23)</f>
        <v>0</v>
      </c>
      <c r="C2" s="1562"/>
      <c r="D2" s="1562"/>
      <c r="E2" s="1562"/>
      <c r="F2" s="1562"/>
      <c r="G2" s="2500"/>
    </row>
    <row r="3" spans="1:13" ht="16.5">
      <c r="A3" s="2499" t="s">
        <v>975</v>
      </c>
      <c r="B3" s="2502">
        <f>项目基本情况!D2</f>
        <v>44697</v>
      </c>
      <c r="C3" s="1562"/>
      <c r="D3" s="1562"/>
      <c r="E3" s="1562"/>
      <c r="F3" s="1562"/>
      <c r="G3" s="2500"/>
    </row>
    <row r="4" spans="1:13" ht="33">
      <c r="A4" s="2499" t="s">
        <v>976</v>
      </c>
      <c r="B4" s="2499" t="s">
        <v>977</v>
      </c>
      <c r="C4" s="2499" t="s">
        <v>978</v>
      </c>
      <c r="D4" s="2499" t="s">
        <v>979</v>
      </c>
      <c r="E4" s="1562"/>
      <c r="F4" s="2500"/>
      <c r="G4" s="2500"/>
    </row>
    <row r="5" spans="1:13" ht="16.5">
      <c r="A5" s="2499" t="s">
        <v>980</v>
      </c>
      <c r="B5" s="2499">
        <f ca="1">SUM(D14:D23)</f>
        <v>4966</v>
      </c>
      <c r="C5" s="2499">
        <f ca="1">ROUND(B5*10000/$B$1,0)</f>
        <v>43239</v>
      </c>
      <c r="D5" s="2499" t="e">
        <f ca="1">ROUND(B5*10000/$B$2,0)</f>
        <v>#DIV/0!</v>
      </c>
      <c r="E5" s="1562"/>
      <c r="F5" s="2500"/>
      <c r="G5" s="2500"/>
    </row>
    <row r="6" spans="1:13" ht="16.5">
      <c r="A6" s="2499" t="s">
        <v>981</v>
      </c>
      <c r="B6" s="2499">
        <f ca="1">SUM(G14:G23)</f>
        <v>4966</v>
      </c>
      <c r="C6" s="2499">
        <f t="shared" ref="C6:C8" ca="1" si="0">ROUND(B6*10000/$B$1,0)</f>
        <v>43239</v>
      </c>
      <c r="D6" s="2499" t="e">
        <f t="shared" ref="D6:D8" ca="1" si="1">ROUND(B6*10000/$B$2,0)</f>
        <v>#DIV/0!</v>
      </c>
      <c r="E6" s="1562"/>
      <c r="F6" s="2500"/>
      <c r="G6" s="2500"/>
    </row>
    <row r="7" spans="1:13" ht="16.5">
      <c r="A7" s="2499" t="s">
        <v>982</v>
      </c>
      <c r="B7" s="2499">
        <f>SUM(H14:H23)</f>
        <v>0</v>
      </c>
      <c r="C7" s="2499">
        <f>ROUND(B7*10000/$B$1,0)</f>
        <v>0</v>
      </c>
      <c r="D7" s="2499" t="e">
        <f t="shared" si="1"/>
        <v>#DIV/0!</v>
      </c>
      <c r="E7" s="1562"/>
      <c r="F7" s="2500"/>
      <c r="G7" s="2500"/>
    </row>
    <row r="8" spans="1:13" ht="16.5">
      <c r="A8" s="2499" t="s">
        <v>983</v>
      </c>
      <c r="B8" s="2499">
        <f ca="1">SUM(I14:I23)</f>
        <v>4475</v>
      </c>
      <c r="C8" s="2499">
        <f t="shared" ca="1" si="0"/>
        <v>38964</v>
      </c>
      <c r="D8" s="2499" t="e">
        <f t="shared" ca="1" si="1"/>
        <v>#DIV/0!</v>
      </c>
      <c r="E8" s="1562"/>
      <c r="F8" s="2500"/>
      <c r="G8" s="2500"/>
    </row>
    <row r="9" spans="1:13" ht="16.5">
      <c r="A9" s="2499" t="s">
        <v>984</v>
      </c>
      <c r="B9" s="2503"/>
      <c r="C9" s="1562"/>
      <c r="D9" s="1562"/>
      <c r="E9" s="1562"/>
      <c r="F9" s="2500"/>
      <c r="G9" s="2500"/>
    </row>
    <row r="10" spans="1:13" ht="16.5">
      <c r="A10" s="2499" t="s">
        <v>985</v>
      </c>
      <c r="B10" s="2503"/>
      <c r="C10" s="1562"/>
      <c r="D10" s="1562"/>
      <c r="E10" s="1562"/>
      <c r="F10" s="2500"/>
      <c r="G10" s="2500"/>
    </row>
    <row r="11" spans="1:13" ht="16.5">
      <c r="A11" s="2499" t="s">
        <v>1000</v>
      </c>
      <c r="B11" s="2503"/>
      <c r="C11" s="1562"/>
      <c r="D11" s="1562"/>
      <c r="E11" s="1562"/>
      <c r="F11" s="2500"/>
      <c r="G11" s="2500"/>
    </row>
    <row r="12" spans="1:13" ht="16.5">
      <c r="A12" s="1562"/>
      <c r="B12" s="1562"/>
      <c r="C12" s="1562"/>
      <c r="D12" s="1562"/>
      <c r="E12" s="1562"/>
      <c r="F12" s="2500"/>
      <c r="G12" s="2500"/>
    </row>
    <row r="13" spans="1:13" ht="33">
      <c r="A13" s="2504" t="s">
        <v>999</v>
      </c>
      <c r="B13" s="2505" t="s">
        <v>973</v>
      </c>
      <c r="C13" s="2505" t="s">
        <v>974</v>
      </c>
      <c r="D13" s="2505" t="s">
        <v>986</v>
      </c>
      <c r="E13" s="2499" t="s">
        <v>978</v>
      </c>
      <c r="F13" s="2499" t="s">
        <v>979</v>
      </c>
      <c r="G13" s="2505" t="s">
        <v>987</v>
      </c>
      <c r="H13" s="2505" t="s">
        <v>988</v>
      </c>
      <c r="I13" s="2505" t="s">
        <v>989</v>
      </c>
    </row>
    <row r="14" spans="1:13" ht="16.5">
      <c r="A14" s="2802" t="s">
        <v>3027</v>
      </c>
      <c r="B14" s="2832">
        <f>项目基本情况!C12</f>
        <v>464.13</v>
      </c>
      <c r="C14" s="2832">
        <f>项目基本情况!C13</f>
        <v>0</v>
      </c>
      <c r="D14" s="2832">
        <f ca="1">IF('数据-取费表'!B3="万元",IF(A14="估价对象1（结果表）",结果表!H121,'结果表 (1修多)'!H125),IF(A14="估价对象1（结果表）",结果表!H121,'结果表 (1修多)'!H125)/10000)</f>
        <v>2007</v>
      </c>
      <c r="E14" s="2832">
        <f ca="1">ROUND(D14*10000/B14,0)</f>
        <v>43242</v>
      </c>
      <c r="F14" s="2832" t="e">
        <f ca="1">ROUND(D14*10000/C14,0)</f>
        <v>#DIV/0!</v>
      </c>
      <c r="G14" s="2832">
        <f ca="1">IF('数据-取费表'!B3="万元",IF(A14="估价对象1（结果表）",结果表!D125,'结果表 (1修多)'!D129),IF(A14="估价对象1（结果表）",结果表!D125,'结果表 (1修多)'!D129)/10000)</f>
        <v>2007</v>
      </c>
      <c r="H14" s="2832" t="str">
        <f>IF('数据-取费表'!B3="万元",IF(A14="估价对象1（结果表）",结果表!D127,'结果表 (1修多)'!D131),IF(A14="估价对象1（结果表）",结果表!D127,'结果表 (1修多)'!D131)/10000)</f>
        <v>——</v>
      </c>
      <c r="I14" s="2832">
        <f ca="1">IF('数据-取费表'!B3="万元",IF(A14="估价对象1（结果表）",结果表!D129,'结果表 (1修多)'!D133),IF(A14="估价对象1（结果表）",结果表!D129,'结果表 (1修多)'!D133)/10000)</f>
        <v>1809</v>
      </c>
      <c r="J14" s="2501">
        <f ca="1">D14</f>
        <v>2007</v>
      </c>
      <c r="K14" s="2501">
        <f ca="1">D15</f>
        <v>1723</v>
      </c>
      <c r="L14" s="2501">
        <f ca="1">D16</f>
        <v>1236</v>
      </c>
      <c r="M14" s="2501">
        <f ca="1">B5</f>
        <v>4966</v>
      </c>
    </row>
    <row r="15" spans="1:13" ht="16.5">
      <c r="A15" s="2506" t="s">
        <v>990</v>
      </c>
      <c r="B15" s="2507">
        <f>[3]系统读取表!$B$14</f>
        <v>398.43</v>
      </c>
      <c r="C15" s="2507"/>
      <c r="D15" s="2507">
        <f ca="1">[3]系统读取表!$D$14</f>
        <v>1723</v>
      </c>
      <c r="E15" s="2832">
        <f t="shared" ref="E15:E23" ca="1" si="2">ROUND(D15*10000/B15,0)</f>
        <v>43245</v>
      </c>
      <c r="F15" s="2832" t="e">
        <f t="shared" ref="F15:F23" ca="1" si="3">ROUND(D15*10000/C15,0)</f>
        <v>#DIV/0!</v>
      </c>
      <c r="G15" s="1233">
        <f ca="1">D15</f>
        <v>1723</v>
      </c>
      <c r="H15" s="1233"/>
      <c r="I15" s="2507">
        <f ca="1">[3]系统读取表!$I$14</f>
        <v>1553</v>
      </c>
      <c r="J15" s="3735">
        <f ca="1">M14*10000</f>
        <v>49660000</v>
      </c>
    </row>
    <row r="16" spans="1:13" ht="16.5">
      <c r="A16" s="2506" t="s">
        <v>991</v>
      </c>
      <c r="B16" s="2507">
        <f>[4]系统读取表!$B$14</f>
        <v>285.95</v>
      </c>
      <c r="C16" s="2507"/>
      <c r="D16" s="2507">
        <f ca="1">[4]系统读取表!$D$14</f>
        <v>1236</v>
      </c>
      <c r="E16" s="2832">
        <f t="shared" ca="1" si="2"/>
        <v>43224</v>
      </c>
      <c r="F16" s="2832" t="e">
        <f t="shared" ca="1" si="3"/>
        <v>#DIV/0!</v>
      </c>
      <c r="G16" s="1233">
        <f ca="1">D16</f>
        <v>1236</v>
      </c>
      <c r="H16" s="1233"/>
      <c r="I16" s="2507">
        <f ca="1">[4]系统读取表!$I$14</f>
        <v>1113</v>
      </c>
      <c r="J16" s="2501">
        <f ca="1">E14</f>
        <v>43242</v>
      </c>
      <c r="K16" s="2501">
        <f ca="1">E15</f>
        <v>43245</v>
      </c>
      <c r="L16" s="2501">
        <f ca="1">E16</f>
        <v>43224</v>
      </c>
    </row>
    <row r="17" spans="1:13" ht="16.5">
      <c r="A17" s="2506" t="s">
        <v>992</v>
      </c>
      <c r="B17" s="2507"/>
      <c r="C17" s="2507"/>
      <c r="D17" s="2507"/>
      <c r="E17" s="2832" t="e">
        <f t="shared" si="2"/>
        <v>#DIV/0!</v>
      </c>
      <c r="F17" s="2832" t="e">
        <f t="shared" si="3"/>
        <v>#DIV/0!</v>
      </c>
      <c r="G17" s="1233"/>
      <c r="H17" s="1233"/>
      <c r="I17" s="2507"/>
    </row>
    <row r="18" spans="1:13" ht="16.5">
      <c r="A18" s="2506" t="s">
        <v>993</v>
      </c>
      <c r="B18" s="2507"/>
      <c r="C18" s="2507"/>
      <c r="D18" s="2507"/>
      <c r="E18" s="2832" t="e">
        <f t="shared" si="2"/>
        <v>#DIV/0!</v>
      </c>
      <c r="F18" s="2832" t="e">
        <f t="shared" si="3"/>
        <v>#DIV/0!</v>
      </c>
      <c r="G18" s="2507"/>
      <c r="H18" s="2507"/>
      <c r="I18" s="2507"/>
      <c r="J18" s="2501">
        <f ca="1">I14</f>
        <v>1809</v>
      </c>
      <c r="K18" s="2501">
        <f ca="1">I15</f>
        <v>1553</v>
      </c>
      <c r="L18" s="2501">
        <f ca="1">I16</f>
        <v>1113</v>
      </c>
      <c r="M18" s="2501">
        <f ca="1">J18+K18+L18</f>
        <v>4475</v>
      </c>
    </row>
    <row r="19" spans="1:13" ht="16.5">
      <c r="A19" s="2506" t="s">
        <v>994</v>
      </c>
      <c r="B19" s="2507"/>
      <c r="C19" s="2507"/>
      <c r="D19" s="2507"/>
      <c r="E19" s="2832" t="e">
        <f t="shared" si="2"/>
        <v>#DIV/0!</v>
      </c>
      <c r="F19" s="2832" t="e">
        <f t="shared" si="3"/>
        <v>#DIV/0!</v>
      </c>
      <c r="G19" s="2507"/>
      <c r="H19" s="2507"/>
      <c r="I19" s="2507"/>
      <c r="J19" s="3735">
        <f ca="1">M18*10000</f>
        <v>44750000</v>
      </c>
    </row>
    <row r="20" spans="1:13" ht="16.5">
      <c r="A20" s="2506" t="s">
        <v>995</v>
      </c>
      <c r="B20" s="2507"/>
      <c r="C20" s="2507"/>
      <c r="D20" s="2507"/>
      <c r="E20" s="2832" t="e">
        <f t="shared" si="2"/>
        <v>#DIV/0!</v>
      </c>
      <c r="F20" s="2832" t="e">
        <f t="shared" si="3"/>
        <v>#DIV/0!</v>
      </c>
      <c r="G20" s="2507"/>
      <c r="H20" s="2507"/>
      <c r="I20" s="2507"/>
      <c r="J20" s="2501">
        <f ca="1">ROUND(J18/B14*10000,0)</f>
        <v>38976</v>
      </c>
      <c r="K20" s="2501">
        <f ca="1">ROUND(K18/B15*10000,0)</f>
        <v>38978</v>
      </c>
      <c r="L20" s="2501">
        <f ca="1">ROUND(L18/B16*10000,0)</f>
        <v>38923</v>
      </c>
    </row>
    <row r="21" spans="1:13" ht="16.5">
      <c r="A21" s="2506" t="s">
        <v>996</v>
      </c>
      <c r="B21" s="2507"/>
      <c r="C21" s="2507"/>
      <c r="D21" s="2507"/>
      <c r="E21" s="2832" t="e">
        <f t="shared" si="2"/>
        <v>#DIV/0!</v>
      </c>
      <c r="F21" s="2832" t="e">
        <f t="shared" si="3"/>
        <v>#DIV/0!</v>
      </c>
      <c r="G21" s="2507"/>
      <c r="H21" s="2507"/>
      <c r="I21" s="2507"/>
    </row>
    <row r="22" spans="1:13" ht="16.5">
      <c r="A22" s="2506" t="s">
        <v>997</v>
      </c>
      <c r="B22" s="2507"/>
      <c r="C22" s="2507"/>
      <c r="D22" s="2507"/>
      <c r="E22" s="2832" t="e">
        <f t="shared" si="2"/>
        <v>#DIV/0!</v>
      </c>
      <c r="F22" s="2832" t="e">
        <f t="shared" si="3"/>
        <v>#DIV/0!</v>
      </c>
      <c r="G22" s="2507"/>
      <c r="H22" s="2507"/>
      <c r="I22" s="2507"/>
    </row>
    <row r="23" spans="1:13" ht="16.5">
      <c r="A23" s="2506" t="s">
        <v>998</v>
      </c>
      <c r="B23" s="2507"/>
      <c r="C23" s="2507"/>
      <c r="D23" s="2507"/>
      <c r="E23" s="2833" t="e">
        <f t="shared" si="2"/>
        <v>#DIV/0!</v>
      </c>
      <c r="F23" s="2833"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9" zoomScale="80" zoomScaleNormal="100" zoomScaleSheetLayoutView="80" zoomScalePageLayoutView="80" workbookViewId="0">
      <selection activeCell="F64" sqref="F64"/>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69" t="str">
        <f>项目基本情况!B1</f>
        <v>北京市房地产抵押价值预评估</v>
      </c>
      <c r="B2" s="3469"/>
      <c r="C2" s="3469"/>
      <c r="D2" s="3469"/>
      <c r="E2" s="3469"/>
      <c r="F2" s="3469"/>
      <c r="G2" s="3469"/>
      <c r="H2" s="3469"/>
      <c r="I2" s="3469"/>
      <c r="J2" s="2759"/>
    </row>
    <row r="3" spans="1:15" ht="12.75">
      <c r="A3" s="3472" t="s">
        <v>1471</v>
      </c>
      <c r="B3" s="3473"/>
      <c r="C3" s="3473"/>
      <c r="D3" s="3473"/>
      <c r="E3" s="3473"/>
      <c r="F3" s="3473"/>
      <c r="G3" s="3473"/>
      <c r="H3" s="3473"/>
      <c r="I3" s="3473"/>
      <c r="J3" s="2760"/>
    </row>
    <row r="4" spans="1:15" ht="14.25">
      <c r="A4" s="2628" t="s">
        <v>1472</v>
      </c>
      <c r="B4" s="2628" t="s">
        <v>1473</v>
      </c>
      <c r="C4" s="2629" t="s">
        <v>3048</v>
      </c>
      <c r="D4" s="2629" t="s">
        <v>3049</v>
      </c>
      <c r="E4" s="3418" t="s">
        <v>1474</v>
      </c>
      <c r="F4" s="3456"/>
      <c r="G4" s="3456"/>
      <c r="H4" s="3456"/>
      <c r="I4" s="3457"/>
      <c r="J4" s="2761"/>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49" t="s">
        <v>1475</v>
      </c>
      <c r="B5" s="3449">
        <v>25</v>
      </c>
      <c r="C5" s="3458"/>
      <c r="D5" s="3471"/>
      <c r="E5" s="12" t="s">
        <v>1476</v>
      </c>
      <c r="F5" s="2017"/>
      <c r="G5" s="2017"/>
      <c r="H5" s="2017"/>
      <c r="I5" s="2012"/>
      <c r="J5" s="2761"/>
    </row>
    <row r="6" spans="1:15" ht="12.75">
      <c r="A6" s="3449"/>
      <c r="B6" s="3449"/>
      <c r="C6" s="3474"/>
      <c r="D6" s="3471"/>
      <c r="E6" s="12" t="s">
        <v>1477</v>
      </c>
      <c r="F6" s="2017"/>
      <c r="G6" s="2017"/>
      <c r="H6" s="2017"/>
      <c r="I6" s="2012"/>
      <c r="J6" s="2761"/>
    </row>
    <row r="7" spans="1:15" ht="12.75">
      <c r="A7" s="3449"/>
      <c r="B7" s="3449"/>
      <c r="C7" s="3459"/>
      <c r="D7" s="3471"/>
      <c r="E7" s="12" t="s">
        <v>1478</v>
      </c>
      <c r="F7" s="2017"/>
      <c r="G7" s="2017"/>
      <c r="H7" s="2017"/>
      <c r="I7" s="2012"/>
      <c r="J7" s="2761"/>
    </row>
    <row r="8" spans="1:15" ht="12.75">
      <c r="A8" s="3449" t="s">
        <v>1479</v>
      </c>
      <c r="B8" s="3449">
        <v>15</v>
      </c>
      <c r="C8" s="3458"/>
      <c r="D8" s="3471"/>
      <c r="E8" s="12" t="s">
        <v>1480</v>
      </c>
      <c r="F8" s="2017"/>
      <c r="G8" s="2017"/>
      <c r="H8" s="2017"/>
      <c r="I8" s="2012"/>
      <c r="J8" s="2761"/>
    </row>
    <row r="9" spans="1:15" ht="12.75">
      <c r="A9" s="3449"/>
      <c r="B9" s="3449"/>
      <c r="C9" s="3459"/>
      <c r="D9" s="3471"/>
      <c r="E9" s="12" t="s">
        <v>1481</v>
      </c>
      <c r="F9" s="2017"/>
      <c r="G9" s="2017"/>
      <c r="H9" s="2017"/>
      <c r="I9" s="2012"/>
      <c r="J9" s="2761"/>
    </row>
    <row r="10" spans="1:15" ht="12.75">
      <c r="A10" s="3449" t="s">
        <v>1482</v>
      </c>
      <c r="B10" s="3449">
        <v>15</v>
      </c>
      <c r="C10" s="3458"/>
      <c r="D10" s="3471"/>
      <c r="E10" s="12" t="s">
        <v>1483</v>
      </c>
      <c r="F10" s="2017"/>
      <c r="G10" s="2017"/>
      <c r="H10" s="2017"/>
      <c r="I10" s="2012"/>
      <c r="J10" s="2761"/>
    </row>
    <row r="11" spans="1:15" ht="12.75">
      <c r="A11" s="3449"/>
      <c r="B11" s="3449"/>
      <c r="C11" s="3459"/>
      <c r="D11" s="3471"/>
      <c r="E11" s="12" t="s">
        <v>1484</v>
      </c>
      <c r="F11" s="2017"/>
      <c r="G11" s="2017"/>
      <c r="H11" s="2017"/>
      <c r="I11" s="2012"/>
      <c r="J11" s="2761"/>
    </row>
    <row r="12" spans="1:15" ht="12.75">
      <c r="A12" s="3449" t="s">
        <v>1485</v>
      </c>
      <c r="B12" s="3449">
        <v>15</v>
      </c>
      <c r="C12" s="3458"/>
      <c r="D12" s="3471"/>
      <c r="E12" s="12" t="s">
        <v>1486</v>
      </c>
      <c r="F12" s="2017"/>
      <c r="G12" s="2017"/>
      <c r="H12" s="2017"/>
      <c r="I12" s="2012"/>
      <c r="J12" s="2761"/>
    </row>
    <row r="13" spans="1:15" ht="12.75">
      <c r="A13" s="3449"/>
      <c r="B13" s="3449"/>
      <c r="C13" s="3459"/>
      <c r="D13" s="3471"/>
      <c r="E13" s="12" t="s">
        <v>1487</v>
      </c>
      <c r="F13" s="2017"/>
      <c r="G13" s="2017"/>
      <c r="H13" s="2017"/>
      <c r="I13" s="2012"/>
      <c r="J13" s="2761"/>
    </row>
    <row r="14" spans="1:15" ht="12.75">
      <c r="A14" s="3449" t="s">
        <v>1488</v>
      </c>
      <c r="B14" s="3449">
        <v>30</v>
      </c>
      <c r="C14" s="3458">
        <v>7</v>
      </c>
      <c r="D14" s="3471">
        <f>10-C14</f>
        <v>3</v>
      </c>
      <c r="E14" s="12" t="s">
        <v>1489</v>
      </c>
      <c r="F14" s="2017"/>
      <c r="G14" s="2017"/>
      <c r="H14" s="2017"/>
      <c r="I14" s="2012"/>
      <c r="J14" s="2761"/>
    </row>
    <row r="15" spans="1:15" ht="12.75">
      <c r="A15" s="3449"/>
      <c r="B15" s="3449"/>
      <c r="C15" s="3474"/>
      <c r="D15" s="3471"/>
      <c r="E15" s="12" t="s">
        <v>1490</v>
      </c>
      <c r="F15" s="2017"/>
      <c r="G15" s="2017"/>
      <c r="H15" s="2017"/>
      <c r="I15" s="2012"/>
      <c r="J15" s="2761"/>
    </row>
    <row r="16" spans="1:15" ht="12.75">
      <c r="A16" s="3449"/>
      <c r="B16" s="3449"/>
      <c r="C16" s="3459"/>
      <c r="D16" s="3471"/>
      <c r="E16" s="12" t="s">
        <v>1491</v>
      </c>
      <c r="F16" s="2017"/>
      <c r="G16" s="2017"/>
      <c r="H16" s="2017"/>
      <c r="I16" s="2012"/>
      <c r="J16" s="2761"/>
    </row>
    <row r="17" spans="1:36" ht="15">
      <c r="A17" s="2630" t="s">
        <v>1492</v>
      </c>
      <c r="B17" s="2022"/>
      <c r="C17" s="2631">
        <f>SUM(C5:C16)</f>
        <v>7</v>
      </c>
      <c r="D17" s="2631">
        <f>SUM(D5:D16)</f>
        <v>3</v>
      </c>
      <c r="E17" s="2481"/>
      <c r="F17" s="2481"/>
      <c r="G17" s="2481"/>
      <c r="H17" s="2481"/>
      <c r="I17" s="2481"/>
      <c r="J17" s="2762"/>
    </row>
    <row r="18" spans="1:36" ht="30" customHeight="1" thickBot="1">
      <c r="A18" s="2632" t="s">
        <v>1493</v>
      </c>
      <c r="B18" s="2633"/>
      <c r="C18" s="2634">
        <f>ROUND(C17/SUM(C17:D17),2)</f>
        <v>0.7</v>
      </c>
      <c r="D18" s="2634">
        <f>1-C18</f>
        <v>0.30000000000000004</v>
      </c>
      <c r="E18" s="3467" t="s">
        <v>2573</v>
      </c>
      <c r="F18" s="3468"/>
      <c r="G18" s="3468"/>
      <c r="H18" s="3468"/>
      <c r="I18" s="3468"/>
      <c r="J18" s="2762"/>
    </row>
    <row r="19" spans="1:36" ht="15">
      <c r="A19" s="2635" t="s">
        <v>1494</v>
      </c>
      <c r="B19" s="2636" t="s">
        <v>1495</v>
      </c>
      <c r="C19" s="2637">
        <f ca="1">SUMIF(INDIRECT("'"&amp;C4&amp;"'"&amp;"!A:A"),结果表!B19,INDIRECT("'"&amp;C4&amp;"'"&amp;"!B:B"))</f>
        <v>2237</v>
      </c>
      <c r="D19" s="2638">
        <f ca="1">SUMIF(INDIRECT("'"&amp;D4&amp;"'"&amp;"!A:A"),结果表!B19,INDIRECT("'"&amp;D4&amp;"'"&amp;"!B:B"))</f>
        <v>1469</v>
      </c>
      <c r="E19" s="2635" t="s">
        <v>1496</v>
      </c>
      <c r="F19" s="2636" t="s">
        <v>1495</v>
      </c>
      <c r="G19" s="2639">
        <f ca="1">ROUND(C19*$C$18+D19*$D$18,0)</f>
        <v>2007</v>
      </c>
      <c r="H19" s="2640" t="str">
        <f>'数据-取费表'!B3</f>
        <v>万元</v>
      </c>
      <c r="I19" s="2688"/>
      <c r="J19" s="2763"/>
    </row>
    <row r="20" spans="1:36" ht="15">
      <c r="A20" s="2641"/>
      <c r="B20" s="1622" t="s">
        <v>1497</v>
      </c>
      <c r="C20" s="1847">
        <f ca="1">SUMIF(INDIRECT("'"&amp;C4&amp;"'"&amp;"!A:A"),结果表!B20,INDIRECT("'"&amp;C4&amp;"'"&amp;"!B:B"))</f>
        <v>48207</v>
      </c>
      <c r="D20" s="1850">
        <f ca="1">SUMIF(INDIRECT("'"&amp;D4&amp;"'"&amp;"!A:A"),结果表!B20,INDIRECT("'"&amp;D4&amp;"'"&amp;"!B:B"))</f>
        <v>31652</v>
      </c>
      <c r="E20" s="2641"/>
      <c r="F20" s="1622" t="s">
        <v>1497</v>
      </c>
      <c r="G20" s="2021">
        <f ca="1">ROUND(C20*$C$18+D20*$D$18,0)</f>
        <v>43241</v>
      </c>
      <c r="H20" s="2642" t="s">
        <v>1498</v>
      </c>
      <c r="I20" s="2481"/>
      <c r="J20" s="2762"/>
    </row>
    <row r="21" spans="1:36" ht="15" customHeight="1" thickBot="1">
      <c r="A21" s="2643"/>
      <c r="B21" s="2644"/>
      <c r="C21" s="2644"/>
      <c r="D21" s="2645"/>
      <c r="E21" s="2643"/>
      <c r="F21" s="2644"/>
      <c r="G21" s="2646"/>
      <c r="H21" s="2647"/>
      <c r="I21" s="2481"/>
      <c r="J21" s="2762"/>
    </row>
    <row r="22" spans="1:36" ht="15" thickBot="1">
      <c r="A22" s="2648" t="s">
        <v>1499</v>
      </c>
      <c r="B22" s="2649"/>
      <c r="C22" s="2565"/>
      <c r="D22" s="2650">
        <f ca="1">IF(C19&lt;D19,D19/C19-1,C19/D19-1)</f>
        <v>0.52280462899931934</v>
      </c>
      <c r="E22" s="905"/>
      <c r="F22" s="905"/>
      <c r="G22" s="905"/>
      <c r="H22" s="905"/>
      <c r="I22" s="905"/>
      <c r="J22" s="2762"/>
    </row>
    <row r="23" spans="1:36" ht="13.5" thickBot="1">
      <c r="A23" s="2481"/>
      <c r="B23" s="2481"/>
      <c r="C23" s="2481"/>
      <c r="D23" s="2481"/>
      <c r="E23" s="905"/>
      <c r="F23" s="905"/>
      <c r="G23" s="905"/>
      <c r="H23" s="905"/>
      <c r="I23" s="905"/>
      <c r="J23" s="2762"/>
    </row>
    <row r="24" spans="1:36" ht="21.75" customHeight="1">
      <c r="A24" s="3460" t="s">
        <v>1500</v>
      </c>
      <c r="B24" s="2636" t="s">
        <v>1495</v>
      </c>
      <c r="C24" s="2639">
        <f>D30</f>
        <v>0</v>
      </c>
      <c r="D24" s="2594"/>
      <c r="E24" s="905"/>
      <c r="F24" s="905"/>
      <c r="G24" s="905"/>
      <c r="H24" s="905"/>
      <c r="I24" s="905"/>
      <c r="J24" s="2762"/>
    </row>
    <row r="25" spans="1:36" ht="21.75" customHeight="1">
      <c r="A25" s="347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2577</v>
      </c>
      <c r="F30" s="2481"/>
      <c r="G30" s="2481"/>
      <c r="H30" s="2481"/>
      <c r="I30" s="2481"/>
      <c r="J30" s="2762"/>
    </row>
    <row r="31" spans="1:36" s="2755" customFormat="1" ht="26.45" customHeight="1" thickTop="1" thickBot="1">
      <c r="A31" s="2750"/>
      <c r="B31" s="2751"/>
      <c r="C31" s="2751"/>
      <c r="D31" s="2751"/>
      <c r="E31" s="2751"/>
      <c r="F31" s="2751"/>
      <c r="G31" s="2751"/>
      <c r="H31" s="2751"/>
      <c r="I31" s="2752" t="s">
        <v>2578</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43241</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t="s">
        <v>3067</v>
      </c>
      <c r="E33" s="2661" t="s">
        <v>1508</v>
      </c>
      <c r="F33" s="2662" t="str">
        <f>IF(B32="楼面单价","取值（单价）","取值（总价）")</f>
        <v>取值（单价）</v>
      </c>
      <c r="G33" s="905"/>
      <c r="H33" s="905"/>
      <c r="I33" s="905"/>
      <c r="J33" s="2762"/>
    </row>
    <row r="34" spans="1:17" ht="15">
      <c r="A34" s="1394"/>
      <c r="B34" s="2663" t="s">
        <v>1509</v>
      </c>
      <c r="C34" s="2664">
        <f ca="1">IF(D33="自定义",F34,C32-C35)</f>
        <v>38484</v>
      </c>
      <c r="D34" s="2665">
        <f ca="1">IF(D33="自定义",ROUND(C34/C32,3),1-D35)</f>
        <v>0.89</v>
      </c>
      <c r="E34" s="1363" t="s">
        <v>1510</v>
      </c>
      <c r="F34" s="2666">
        <v>2000</v>
      </c>
      <c r="G34" s="905"/>
      <c r="H34" s="905"/>
      <c r="I34" s="905"/>
      <c r="J34" s="2762"/>
    </row>
    <row r="35" spans="1:17" ht="15.75" thickBot="1">
      <c r="A35" s="1395"/>
      <c r="B35" s="2667" t="s">
        <v>1511</v>
      </c>
      <c r="C35" s="2668">
        <f ca="1">IF(D33="自定义",F35,ROUND(C32*D35,0))</f>
        <v>4757</v>
      </c>
      <c r="D35" s="2669">
        <f ca="1">IF(D33="自定义",ROUND(C35/C32,3),IF(D33="成本法成本比率",成本法!C56,IF(D33="收益法收益比率",收益法!J38,收益法!J41)))</f>
        <v>0.11</v>
      </c>
      <c r="E35" s="2670" t="s">
        <v>1512</v>
      </c>
      <c r="F35" s="2671">
        <v>4460</v>
      </c>
      <c r="G35" s="905"/>
      <c r="H35" s="905"/>
      <c r="I35" s="905"/>
      <c r="J35" s="2762"/>
    </row>
    <row r="36" spans="1:17" ht="15.75" thickBot="1">
      <c r="A36" s="3460" t="s">
        <v>1513</v>
      </c>
      <c r="B36" s="1396" t="s">
        <v>1514</v>
      </c>
      <c r="C36" s="2672">
        <v>0</v>
      </c>
      <c r="D36" s="2673"/>
      <c r="E36" s="1608"/>
      <c r="F36" s="1608"/>
      <c r="G36" s="905"/>
      <c r="H36" s="905"/>
      <c r="I36" s="905"/>
      <c r="J36" s="2762"/>
    </row>
    <row r="37" spans="1:17" ht="15.75" thickBot="1">
      <c r="A37" s="3461"/>
      <c r="B37" s="2022" t="s">
        <v>1515</v>
      </c>
      <c r="C37" s="2674">
        <v>0</v>
      </c>
      <c r="D37" s="1239"/>
      <c r="E37" s="1239"/>
      <c r="F37" s="1608"/>
      <c r="G37" s="1239"/>
      <c r="H37" s="1239"/>
      <c r="I37" s="1239"/>
      <c r="J37" s="2766"/>
    </row>
    <row r="38" spans="1:17" ht="15.75" thickBot="1">
      <c r="A38" s="3462"/>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81"/>
      <c r="J43" s="2767"/>
    </row>
    <row r="44" spans="1:17" ht="18.75">
      <c r="A44" s="1399" t="s">
        <v>1522</v>
      </c>
      <c r="B44" s="1400"/>
      <c r="C44" s="1400"/>
      <c r="D44" s="1401"/>
      <c r="E44" s="1401"/>
      <c r="F44" s="1402"/>
      <c r="G44" s="1402"/>
      <c r="H44" s="1402"/>
      <c r="I44" s="2756" t="s">
        <v>2572</v>
      </c>
      <c r="J44" s="2768"/>
      <c r="K44" s="1403" t="s">
        <v>1523</v>
      </c>
      <c r="L44" s="1404"/>
      <c r="M44" s="1404"/>
      <c r="N44" s="1404"/>
      <c r="O44" s="1404"/>
      <c r="P44" s="1404"/>
      <c r="Q44" s="1236"/>
    </row>
    <row r="45" spans="1:17" ht="14.25" customHeight="1" thickBot="1">
      <c r="A45" s="3464" t="s">
        <v>1524</v>
      </c>
      <c r="B45" s="3465"/>
      <c r="C45" s="3424"/>
      <c r="D45" s="246">
        <f ca="1">ROUND(I102*F45,0)</f>
        <v>2007</v>
      </c>
      <c r="E45" s="1470" t="s">
        <v>1525</v>
      </c>
      <c r="F45" s="2479">
        <v>1</v>
      </c>
      <c r="G45" s="2480" t="s">
        <v>1526</v>
      </c>
      <c r="H45" s="905"/>
      <c r="I45" s="905"/>
      <c r="J45" s="2762"/>
      <c r="K45" s="3518" t="s">
        <v>2502</v>
      </c>
      <c r="L45" s="3518"/>
      <c r="M45" s="3518"/>
      <c r="N45" s="3518"/>
      <c r="O45" s="3518"/>
      <c r="P45" s="3518"/>
      <c r="Q45" s="1236"/>
    </row>
    <row r="46" spans="1:17" ht="14.25" customHeight="1">
      <c r="A46" s="3453" t="s">
        <v>1528</v>
      </c>
      <c r="B46" s="3454"/>
      <c r="C46" s="3454"/>
      <c r="D46" s="3454"/>
      <c r="E46" s="3454"/>
      <c r="F46" s="3454"/>
      <c r="G46" s="3455"/>
      <c r="H46" s="2894"/>
      <c r="I46" s="905"/>
      <c r="J46" s="2762"/>
      <c r="K46" s="2454">
        <v>1</v>
      </c>
      <c r="L46" s="3519" t="s">
        <v>2503</v>
      </c>
      <c r="M46" s="3519"/>
      <c r="N46" s="3520" t="str">
        <f>项目基本情况!B1</f>
        <v>北京市房地产抵押价值预评估</v>
      </c>
      <c r="O46" s="3520"/>
      <c r="P46" s="3520"/>
      <c r="Q46" s="1236"/>
    </row>
    <row r="47" spans="1:17" ht="12" customHeight="1">
      <c r="A47" s="38" t="s">
        <v>1530</v>
      </c>
      <c r="B47" s="39"/>
      <c r="C47" s="40"/>
      <c r="D47" s="1028" t="s">
        <v>1531</v>
      </c>
      <c r="E47" s="235" t="s">
        <v>1532</v>
      </c>
      <c r="F47" s="41" t="s">
        <v>1533</v>
      </c>
      <c r="G47" s="2482" t="s">
        <v>1534</v>
      </c>
      <c r="H47" s="2894"/>
      <c r="I47" s="905"/>
      <c r="J47" s="2762"/>
      <c r="K47" s="2454">
        <v>2</v>
      </c>
      <c r="L47" s="3519" t="s">
        <v>2504</v>
      </c>
      <c r="M47" s="3519"/>
      <c r="N47" s="3521">
        <f>'数据-取费表'!B2</f>
        <v>44697</v>
      </c>
      <c r="O47" s="3521"/>
      <c r="P47" s="3521"/>
      <c r="Q47" s="1236"/>
    </row>
    <row r="48" spans="1:17" ht="25.5">
      <c r="A48" s="3463" t="s">
        <v>1536</v>
      </c>
      <c r="B48" s="3417"/>
      <c r="C48" s="3417"/>
      <c r="D48" s="12">
        <f ca="1">IF(H48="情况1",0,IF(H48="情况2",D52,IF(H48="情况3",D53,IF(H48="情况4",D54))))</f>
        <v>33</v>
      </c>
      <c r="E48" s="2020" t="str">
        <f>IF(H48="情况4","(销售额-原购置价)×税（费）率","销售额×税（费）率")</f>
        <v>(销售额-原购置价)×税（费）率</v>
      </c>
      <c r="F48" s="2483">
        <f>IF(H48="情况1","免征",'数据-取费表'!E29)</f>
        <v>5.6000000000000001E-2</v>
      </c>
      <c r="G48" s="2484" t="s">
        <v>1537</v>
      </c>
      <c r="H48" s="2485" t="s">
        <v>3068</v>
      </c>
      <c r="I48" s="2894"/>
      <c r="J48" s="2769"/>
      <c r="K48" s="2454">
        <v>3</v>
      </c>
      <c r="L48" s="3519" t="s">
        <v>2505</v>
      </c>
      <c r="M48" s="3519"/>
      <c r="N48" s="3520">
        <f ca="1">I102</f>
        <v>2007</v>
      </c>
      <c r="O48" s="3520"/>
      <c r="P48" s="3520"/>
      <c r="Q48" s="1236"/>
    </row>
    <row r="49" spans="1:17" ht="25.5" customHeight="1">
      <c r="A49" s="2019" t="s">
        <v>1540</v>
      </c>
      <c r="B49" s="3456" t="s">
        <v>1541</v>
      </c>
      <c r="C49" s="3456"/>
      <c r="D49" s="2486">
        <v>0</v>
      </c>
      <c r="E49" s="261" t="s">
        <v>1542</v>
      </c>
      <c r="F49" s="2487" t="s">
        <v>48</v>
      </c>
      <c r="G49" s="3513"/>
      <c r="H49" s="2488" t="s">
        <v>2579</v>
      </c>
      <c r="I49" s="2489"/>
      <c r="J49" s="2770"/>
      <c r="K49" s="2454">
        <v>4</v>
      </c>
      <c r="L49" s="3519" t="str">
        <f>IF(项目基本情况!F5="房地产抵押价值","房地产抵押价值","抵押担保权已注销时的房地产抵押价值")</f>
        <v>房地产抵押价值</v>
      </c>
      <c r="M49" s="3519"/>
      <c r="N49" s="3520">
        <f ca="1">IF(项目基本情况!F5="房地产抵押价值",I110,I112)</f>
        <v>2007</v>
      </c>
      <c r="O49" s="3520"/>
      <c r="P49" s="3520"/>
      <c r="Q49" s="1236"/>
    </row>
    <row r="50" spans="1:17" ht="25.5" customHeight="1">
      <c r="A50" s="2009"/>
      <c r="B50" s="3456" t="s">
        <v>1543</v>
      </c>
      <c r="C50" s="3456"/>
      <c r="D50" s="2490"/>
      <c r="E50" s="269"/>
      <c r="F50" s="2487"/>
      <c r="G50" s="3514"/>
      <c r="H50" s="2491" t="s">
        <v>2498</v>
      </c>
      <c r="I50" s="2489"/>
      <c r="J50" s="2770"/>
      <c r="K50" s="3519" t="s">
        <v>2506</v>
      </c>
      <c r="L50" s="3519"/>
      <c r="M50" s="3519"/>
      <c r="N50" s="3519"/>
      <c r="O50" s="3519"/>
      <c r="P50" s="3519"/>
      <c r="Q50" s="1236"/>
    </row>
    <row r="51" spans="1:17" ht="20.45" customHeight="1">
      <c r="A51" s="2492"/>
      <c r="B51" s="3456" t="s">
        <v>1545</v>
      </c>
      <c r="C51" s="3456"/>
      <c r="D51" s="1028"/>
      <c r="E51" s="264"/>
      <c r="F51" s="2487"/>
      <c r="G51" s="3515"/>
      <c r="H51" s="2491" t="s">
        <v>2499</v>
      </c>
      <c r="I51" s="2489"/>
      <c r="J51" s="2770"/>
      <c r="K51" s="2455" t="s">
        <v>2507</v>
      </c>
      <c r="L51" s="3519" t="s">
        <v>2508</v>
      </c>
      <c r="M51" s="3519"/>
      <c r="N51" s="2455" t="s">
        <v>2509</v>
      </c>
      <c r="O51" s="2455" t="s">
        <v>2510</v>
      </c>
      <c r="P51" s="2455" t="s">
        <v>2511</v>
      </c>
      <c r="Q51" s="1236"/>
    </row>
    <row r="52" spans="1:17" ht="24" customHeight="1">
      <c r="A52" s="2010" t="s">
        <v>1551</v>
      </c>
      <c r="B52" s="3456" t="s">
        <v>1552</v>
      </c>
      <c r="C52" s="3456"/>
      <c r="D52" s="1028">
        <f ca="1">ROUND(D45*'数据-取费表'!E29/(1+'数据-取费表'!F30),0)</f>
        <v>107</v>
      </c>
      <c r="E52" s="2020" t="s">
        <v>1553</v>
      </c>
      <c r="F52" s="2493">
        <f>'数据-取费表'!E29</f>
        <v>5.6000000000000001E-2</v>
      </c>
      <c r="G52" s="2494"/>
      <c r="H52" s="905"/>
      <c r="I52" s="2895"/>
      <c r="J52" s="2770"/>
      <c r="K52" s="2454">
        <v>1</v>
      </c>
      <c r="L52" s="3486" t="s">
        <v>2512</v>
      </c>
      <c r="M52" s="3486"/>
      <c r="N52" s="2456">
        <f ca="1">D48</f>
        <v>33</v>
      </c>
      <c r="O52" s="2454" t="str">
        <f>E48</f>
        <v>(销售额-原购置价)×税（费）率</v>
      </c>
      <c r="P52" s="2457">
        <f>F48</f>
        <v>5.6000000000000001E-2</v>
      </c>
      <c r="Q52" s="1236"/>
    </row>
    <row r="53" spans="1:17" ht="12" customHeight="1">
      <c r="A53" s="2010" t="s">
        <v>1555</v>
      </c>
      <c r="B53" s="3418" t="s">
        <v>2590</v>
      </c>
      <c r="C53" s="3457"/>
      <c r="D53" s="1028">
        <f ca="1">ROUND(D45*'数据-取费表'!E29/(1+'数据-取费表'!F30),0)</f>
        <v>107</v>
      </c>
      <c r="E53" s="2020" t="s">
        <v>1553</v>
      </c>
      <c r="F53" s="2493">
        <f>'数据-取费表'!E29</f>
        <v>5.6000000000000001E-2</v>
      </c>
      <c r="G53" s="2494"/>
      <c r="H53" s="905"/>
      <c r="I53" s="2895"/>
      <c r="J53" s="2770"/>
      <c r="K53" s="2454">
        <v>2</v>
      </c>
      <c r="L53" s="3486" t="s">
        <v>2513</v>
      </c>
      <c r="M53" s="3486"/>
      <c r="N53" s="2456">
        <f t="shared" ref="N53:P54" ca="1" si="1">D55</f>
        <v>1</v>
      </c>
      <c r="O53" s="2454" t="str">
        <f t="shared" si="1"/>
        <v>销售额×税（费）率</v>
      </c>
      <c r="P53" s="2457">
        <f t="shared" si="1"/>
        <v>5.0000000000000001E-4</v>
      </c>
      <c r="Q53" s="1236"/>
    </row>
    <row r="54" spans="1:17" ht="12" customHeight="1">
      <c r="A54" s="2010" t="s">
        <v>1557</v>
      </c>
      <c r="B54" s="3418" t="s">
        <v>2591</v>
      </c>
      <c r="C54" s="3457"/>
      <c r="D54" s="1028">
        <f ca="1">C68</f>
        <v>33</v>
      </c>
      <c r="E54" s="264" t="s">
        <v>1558</v>
      </c>
      <c r="F54" s="2493">
        <f>'数据-取费表'!E29</f>
        <v>5.6000000000000001E-2</v>
      </c>
      <c r="G54" s="2494"/>
      <c r="H54" s="2896"/>
      <c r="I54" s="2895"/>
      <c r="J54" s="2770"/>
      <c r="K54" s="2454">
        <v>3</v>
      </c>
      <c r="L54" s="3486" t="s">
        <v>2514</v>
      </c>
      <c r="M54" s="3486"/>
      <c r="N54" s="2456">
        <f t="shared" ca="1" si="1"/>
        <v>164</v>
      </c>
      <c r="O54" s="2454" t="str">
        <f t="shared" si="1"/>
        <v>增值额×税（费）率</v>
      </c>
      <c r="P54" s="2458" t="str">
        <f t="shared" si="1"/>
        <v>——</v>
      </c>
      <c r="Q54" s="1236"/>
    </row>
    <row r="55" spans="1:17" ht="24" customHeight="1">
      <c r="A55" s="3416" t="s">
        <v>1560</v>
      </c>
      <c r="B55" s="3417"/>
      <c r="C55" s="3417"/>
      <c r="D55" s="12">
        <f ca="1">IF(H55="个人住宅",0,ROUND(D45*I55,0))</f>
        <v>1</v>
      </c>
      <c r="E55" s="2020" t="s">
        <v>1561</v>
      </c>
      <c r="F55" s="2493">
        <f>IF(H55="正常",I55,"免征")</f>
        <v>5.0000000000000001E-4</v>
      </c>
      <c r="G55" s="2494"/>
      <c r="H55" s="2485" t="s">
        <v>2636</v>
      </c>
      <c r="I55" s="74">
        <f>'数据-取费表'!E37</f>
        <v>5.0000000000000001E-4</v>
      </c>
      <c r="J55" s="2770"/>
      <c r="K55" s="2454" t="str">
        <f>IF(H59="非个人房产","",4)</f>
        <v/>
      </c>
      <c r="L55" s="3486" t="str">
        <f>IF(H59="非个人房产","——","个人所得税")</f>
        <v>——</v>
      </c>
      <c r="M55" s="3486"/>
      <c r="N55" s="2459" t="str">
        <f>D59</f>
        <v>——</v>
      </c>
      <c r="O55" s="2460" t="str">
        <f>E59</f>
        <v>——</v>
      </c>
      <c r="P55" s="2461" t="str">
        <f>F59</f>
        <v>——</v>
      </c>
      <c r="Q55" s="1236"/>
    </row>
    <row r="56" spans="1:17" ht="24.75">
      <c r="A56" s="3416" t="s">
        <v>1563</v>
      </c>
      <c r="B56" s="3417"/>
      <c r="C56" s="3417"/>
      <c r="D56" s="12">
        <f ca="1">IF(H56="个人住宅",D57,D58)</f>
        <v>164</v>
      </c>
      <c r="E56" s="2020" t="s">
        <v>1564</v>
      </c>
      <c r="F56" s="2493" t="str">
        <f>IF(H56="正常",F58,"免征")</f>
        <v>——</v>
      </c>
      <c r="G56" s="2495" t="s">
        <v>1565</v>
      </c>
      <c r="H56" s="2496" t="s">
        <v>2636</v>
      </c>
      <c r="I56" s="2897"/>
      <c r="J56" s="2770"/>
      <c r="K56" s="2454" t="str">
        <f>IF(项目基本情况!I6="上海银行",IF(K55="",4,K55+1),"")</f>
        <v/>
      </c>
      <c r="L56" s="3500" t="str">
        <f>IF(项目基本情况!I6="上海银行","其他处置费用","")</f>
        <v/>
      </c>
      <c r="M56" s="3501"/>
      <c r="N56" s="2456" t="str">
        <f>IF(项目基本情况!I6="上海银行",N69,"")</f>
        <v/>
      </c>
      <c r="O56" s="3500" t="str">
        <f>IF(项目基本情况!I6="上海银行","包含处置中涉及的律师、诉讼、拍卖、评估等费用","")</f>
        <v/>
      </c>
      <c r="P56" s="3512"/>
      <c r="Q56" s="1236"/>
    </row>
    <row r="57" spans="1:17" ht="12.75">
      <c r="A57" s="2010" t="s">
        <v>1540</v>
      </c>
      <c r="B57" s="3418" t="s">
        <v>1566</v>
      </c>
      <c r="C57" s="3457"/>
      <c r="D57" s="2486">
        <v>0</v>
      </c>
      <c r="E57" s="261" t="s">
        <v>1542</v>
      </c>
      <c r="F57" s="235"/>
      <c r="G57" s="2494"/>
      <c r="H57" s="2897"/>
      <c r="I57" s="2897"/>
      <c r="J57" s="2770"/>
      <c r="K57" s="3486">
        <f>IF(AND(K55="",K56=""),4,IF(项目基本情况!I6="上海银行",K56+1,K55+1))</f>
        <v>4</v>
      </c>
      <c r="L57" s="3486" t="s">
        <v>2515</v>
      </c>
      <c r="M57" s="2462" t="s">
        <v>2516</v>
      </c>
      <c r="N57" s="2463"/>
      <c r="O57" s="2464">
        <f ca="1">SUMIF(N52:N56,"&lt;9e307")</f>
        <v>198</v>
      </c>
      <c r="P57" s="2465"/>
      <c r="Q57" s="1234">
        <f ca="1">O57/N49</f>
        <v>9.8654708520179366E-2</v>
      </c>
    </row>
    <row r="58" spans="1:17" ht="24.75">
      <c r="A58" s="2010" t="s">
        <v>1551</v>
      </c>
      <c r="B58" s="3418" t="s">
        <v>1569</v>
      </c>
      <c r="C58" s="3456"/>
      <c r="D58" s="12">
        <f ca="1">IF(H58="转让取得",C81,C97)</f>
        <v>164</v>
      </c>
      <c r="E58" s="2020" t="s">
        <v>1564</v>
      </c>
      <c r="F58" s="235" t="s">
        <v>48</v>
      </c>
      <c r="G58" s="2494"/>
      <c r="H58" s="2496" t="s">
        <v>3069</v>
      </c>
      <c r="I58" s="2897"/>
      <c r="J58" s="2770"/>
      <c r="K58" s="3486"/>
      <c r="L58" s="3486"/>
      <c r="M58" s="2462" t="s">
        <v>2517</v>
      </c>
      <c r="N58" s="2466"/>
      <c r="O58" s="2467" t="str">
        <f ca="1">IF(H19="元",NUMBERSTRING(INT(O57),2)&amp;"元整",NUMBERSTRING(INT(O57*10000),2)&amp;"元整")</f>
        <v>壹佰玖拾捌万元整</v>
      </c>
      <c r="P58" s="2468"/>
      <c r="Q58" s="1236"/>
    </row>
    <row r="59" spans="1:17" ht="24.75" thickBot="1">
      <c r="A59" s="3440" t="s">
        <v>1572</v>
      </c>
      <c r="B59" s="3441"/>
      <c r="C59" s="344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0" t="s">
        <v>2570</v>
      </c>
      <c r="H59" s="2024" t="s">
        <v>2580</v>
      </c>
      <c r="I59" s="2799" t="s">
        <v>2581</v>
      </c>
      <c r="J59" s="2770"/>
      <c r="K59" s="3484">
        <f>K57+1</f>
        <v>5</v>
      </c>
      <c r="L59" s="3486" t="s">
        <v>2518</v>
      </c>
      <c r="M59" s="2454" t="s">
        <v>2516</v>
      </c>
      <c r="N59" s="2469"/>
      <c r="O59" s="2470">
        <f ca="1">N49-O57</f>
        <v>1809</v>
      </c>
      <c r="P59" s="2471"/>
      <c r="Q59" s="1236"/>
    </row>
    <row r="60" spans="1:17" ht="12" customHeight="1">
      <c r="A60" s="1385"/>
      <c r="B60" s="1389"/>
      <c r="C60" s="1389"/>
      <c r="D60" s="1389"/>
      <c r="E60" s="770"/>
      <c r="F60" s="2898"/>
      <c r="G60" s="2898"/>
      <c r="H60" s="2899"/>
      <c r="I60" s="31"/>
      <c r="K60" s="3485"/>
      <c r="L60" s="3486"/>
      <c r="M60" s="2462" t="s">
        <v>2517</v>
      </c>
      <c r="N60" s="2466"/>
      <c r="O60" s="2467" t="str">
        <f ca="1">IF(H19="元",NUMBERSTRING(INT(O59),2)&amp;"元整",NUMBERSTRING(INT(O59*10000),2)&amp;"元整")</f>
        <v>壹仟捌佰零玖万元整</v>
      </c>
      <c r="P60" s="2468"/>
      <c r="Q60" s="1236"/>
    </row>
    <row r="61" spans="1:17" ht="13.5" thickBot="1">
      <c r="A61" s="3466" t="s">
        <v>1574</v>
      </c>
      <c r="B61" s="3466"/>
      <c r="C61" s="3466"/>
      <c r="D61" s="3466"/>
      <c r="E61" s="3466"/>
      <c r="F61" s="2898"/>
      <c r="G61" s="2898"/>
      <c r="H61" s="2900"/>
      <c r="I61" s="31"/>
      <c r="K61" s="2454">
        <f>K59+1</f>
        <v>6</v>
      </c>
      <c r="L61" s="3486" t="s">
        <v>2519</v>
      </c>
      <c r="M61" s="3486"/>
      <c r="N61" s="2472"/>
      <c r="O61" s="2473">
        <f ca="1">IF(H19="元",ROUND(O59/项目基本情况!C12,0),ROUND(O59*10000/项目基本情况!C12,0))</f>
        <v>38976</v>
      </c>
      <c r="P61" s="2474"/>
      <c r="Q61" s="1236"/>
    </row>
    <row r="62" spans="1:17" ht="12.75">
      <c r="A62" s="3475" t="s">
        <v>1576</v>
      </c>
      <c r="B62" s="3476"/>
      <c r="C62" s="1535"/>
      <c r="D62" s="1535" t="s">
        <v>1577</v>
      </c>
      <c r="E62" s="45" t="s">
        <v>1578</v>
      </c>
      <c r="F62" s="2898"/>
      <c r="G62" s="2898"/>
      <c r="H62" s="2900"/>
      <c r="I62" s="31"/>
      <c r="K62" s="2475"/>
      <c r="L62" s="2475"/>
      <c r="M62" s="2475"/>
      <c r="N62" s="2475"/>
      <c r="O62" s="2475"/>
      <c r="P62" s="2475"/>
      <c r="Q62" s="1236"/>
    </row>
    <row r="63" spans="1:17" ht="12.75">
      <c r="A63" s="46">
        <v>1</v>
      </c>
      <c r="B63" s="47" t="s">
        <v>1579</v>
      </c>
      <c r="C63" s="2701">
        <f ca="1">ROUND((C64+C65)/(1+'数据-取费表'!F30),0)</f>
        <v>1911</v>
      </c>
      <c r="D63" s="47"/>
      <c r="E63" s="48"/>
      <c r="F63" s="2898"/>
      <c r="G63" s="2898"/>
      <c r="H63" s="2900"/>
      <c r="I63" s="31"/>
      <c r="K63" s="3502" t="s">
        <v>2520</v>
      </c>
      <c r="L63" s="2476" t="s">
        <v>2521</v>
      </c>
      <c r="M63" s="2476">
        <f ca="1">IF(N49&gt;10000,N49*0.5%,IF(AND(N49&gt;1000,N49&lt;=10000),N49*1%,IF(AND(N49&gt;100,N49&lt;=1000),N49*3%,IF(AND(N49&gt;10,N49&lt;=100),N49*5%,N49*8%))))</f>
        <v>20.07</v>
      </c>
      <c r="N63" s="2477">
        <f ca="1">ROUND(M63,1)</f>
        <v>20.100000000000001</v>
      </c>
      <c r="O63" s="2475"/>
      <c r="P63" s="2475"/>
      <c r="Q63" s="1236"/>
    </row>
    <row r="64" spans="1:17" ht="12.75">
      <c r="A64" s="49" t="s">
        <v>71</v>
      </c>
      <c r="B64" s="50" t="s">
        <v>1582</v>
      </c>
      <c r="C64" s="2702">
        <f ca="1">D45</f>
        <v>2007</v>
      </c>
      <c r="D64" s="50" t="s">
        <v>41</v>
      </c>
      <c r="E64" s="52"/>
      <c r="F64" s="2898"/>
      <c r="G64" s="2898"/>
      <c r="H64" s="2900"/>
      <c r="I64" s="31"/>
      <c r="K64" s="3502"/>
      <c r="L64" s="2476" t="s">
        <v>2522</v>
      </c>
      <c r="M64" s="2476">
        <f ca="1">IF(N49&gt;2000,N49*0.5%,IF(AND(N49&gt;1000,N49&lt;=2000),N49*0.6%,IF(AND(N49&gt;500,N49&lt;=1000),N49*0.7%,IF(AND(N49&gt;200,N49&lt;=500),N49*0.8%,IF(AND(N49&gt;100,N49&lt;=200),N49*0.9%,IF(AND(N49&gt;50,N49&lt;=100),N49*1%,IF(AND(N49&gt;20,N49&lt;=50),N49*1.5%,IF(AND(N49&gt;10,N49&lt;=20),N49*2%,IF(AND(N49&gt;1,N49&lt;=10),N49*2.5%)))))))))</f>
        <v>10.035</v>
      </c>
      <c r="N64" s="2477">
        <f t="shared" ref="N64:N65" ca="1" si="2">ROUND(M64,1)</f>
        <v>10</v>
      </c>
      <c r="O64" s="2475" t="s">
        <v>2523</v>
      </c>
      <c r="P64" s="2475"/>
      <c r="Q64" s="1236"/>
    </row>
    <row r="65" spans="1:36" ht="12.75">
      <c r="A65" s="49" t="s">
        <v>72</v>
      </c>
      <c r="B65" s="50" t="s">
        <v>1585</v>
      </c>
      <c r="C65" s="2703"/>
      <c r="D65" s="50"/>
      <c r="E65" s="52"/>
      <c r="F65" s="2898"/>
      <c r="G65" s="2898"/>
      <c r="H65" s="2900"/>
      <c r="I65" s="31"/>
      <c r="K65" s="3502"/>
      <c r="L65" s="2476" t="s">
        <v>2524</v>
      </c>
      <c r="M65" s="2476">
        <f ca="1">IF(N49&gt;1000,N49*0.1%,IF(AND(N49&gt;500,N49&lt;=1000),N49*0.5%,IF(AND(N49&gt;50,N49&lt;=500),N49*1%,IF(AND(N49&gt;1,N49&lt;=50),N49*1.5%))))</f>
        <v>2.0070000000000001</v>
      </c>
      <c r="N65" s="2477">
        <f t="shared" ca="1" si="2"/>
        <v>2</v>
      </c>
      <c r="O65" s="2475" t="s">
        <v>2523</v>
      </c>
      <c r="P65" s="2475"/>
      <c r="Q65" s="1236"/>
    </row>
    <row r="66" spans="1:36" ht="12.75">
      <c r="A66" s="53" t="s">
        <v>47</v>
      </c>
      <c r="B66" s="54" t="s">
        <v>1587</v>
      </c>
      <c r="C66" s="2704">
        <f>ROUND(清单!I3/10000,0)</f>
        <v>1315</v>
      </c>
      <c r="D66" s="54" t="s">
        <v>41</v>
      </c>
      <c r="E66" s="1244" t="s">
        <v>1588</v>
      </c>
      <c r="F66" s="2898"/>
      <c r="G66" s="2898"/>
      <c r="H66" s="2900"/>
      <c r="I66" s="31"/>
      <c r="K66" s="3502"/>
      <c r="L66" s="2476" t="s">
        <v>2525</v>
      </c>
      <c r="M66" s="2476">
        <f ca="1">N49*0.5%</f>
        <v>10.035</v>
      </c>
      <c r="N66" s="2477">
        <f ca="1">IF(M66&gt;0.5,0.5,ROUND(M66,0))</f>
        <v>0.5</v>
      </c>
      <c r="O66" s="2475" t="s">
        <v>2526</v>
      </c>
      <c r="P66" s="2475"/>
      <c r="Q66" s="1236"/>
    </row>
    <row r="67" spans="1:36" ht="12.75">
      <c r="A67" s="53" t="s">
        <v>42</v>
      </c>
      <c r="B67" s="54" t="s">
        <v>1591</v>
      </c>
      <c r="C67" s="2705">
        <f ca="1">C63-C66</f>
        <v>596</v>
      </c>
      <c r="D67" s="50" t="s">
        <v>41</v>
      </c>
      <c r="E67" s="52"/>
      <c r="F67" s="2898"/>
      <c r="G67" s="2898"/>
      <c r="H67" s="2900"/>
      <c r="I67" s="31"/>
      <c r="K67" s="3502"/>
      <c r="L67" s="2476" t="s">
        <v>2527</v>
      </c>
      <c r="M67" s="2476">
        <f ca="1">IF(N49&gt;=10000,(8.25+(N49-10000)*0.01%),IF(AND(N49&gt;=8000,N49&lt;10000),(7.85+(N49-8000)*0.02%),IF(AND(N49&gt;=5000,N49&lt;8000),(6.65+(N49-5000)*0.04%),IF(AND(N49&gt;=2000,N49&lt;5000),(4.25+(PN49-2000)*0.08%),IF(AND(N49&gt;=1000,N49&lt;2000),(2.75+(N49-1000)*0.15%),IF(AND(N49&gt;=100,N49&lt;1000),(0.5+(N49-100)*0.25%),IF(AND(N49&gt;0,N49&lt;100),N49*0.5%)))))))</f>
        <v>2.65</v>
      </c>
      <c r="N67" s="2477">
        <f ca="1">ROUND(M67*0.9,1)</f>
        <v>2.4</v>
      </c>
      <c r="O67" s="2475"/>
      <c r="P67" s="2475"/>
      <c r="Q67" s="1236"/>
    </row>
    <row r="68" spans="1:36" ht="13.5" thickBot="1">
      <c r="A68" s="55" t="s">
        <v>46</v>
      </c>
      <c r="B68" s="56" t="s">
        <v>1593</v>
      </c>
      <c r="C68" s="2706">
        <f ca="1">IF(C67&lt;=0,0,ROUND(C67*D68,0))</f>
        <v>33</v>
      </c>
      <c r="D68" s="2170">
        <f>'数据-取费表'!E29</f>
        <v>5.6000000000000001E-2</v>
      </c>
      <c r="E68" s="57"/>
      <c r="F68" s="2898"/>
      <c r="G68" s="2898"/>
      <c r="H68" s="2900"/>
      <c r="I68" s="31"/>
      <c r="K68" s="3502"/>
      <c r="L68" s="2476" t="s">
        <v>2528</v>
      </c>
      <c r="M68" s="2476">
        <f ca="1">IF(N49&gt;10000,N49*0.5%,IF(AND(N49&gt;5000,N49&lt;=10000),N49*1%,IF(AND(N49&gt;1000,N49&lt;=5000),N49*2%,IF(AND(N49&gt;200,N49&lt;=1000),N49*3%,N49*5%))))</f>
        <v>40.14</v>
      </c>
      <c r="N68" s="2477">
        <f ca="1">ROUND(M68,1)</f>
        <v>40.1</v>
      </c>
      <c r="O68" s="2475"/>
      <c r="P68" s="2475"/>
      <c r="Q68" s="1236"/>
    </row>
    <row r="69" spans="1:36" s="1393" customFormat="1" ht="7.5" customHeight="1">
      <c r="A69" s="1405"/>
      <c r="B69" s="1406"/>
      <c r="C69" s="1407"/>
      <c r="D69" s="1408"/>
      <c r="E69" s="1409"/>
      <c r="F69" s="770"/>
      <c r="G69" s="770"/>
      <c r="H69" s="1398"/>
      <c r="I69" s="1389"/>
      <c r="J69" s="2758"/>
      <c r="K69" s="3502"/>
      <c r="L69" s="2476" t="s">
        <v>54</v>
      </c>
      <c r="M69" s="2476"/>
      <c r="N69" s="2477">
        <f ca="1">ROUND(SUM(N63:N68),0)</f>
        <v>75</v>
      </c>
      <c r="O69" s="2478">
        <f ca="1">N69/N49</f>
        <v>3.7369207772795218E-2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8" t="s">
        <v>1596</v>
      </c>
      <c r="B70" s="3479"/>
      <c r="C70" s="3479"/>
      <c r="D70" s="3479"/>
      <c r="E70" s="3479"/>
      <c r="F70" s="3479"/>
      <c r="G70" s="3479"/>
      <c r="H70" s="3479"/>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5" t="s">
        <v>1576</v>
      </c>
      <c r="B71" s="3476"/>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1911</v>
      </c>
      <c r="D72" s="50" t="s">
        <v>41</v>
      </c>
      <c r="E72" s="12" t="s">
        <v>1598</v>
      </c>
      <c r="F72" s="2017"/>
      <c r="G72" s="2017"/>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1366</v>
      </c>
      <c r="D73" s="50" t="s">
        <v>41</v>
      </c>
      <c r="E73" s="2016"/>
      <c r="F73" s="2017"/>
      <c r="G73" s="2017"/>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1355</v>
      </c>
      <c r="D74" s="50" t="s">
        <v>41</v>
      </c>
      <c r="E74" s="2016"/>
      <c r="F74" s="2017"/>
      <c r="G74" s="2017"/>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f>C66</f>
        <v>1315</v>
      </c>
      <c r="D75" s="50" t="s">
        <v>41</v>
      </c>
      <c r="E75" s="64" t="s">
        <v>1602</v>
      </c>
      <c r="F75" s="2709" t="s">
        <v>3070</v>
      </c>
      <c r="G75" s="64" t="s">
        <v>1604</v>
      </c>
      <c r="H75" s="2710">
        <v>9</v>
      </c>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18" t="s">
        <v>1606</v>
      </c>
      <c r="F76" s="3456"/>
      <c r="G76" s="3456"/>
      <c r="H76" s="3470"/>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40</v>
      </c>
      <c r="D77" s="2712">
        <f>'数据-取费表'!E36+'数据-取费表'!E37</f>
        <v>3.0499999999999999E-2</v>
      </c>
      <c r="E77" s="12" t="s">
        <v>1608</v>
      </c>
      <c r="F77" s="2023"/>
      <c r="G77" s="1414" t="s">
        <v>3071</v>
      </c>
      <c r="H77" s="2018"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11</v>
      </c>
      <c r="D78" s="2714">
        <f>'数据-取费表'!E31</f>
        <v>6.000000000000001E-3</v>
      </c>
      <c r="E78" s="3450" t="s">
        <v>1611</v>
      </c>
      <c r="F78" s="3451"/>
      <c r="G78" s="3451"/>
      <c r="H78" s="3452"/>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545</v>
      </c>
      <c r="D79" s="50" t="s">
        <v>41</v>
      </c>
      <c r="E79" s="2016"/>
      <c r="F79" s="2017"/>
      <c r="G79" s="2017"/>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0.39897510980966328</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17"/>
      <c r="G80" s="2017"/>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164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8" t="s">
        <v>1615</v>
      </c>
      <c r="B83" s="3479"/>
      <c r="C83" s="3479"/>
      <c r="D83" s="3479"/>
      <c r="E83" s="3479"/>
      <c r="F83" s="3479"/>
      <c r="G83" s="3479"/>
      <c r="H83" s="3479"/>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5" t="s">
        <v>1576</v>
      </c>
      <c r="B84" s="3476"/>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1911</v>
      </c>
      <c r="D85" s="50" t="s">
        <v>41</v>
      </c>
      <c r="E85" s="2016" t="s">
        <v>1598</v>
      </c>
      <c r="F85" s="2017"/>
      <c r="G85" s="2017"/>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11</v>
      </c>
      <c r="D86" s="2717"/>
      <c r="E86" s="2016"/>
      <c r="F86" s="2017"/>
      <c r="G86" s="2017"/>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3"/>
      <c r="F87" s="2014"/>
      <c r="G87" s="2014"/>
      <c r="H87" s="2015"/>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4"/>
      <c r="G88" s="75" t="s">
        <v>1619</v>
      </c>
      <c r="H88" s="1416"/>
      <c r="I88" s="9"/>
      <c r="J88" s="2773"/>
      <c r="K88" s="2889"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4"/>
      <c r="G89" s="2014"/>
      <c r="H89" s="2015"/>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4"/>
      <c r="G90" s="3511" t="s">
        <v>2491</v>
      </c>
      <c r="H90" s="3511"/>
      <c r="I90" s="9"/>
      <c r="J90" s="2773"/>
      <c r="K90" s="2889"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0" t="s">
        <v>1623</v>
      </c>
      <c r="F91" s="3451"/>
      <c r="G91" s="3451"/>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0" t="s">
        <v>1626</v>
      </c>
      <c r="F92" s="3451"/>
      <c r="G92" s="3451"/>
      <c r="H92" s="3452"/>
      <c r="I92" s="9"/>
      <c r="J92" s="2773"/>
      <c r="K92" s="2890"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11</v>
      </c>
      <c r="D93" s="2714">
        <f>'数据-取费表'!E31</f>
        <v>6.000000000000001E-3</v>
      </c>
      <c r="E93" s="3450" t="s">
        <v>1611</v>
      </c>
      <c r="F93" s="3451"/>
      <c r="G93" s="3451"/>
      <c r="H93" s="3452"/>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0" t="s">
        <v>1628</v>
      </c>
      <c r="F94" s="3451"/>
      <c r="G94" s="3451"/>
      <c r="H94" s="3452"/>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1900</v>
      </c>
      <c r="D95" s="50" t="s">
        <v>41</v>
      </c>
      <c r="E95" s="2016"/>
      <c r="F95" s="2017"/>
      <c r="G95" s="2017"/>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172.72727272727272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1136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7" t="s">
        <v>1630</v>
      </c>
      <c r="B99" s="3498"/>
      <c r="C99" s="3498"/>
      <c r="D99" s="3499"/>
      <c r="E99" s="1389"/>
      <c r="F99" s="3506" t="s">
        <v>1631</v>
      </c>
      <c r="G99" s="3507"/>
      <c r="H99" s="3507"/>
      <c r="I99" s="3508"/>
      <c r="J99" s="2776"/>
    </row>
    <row r="100" spans="1:36" ht="15">
      <c r="A100" s="3509" t="s">
        <v>1632</v>
      </c>
      <c r="B100" s="3510"/>
      <c r="C100" s="1235" t="str">
        <f>C4</f>
        <v>成本法</v>
      </c>
      <c r="D100" s="2724" t="str">
        <f>D4</f>
        <v>收益法</v>
      </c>
      <c r="E100" s="1389"/>
      <c r="F100" s="3421" t="s">
        <v>2534</v>
      </c>
      <c r="G100" s="3422"/>
      <c r="H100" s="3421" t="s">
        <v>2535</v>
      </c>
      <c r="I100" s="3420"/>
      <c r="J100" s="2777"/>
    </row>
    <row r="101" spans="1:36" ht="12.75">
      <c r="A101" s="3489" t="s">
        <v>2567</v>
      </c>
      <c r="B101" s="2235" t="str">
        <f>IF(H19="元","总价（元）","总价（万元）")</f>
        <v>总价（万元）</v>
      </c>
      <c r="C101" s="1235">
        <f ca="1">C19</f>
        <v>2237</v>
      </c>
      <c r="D101" s="2724">
        <f ca="1">D19</f>
        <v>1469</v>
      </c>
      <c r="E101" s="1389"/>
      <c r="F101" s="3421" t="str">
        <f>项目基本情况!I1</f>
        <v>北京市房地产</v>
      </c>
      <c r="G101" s="3422"/>
      <c r="H101" s="3419">
        <f>项目基本情况!C12</f>
        <v>464.13</v>
      </c>
      <c r="I101" s="3420"/>
      <c r="J101" s="2777"/>
    </row>
    <row r="102" spans="1:36" ht="12.75">
      <c r="A102" s="3489"/>
      <c r="B102" s="2235" t="s">
        <v>2568</v>
      </c>
      <c r="C102" s="2725">
        <f ca="1">C20</f>
        <v>48207</v>
      </c>
      <c r="D102" s="2726">
        <f ca="1">D20</f>
        <v>31652</v>
      </c>
      <c r="E102" s="1389"/>
      <c r="F102" s="3431" t="s">
        <v>2564</v>
      </c>
      <c r="G102" s="3432"/>
      <c r="H102" s="2734" t="str">
        <f>C106</f>
        <v>总价（万元）</v>
      </c>
      <c r="I102" s="2735">
        <f ca="1">H121</f>
        <v>2007</v>
      </c>
      <c r="J102" s="2777"/>
    </row>
    <row r="103" spans="1:36" ht="12.75">
      <c r="A103" s="3489" t="s">
        <v>2569</v>
      </c>
      <c r="B103" s="2173" t="str">
        <f>B101</f>
        <v>总价（万元）</v>
      </c>
      <c r="C103" s="2729">
        <f ca="1">H121</f>
        <v>2007</v>
      </c>
      <c r="D103" s="2727"/>
      <c r="E103" s="1389"/>
      <c r="F103" s="3431"/>
      <c r="G103" s="3432"/>
      <c r="H103" s="2734" t="s">
        <v>2537</v>
      </c>
      <c r="I103" s="52">
        <f ca="1">I121</f>
        <v>43241</v>
      </c>
      <c r="J103" s="2761"/>
    </row>
    <row r="104" spans="1:36" ht="13.5" thickBot="1">
      <c r="A104" s="3490"/>
      <c r="B104" s="2731" t="s">
        <v>2568</v>
      </c>
      <c r="C104" s="2732">
        <f ca="1">I121</f>
        <v>43241</v>
      </c>
      <c r="D104" s="2733"/>
      <c r="E104" s="1389"/>
      <c r="F104" s="3431"/>
      <c r="G104" s="3432"/>
      <c r="H104" s="3491"/>
      <c r="I104" s="3492"/>
      <c r="J104" s="2778"/>
    </row>
    <row r="105" spans="1:36" ht="15">
      <c r="A105" s="3497" t="s">
        <v>1633</v>
      </c>
      <c r="B105" s="3498"/>
      <c r="C105" s="3498"/>
      <c r="D105" s="3499"/>
      <c r="E105" s="1389"/>
      <c r="F105" s="3495" t="s">
        <v>2538</v>
      </c>
      <c r="G105" s="3496"/>
      <c r="H105" s="2736" t="str">
        <f>C108</f>
        <v>总额（万元）</v>
      </c>
      <c r="I105" s="2735">
        <f>SUMIF(I106:I108,"&lt;9E307")</f>
        <v>0</v>
      </c>
      <c r="J105" s="2777"/>
    </row>
    <row r="106" spans="1:36" ht="14.25">
      <c r="A106" s="3431" t="s">
        <v>2561</v>
      </c>
      <c r="B106" s="3432"/>
      <c r="C106" s="2734" t="str">
        <f>B101</f>
        <v>总价（万元）</v>
      </c>
      <c r="D106" s="2735">
        <f ca="1">H121</f>
        <v>2007</v>
      </c>
      <c r="E106" s="1389"/>
      <c r="F106" s="3433" t="s">
        <v>2539</v>
      </c>
      <c r="G106" s="3434"/>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1"/>
      <c r="B107" s="3432"/>
      <c r="C107" s="2734" t="s">
        <v>2562</v>
      </c>
      <c r="D107" s="52">
        <f ca="1">I121</f>
        <v>43241</v>
      </c>
      <c r="E107" s="1389"/>
      <c r="F107" s="3433" t="s">
        <v>2540</v>
      </c>
      <c r="G107" s="3434"/>
      <c r="H107" s="2736" t="str">
        <f>C110</f>
        <v>总额（万元）</v>
      </c>
      <c r="I107" s="52">
        <f>C37</f>
        <v>0</v>
      </c>
      <c r="J107" s="2761"/>
    </row>
    <row r="108" spans="1:36" ht="12.75">
      <c r="A108" s="3438" t="s">
        <v>2538</v>
      </c>
      <c r="B108" s="3439"/>
      <c r="C108" s="2736" t="str">
        <f>IF(H19="元","总额（元）","总额（万元）")</f>
        <v>总额（万元）</v>
      </c>
      <c r="D108" s="2735">
        <f>IF(D36="正常操作",I106+I107+I108,I107+I108)</f>
        <v>0</v>
      </c>
      <c r="E108" s="1389"/>
      <c r="F108" s="3433" t="s">
        <v>2565</v>
      </c>
      <c r="G108" s="3434"/>
      <c r="H108" s="2736" t="str">
        <f>C111</f>
        <v>总额（万元）</v>
      </c>
      <c r="I108" s="52">
        <f>C38</f>
        <v>0</v>
      </c>
      <c r="J108" s="2761"/>
    </row>
    <row r="109" spans="1:36" ht="12.75">
      <c r="A109" s="3433" t="s">
        <v>2539</v>
      </c>
      <c r="B109" s="3434"/>
      <c r="C109" s="2736" t="str">
        <f>C108</f>
        <v>总额（万元）</v>
      </c>
      <c r="D109" s="52">
        <f>IF(D36="同一抵押权人同一抵押物续贷",C36&amp;"（未扣减，详见特别提示）",C36)</f>
        <v>0</v>
      </c>
      <c r="E109" s="1389"/>
      <c r="F109" s="3431"/>
      <c r="G109" s="3432"/>
      <c r="H109" s="3493"/>
      <c r="I109" s="3494"/>
      <c r="J109" s="2779"/>
    </row>
    <row r="110" spans="1:36" ht="28.5" customHeight="1">
      <c r="A110" s="3433" t="s">
        <v>2563</v>
      </c>
      <c r="B110" s="3434"/>
      <c r="C110" s="2736" t="str">
        <f>C108</f>
        <v>总额（万元）</v>
      </c>
      <c r="D110" s="52">
        <f>C37</f>
        <v>0</v>
      </c>
      <c r="E110" s="1389"/>
      <c r="F110" s="3423" t="str">
        <f>IF(项目基本情况!F5="已注销","——","3.房地产抵押价值")</f>
        <v>3.房地产抵押价值</v>
      </c>
      <c r="G110" s="3424"/>
      <c r="H110" s="2722" t="str">
        <f>C112</f>
        <v>总价（万元）</v>
      </c>
      <c r="I110" s="2735">
        <f ca="1">IF(F110="——","——",I102-I105)</f>
        <v>2007</v>
      </c>
      <c r="J110" s="2777"/>
    </row>
    <row r="111" spans="1:36" ht="12.75">
      <c r="A111" s="3433" t="s">
        <v>2542</v>
      </c>
      <c r="B111" s="3434"/>
      <c r="C111" s="2736" t="str">
        <f>C108</f>
        <v>总额（万元）</v>
      </c>
      <c r="D111" s="52">
        <f>C38</f>
        <v>0</v>
      </c>
      <c r="E111" s="1389"/>
      <c r="F111" s="3522"/>
      <c r="G111" s="3523"/>
      <c r="H111" s="2734" t="s">
        <v>2537</v>
      </c>
      <c r="I111" s="2738">
        <f ca="1">D113</f>
        <v>43241</v>
      </c>
      <c r="J111" s="2780"/>
    </row>
    <row r="112" spans="1:36" ht="26.25" customHeight="1">
      <c r="A112" s="3431" t="str">
        <f>IF(项目基本情况!F5="已注销","——","3.房地产抵押价值")</f>
        <v>3.房地产抵押价值</v>
      </c>
      <c r="B112" s="3432"/>
      <c r="C112" s="2734" t="str">
        <f>B101</f>
        <v>总价（万元）</v>
      </c>
      <c r="D112" s="2735">
        <f ca="1">IF(A112="——","——",D106-D108)</f>
        <v>2007</v>
      </c>
      <c r="E112" s="1389"/>
      <c r="F112" s="3423" t="str">
        <f>IF(项目基本情况!F5="已注销及未注销","4.抵押担保权已注销时的房地产抵押价值",IF(项目基本情况!F5="已注销","3.抵押担保权已注销时的房地产抵押价值","——"))</f>
        <v>——</v>
      </c>
      <c r="G112" s="3424"/>
      <c r="H112" s="2722" t="str">
        <f>C114</f>
        <v>总价（万元）</v>
      </c>
      <c r="I112" s="2735" t="str">
        <f>IF(F112="——","——",I102-I107-I108)</f>
        <v>——</v>
      </c>
      <c r="J112" s="2777"/>
    </row>
    <row r="113" spans="1:16" ht="12.75">
      <c r="A113" s="3431"/>
      <c r="B113" s="3432"/>
      <c r="C113" s="2734" t="s">
        <v>2530</v>
      </c>
      <c r="D113" s="52">
        <f ca="1">ROUND(IF(D112=D106,D107,IF(H19="元",D112/项目基本情况!C12,D112*10000/项目基本情况!C12)),0)</f>
        <v>43241</v>
      </c>
      <c r="E113" s="1389"/>
      <c r="F113" s="3522"/>
      <c r="G113" s="3523"/>
      <c r="H113" s="2734" t="s">
        <v>2566</v>
      </c>
      <c r="I113" s="52" t="str">
        <f>D115</f>
        <v>——</v>
      </c>
      <c r="J113" s="2761"/>
    </row>
    <row r="114" spans="1:16" ht="12.75">
      <c r="A114" s="3431" t="str">
        <f>IF(项目基本情况!F5="已注销及未注销","4.抵押担保权已注销时的房地产抵押价值",IF(项目基本情况!F5="已注销","3.抵押担保权已注销时的房地产抵押价值","——"))</f>
        <v>——</v>
      </c>
      <c r="B114" s="3432"/>
      <c r="C114" s="2734" t="str">
        <f>B101</f>
        <v>总价（万元）</v>
      </c>
      <c r="D114" s="2735" t="str">
        <f>IF(A114="——","——",D106-D110-D111)</f>
        <v>——</v>
      </c>
      <c r="E114" s="1389"/>
      <c r="F114" s="3423" t="str">
        <f>IF(项目基本情况!G5="抵押净值",IF(OR(项目基本情况!F5="已注销",项目基本情况!F5="房地产抵押价值"),"4.抵押净值","5.抵押净值"),"——")</f>
        <v>4.抵押净值</v>
      </c>
      <c r="G114" s="3424"/>
      <c r="H114" s="2734" t="str">
        <f>C116</f>
        <v>总价（万元）</v>
      </c>
      <c r="I114" s="2735">
        <f ca="1">IF(F114="——","——",O59)</f>
        <v>1809</v>
      </c>
      <c r="J114" s="2777"/>
    </row>
    <row r="115" spans="1:16" ht="13.5" thickBot="1">
      <c r="A115" s="3431"/>
      <c r="B115" s="3432"/>
      <c r="C115" s="2734" t="s">
        <v>2530</v>
      </c>
      <c r="D115" s="52" t="str">
        <f>IF(A114="——","——",ROUND(IF(D114=D106,D107,IF(H19="元",D114/项目基本情况!C12,D114*10000/项目基本情况!C12)),0))</f>
        <v>——</v>
      </c>
      <c r="E115" s="1389"/>
      <c r="F115" s="3425"/>
      <c r="G115" s="3426"/>
      <c r="H115" s="2739" t="s">
        <v>2530</v>
      </c>
      <c r="I115" s="2723">
        <f ca="1">D117</f>
        <v>38976</v>
      </c>
      <c r="J115" s="2761"/>
    </row>
    <row r="116" spans="1:16" ht="15.75">
      <c r="A116" s="3431" t="str">
        <f>IF(项目基本情况!G5="抵押净值",IF(OR(项目基本情况!F5="已注销",项目基本情况!F5="房地产抵押价值"),"4.抵押净值","5.抵押净值"),"——")</f>
        <v>4.抵押净值</v>
      </c>
      <c r="B116" s="3432"/>
      <c r="C116" s="2734" t="str">
        <f>B101</f>
        <v>总价（万元）</v>
      </c>
      <c r="D116" s="2735">
        <f ca="1">IF(A116="——","——",O59)</f>
        <v>1809</v>
      </c>
      <c r="E116" s="1389"/>
      <c r="F116" s="3517"/>
      <c r="G116" s="3517"/>
      <c r="H116" s="3481"/>
      <c r="I116" s="3481"/>
      <c r="J116" s="2781"/>
      <c r="O116" s="32"/>
      <c r="P116" s="32"/>
    </row>
    <row r="117" spans="1:16" ht="13.5" thickBot="1">
      <c r="A117" s="3436"/>
      <c r="B117" s="3437"/>
      <c r="C117" s="2739" t="s">
        <v>2530</v>
      </c>
      <c r="D117" s="2723">
        <f ca="1">IF(D116=D112,D113,IF(A116="——","——",O61))</f>
        <v>38976</v>
      </c>
      <c r="E117" s="1389"/>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82"/>
      <c r="O117" s="32"/>
      <c r="P117" s="32"/>
    </row>
    <row r="118" spans="1:16" ht="15">
      <c r="A118" s="3482" t="s">
        <v>1634</v>
      </c>
      <c r="B118" s="3483"/>
      <c r="C118" s="3483"/>
      <c r="D118" s="3483"/>
      <c r="E118" s="3483"/>
      <c r="F118" s="3483"/>
      <c r="G118" s="3483"/>
      <c r="H118" s="3483"/>
      <c r="I118" s="3483"/>
      <c r="J118" s="2783"/>
    </row>
    <row r="119" spans="1:16" ht="12.75">
      <c r="A119" s="3416" t="s">
        <v>2548</v>
      </c>
      <c r="B119" s="3442" t="s">
        <v>2558</v>
      </c>
      <c r="C119" s="3442" t="s">
        <v>2559</v>
      </c>
      <c r="D119" s="3504" t="s">
        <v>2550</v>
      </c>
      <c r="E119" s="3505"/>
      <c r="F119" s="3417" t="s">
        <v>2560</v>
      </c>
      <c r="G119" s="3417"/>
      <c r="H119" s="3417" t="s">
        <v>2551</v>
      </c>
      <c r="I119" s="3503"/>
      <c r="J119" s="2761"/>
    </row>
    <row r="120" spans="1:16" ht="12.75">
      <c r="A120" s="3416"/>
      <c r="B120" s="3443"/>
      <c r="C120" s="3443"/>
      <c r="D120" s="2020" t="s">
        <v>2552</v>
      </c>
      <c r="E120" s="2020" t="s">
        <v>2557</v>
      </c>
      <c r="F120" s="2020" t="s">
        <v>2552</v>
      </c>
      <c r="G120" s="2020" t="s">
        <v>2553</v>
      </c>
      <c r="H120" s="2020" t="s">
        <v>2552</v>
      </c>
      <c r="I120" s="52" t="s">
        <v>2553</v>
      </c>
      <c r="J120" s="2761"/>
    </row>
    <row r="121" spans="1:16" ht="12.75">
      <c r="A121" s="2010" t="str">
        <f>项目基本情况!I1</f>
        <v>北京市房地产</v>
      </c>
      <c r="B121" s="2020">
        <f>项目基本情况!C12</f>
        <v>464.13</v>
      </c>
      <c r="C121" s="2020">
        <f>项目基本情况!C13</f>
        <v>0</v>
      </c>
      <c r="D121" s="2020">
        <f ca="1">ROUND(IF(B32="总价",C34,IF('数据-取费表'!B3="万元",E121*B121/10000,E121*B121)),0)</f>
        <v>1786</v>
      </c>
      <c r="E121" s="2020">
        <f ca="1">ROUND(IF(B32="楼面单价",C34,IF(H19="元",D121/B121,D121*10000/B121)),0)</f>
        <v>38484</v>
      </c>
      <c r="F121" s="2020">
        <f ca="1">ROUND(IF(B32="总价",C35,IF('数据-取费表'!B3="万元",G121*B121/10000,G121*B121)),0)</f>
        <v>221</v>
      </c>
      <c r="G121" s="2020">
        <f ca="1">ROUND(IF(B32="楼面单价",C35,IF(H19="元",F121/B121,F121*10000/B121)),0)</f>
        <v>4757</v>
      </c>
      <c r="H121" s="2020">
        <f ca="1">ROUND(IF(B32="总价",C32,IF('数据-取费表'!B3="万元",I121*B121/10000,I121*B121)),0)</f>
        <v>2007</v>
      </c>
      <c r="I121" s="52">
        <f ca="1">ROUND(IF(B32="楼面单价",C32,IF(H19="元",H121/B121,H121*10000/B121)),0)</f>
        <v>43241</v>
      </c>
      <c r="J121" s="2761"/>
    </row>
    <row r="122" spans="1:16" ht="12.75">
      <c r="A122" s="3416" t="s">
        <v>2554</v>
      </c>
      <c r="B122" s="3417"/>
      <c r="C122" s="3417"/>
      <c r="D122" s="3444" t="str">
        <f ca="1">IF(H19="元",NUMBERSTRING(INT(D121),2)&amp;"元整",NUMBERSTRING(INT(D121*10000),2)&amp;"元整")</f>
        <v>壹仟柒佰捌拾陆万元整</v>
      </c>
      <c r="E122" s="3487"/>
      <c r="F122" s="3444" t="str">
        <f ca="1">IF(H19="元",NUMBERSTRING(INT(F121),2)&amp;"元整",NUMBERSTRING(INT(F121*10000),2)&amp;"元整")</f>
        <v>贰佰贰拾壹万元整</v>
      </c>
      <c r="G122" s="3487"/>
      <c r="H122" s="3444" t="str">
        <f ca="1">IF(H19="元",NUMBERSTRING(INT(H121),2)&amp;"元整",NUMBERSTRING(INT(H121*10000),2)&amp;"元整")</f>
        <v>贰仟零柒万元整</v>
      </c>
      <c r="I122" s="3445"/>
      <c r="J122" s="2784"/>
    </row>
    <row r="123" spans="1:16" ht="12.75">
      <c r="A123" s="3421" t="str">
        <f>IF(项目基本情况!D5="房地产市场价值","——",MID(A108,3,LEN(A108)-2))</f>
        <v>估价师所知悉的法定优先受偿款</v>
      </c>
      <c r="B123" s="3427"/>
      <c r="C123" s="3422"/>
      <c r="D123" s="3419">
        <f>I105</f>
        <v>0</v>
      </c>
      <c r="E123" s="3427"/>
      <c r="F123" s="3427"/>
      <c r="G123" s="3427"/>
      <c r="H123" s="3427"/>
      <c r="I123" s="3420"/>
      <c r="J123" s="2777"/>
    </row>
    <row r="124" spans="1:16" ht="12.75">
      <c r="A124" s="3488" t="s">
        <v>2554</v>
      </c>
      <c r="B124" s="3456"/>
      <c r="C124" s="3457"/>
      <c r="D124" s="3428">
        <f>H109</f>
        <v>0</v>
      </c>
      <c r="E124" s="3429"/>
      <c r="F124" s="3429"/>
      <c r="G124" s="3429"/>
      <c r="H124" s="3429"/>
      <c r="I124" s="3430"/>
      <c r="J124" s="2785"/>
    </row>
    <row r="125" spans="1:16" ht="12.75">
      <c r="A125" s="3431" t="str">
        <f>IF(项目基本情况!D5="房地产市场价值","——",MID(A112,3,LEN(A112)-2))</f>
        <v>房地产抵押价值</v>
      </c>
      <c r="B125" s="3432"/>
      <c r="C125" s="3432"/>
      <c r="D125" s="3419">
        <f ca="1">I110</f>
        <v>2007</v>
      </c>
      <c r="E125" s="3427"/>
      <c r="F125" s="3427"/>
      <c r="G125" s="3427"/>
      <c r="H125" s="3427"/>
      <c r="I125" s="3420"/>
      <c r="J125" s="2777"/>
    </row>
    <row r="126" spans="1:16" ht="12.75">
      <c r="A126" s="3416" t="s">
        <v>2554</v>
      </c>
      <c r="B126" s="3417"/>
      <c r="C126" s="3417"/>
      <c r="D126" s="3428">
        <f ca="1">I111</f>
        <v>43241</v>
      </c>
      <c r="E126" s="3429"/>
      <c r="F126" s="3429"/>
      <c r="G126" s="3429"/>
      <c r="H126" s="3429"/>
      <c r="I126" s="3430"/>
      <c r="J126" s="2785"/>
    </row>
    <row r="127" spans="1:16" ht="13.5" thickBot="1">
      <c r="A127" s="3431" t="str">
        <f>IF(项目基本情况!D5="房地产市场价值","——",MID(A114,3,LEN(A114)-2))</f>
        <v/>
      </c>
      <c r="B127" s="3432"/>
      <c r="C127" s="3432"/>
      <c r="D127" s="3464" t="str">
        <f>I112</f>
        <v>——</v>
      </c>
      <c r="E127" s="3465"/>
      <c r="F127" s="3465"/>
      <c r="G127" s="3465"/>
      <c r="H127" s="3465"/>
      <c r="I127" s="3516"/>
      <c r="J127" s="2777"/>
    </row>
    <row r="128" spans="1:16" ht="14.25" thickTop="1" thickBot="1">
      <c r="A128" s="3416" t="s">
        <v>2554</v>
      </c>
      <c r="B128" s="3417"/>
      <c r="C128" s="3418"/>
      <c r="D128" s="3480" t="str">
        <f>I113</f>
        <v>——</v>
      </c>
      <c r="E128" s="3480"/>
      <c r="F128" s="3480"/>
      <c r="G128" s="3480"/>
      <c r="H128" s="3480"/>
      <c r="I128" s="3480"/>
      <c r="J128" s="2785"/>
    </row>
    <row r="129" spans="1:10" ht="14.25" thickTop="1" thickBot="1">
      <c r="A129" s="3431" t="str">
        <f>IF(项目基本情况!D5="房地产市场价值","——",MID(F114,3,LEN(F114)-2))</f>
        <v>抵押净值</v>
      </c>
      <c r="B129" s="3432"/>
      <c r="C129" s="3419"/>
      <c r="D129" s="3435">
        <f ca="1">I114</f>
        <v>1809</v>
      </c>
      <c r="E129" s="3435"/>
      <c r="F129" s="3435"/>
      <c r="G129" s="3435"/>
      <c r="H129" s="3435"/>
      <c r="I129" s="3435"/>
      <c r="J129" s="2777"/>
    </row>
    <row r="130" spans="1:10" ht="14.25" thickTop="1" thickBot="1">
      <c r="A130" s="3440" t="s">
        <v>2554</v>
      </c>
      <c r="B130" s="3441"/>
      <c r="C130" s="3441"/>
      <c r="D130" s="3446">
        <f>H116</f>
        <v>0</v>
      </c>
      <c r="E130" s="3447"/>
      <c r="F130" s="3447"/>
      <c r="G130" s="3447"/>
      <c r="H130" s="3447"/>
      <c r="I130" s="3448"/>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0"/>
    </row>
    <row r="3" spans="1:15" ht="12.75">
      <c r="A3" s="3472" t="s">
        <v>1471</v>
      </c>
      <c r="B3" s="3473"/>
      <c r="C3" s="3473"/>
      <c r="D3" s="3473"/>
      <c r="E3" s="3473"/>
      <c r="F3" s="3473"/>
      <c r="G3" s="3473"/>
      <c r="H3" s="3473"/>
      <c r="I3" s="3473"/>
      <c r="J3" s="2760"/>
    </row>
    <row r="4" spans="1:15" ht="14.25">
      <c r="A4" s="2628" t="s">
        <v>1472</v>
      </c>
      <c r="B4" s="2628" t="s">
        <v>1473</v>
      </c>
      <c r="C4" s="2629"/>
      <c r="D4" s="2629"/>
      <c r="E4" s="3418" t="s">
        <v>1644</v>
      </c>
      <c r="F4" s="3456"/>
      <c r="G4" s="3456"/>
      <c r="H4" s="3456"/>
      <c r="I4" s="3457"/>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49" t="s">
        <v>1475</v>
      </c>
      <c r="B5" s="3449">
        <v>25</v>
      </c>
      <c r="C5" s="3458"/>
      <c r="D5" s="3471"/>
      <c r="E5" s="12" t="s">
        <v>1476</v>
      </c>
      <c r="F5" s="2017"/>
      <c r="G5" s="2017"/>
      <c r="H5" s="2017"/>
      <c r="I5" s="2012"/>
      <c r="J5" s="2761"/>
    </row>
    <row r="6" spans="1:15" ht="12.75">
      <c r="A6" s="3449"/>
      <c r="B6" s="3449"/>
      <c r="C6" s="3474"/>
      <c r="D6" s="3471"/>
      <c r="E6" s="12" t="s">
        <v>1477</v>
      </c>
      <c r="F6" s="2017"/>
      <c r="G6" s="2017"/>
      <c r="H6" s="2017"/>
      <c r="I6" s="2012"/>
      <c r="J6" s="2761"/>
    </row>
    <row r="7" spans="1:15" ht="12.75">
      <c r="A7" s="3449"/>
      <c r="B7" s="3449"/>
      <c r="C7" s="3459"/>
      <c r="D7" s="3471"/>
      <c r="E7" s="12" t="s">
        <v>1478</v>
      </c>
      <c r="F7" s="2017"/>
      <c r="G7" s="2017"/>
      <c r="H7" s="2017"/>
      <c r="I7" s="2012"/>
      <c r="J7" s="2761"/>
    </row>
    <row r="8" spans="1:15" ht="12.75">
      <c r="A8" s="3449" t="s">
        <v>1479</v>
      </c>
      <c r="B8" s="3449">
        <v>15</v>
      </c>
      <c r="C8" s="3458"/>
      <c r="D8" s="3471"/>
      <c r="E8" s="12" t="s">
        <v>1480</v>
      </c>
      <c r="F8" s="2017"/>
      <c r="G8" s="2017"/>
      <c r="H8" s="2017"/>
      <c r="I8" s="2012"/>
      <c r="J8" s="2761"/>
    </row>
    <row r="9" spans="1:15" ht="12.75">
      <c r="A9" s="3449"/>
      <c r="B9" s="3449"/>
      <c r="C9" s="3459"/>
      <c r="D9" s="3471"/>
      <c r="E9" s="12" t="s">
        <v>1481</v>
      </c>
      <c r="F9" s="2017"/>
      <c r="G9" s="2017"/>
      <c r="H9" s="2017"/>
      <c r="I9" s="2012"/>
      <c r="J9" s="2761"/>
    </row>
    <row r="10" spans="1:15" ht="12.75">
      <c r="A10" s="3449" t="s">
        <v>1482</v>
      </c>
      <c r="B10" s="3449">
        <v>15</v>
      </c>
      <c r="C10" s="3458"/>
      <c r="D10" s="3471"/>
      <c r="E10" s="12" t="s">
        <v>1483</v>
      </c>
      <c r="F10" s="2017"/>
      <c r="G10" s="2017"/>
      <c r="H10" s="2017"/>
      <c r="I10" s="2012"/>
      <c r="J10" s="2761"/>
    </row>
    <row r="11" spans="1:15" ht="12.75">
      <c r="A11" s="3449"/>
      <c r="B11" s="3449"/>
      <c r="C11" s="3459"/>
      <c r="D11" s="3471"/>
      <c r="E11" s="12" t="s">
        <v>1484</v>
      </c>
      <c r="F11" s="2017"/>
      <c r="G11" s="2017"/>
      <c r="H11" s="2017"/>
      <c r="I11" s="2012"/>
      <c r="J11" s="2761"/>
    </row>
    <row r="12" spans="1:15" ht="12.75">
      <c r="A12" s="3449" t="s">
        <v>1485</v>
      </c>
      <c r="B12" s="3449">
        <v>15</v>
      </c>
      <c r="C12" s="3458"/>
      <c r="D12" s="3471"/>
      <c r="E12" s="12" t="s">
        <v>1486</v>
      </c>
      <c r="F12" s="2017"/>
      <c r="G12" s="2017"/>
      <c r="H12" s="2017"/>
      <c r="I12" s="2012"/>
      <c r="J12" s="2761"/>
    </row>
    <row r="13" spans="1:15" ht="12.75">
      <c r="A13" s="3449"/>
      <c r="B13" s="3449"/>
      <c r="C13" s="3459"/>
      <c r="D13" s="3471"/>
      <c r="E13" s="12" t="s">
        <v>1487</v>
      </c>
      <c r="F13" s="2017"/>
      <c r="G13" s="2017"/>
      <c r="H13" s="2017"/>
      <c r="I13" s="2012"/>
      <c r="J13" s="2761"/>
    </row>
    <row r="14" spans="1:15" ht="12.75">
      <c r="A14" s="3449" t="s">
        <v>1488</v>
      </c>
      <c r="B14" s="3449">
        <v>30</v>
      </c>
      <c r="C14" s="3458"/>
      <c r="D14" s="3471"/>
      <c r="E14" s="12" t="s">
        <v>1489</v>
      </c>
      <c r="F14" s="2017"/>
      <c r="G14" s="2017"/>
      <c r="H14" s="2017"/>
      <c r="I14" s="2012"/>
      <c r="J14" s="2761"/>
    </row>
    <row r="15" spans="1:15" ht="12.75">
      <c r="A15" s="3449"/>
      <c r="B15" s="3449"/>
      <c r="C15" s="3474"/>
      <c r="D15" s="3471"/>
      <c r="E15" s="12" t="s">
        <v>1490</v>
      </c>
      <c r="F15" s="2017"/>
      <c r="G15" s="2017"/>
      <c r="H15" s="2017"/>
      <c r="I15" s="2012"/>
      <c r="J15" s="2761"/>
    </row>
    <row r="16" spans="1:15" ht="12.75">
      <c r="A16" s="3449"/>
      <c r="B16" s="3449"/>
      <c r="C16" s="3459"/>
      <c r="D16" s="3471"/>
      <c r="E16" s="12" t="s">
        <v>1491</v>
      </c>
      <c r="F16" s="2017"/>
      <c r="G16" s="2017"/>
      <c r="H16" s="2017"/>
      <c r="I16" s="2012"/>
      <c r="J16" s="2761"/>
    </row>
    <row r="17" spans="1:36" ht="15">
      <c r="A17" s="2630" t="s">
        <v>1492</v>
      </c>
      <c r="B17" s="2022"/>
      <c r="C17" s="2631">
        <f>SUM(C5:C16)</f>
        <v>0</v>
      </c>
      <c r="D17" s="2631">
        <f>SUM(D5:D16)</f>
        <v>0</v>
      </c>
      <c r="E17" s="2481"/>
      <c r="F17" s="2481"/>
      <c r="G17" s="2481"/>
      <c r="H17" s="2481"/>
      <c r="I17" s="2481"/>
      <c r="J17" s="2762"/>
    </row>
    <row r="18" spans="1:36" ht="32.450000000000003" customHeight="1" thickBot="1">
      <c r="A18" s="2632" t="s">
        <v>1493</v>
      </c>
      <c r="B18" s="2633"/>
      <c r="C18" s="2634" t="e">
        <f>ROUND(C17/SUM(C17:D17),2)</f>
        <v>#DIV/0!</v>
      </c>
      <c r="D18" s="2634" t="e">
        <f>1-C18</f>
        <v>#DIV/0!</v>
      </c>
      <c r="E18" s="3467" t="s">
        <v>2573</v>
      </c>
      <c r="F18" s="3468"/>
      <c r="G18" s="3468"/>
      <c r="H18" s="3468"/>
      <c r="I18" s="3468"/>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81"/>
      <c r="J19" s="2762"/>
    </row>
    <row r="20" spans="1:36" ht="15">
      <c r="A20" s="2641"/>
      <c r="B20" s="1622" t="s">
        <v>1497</v>
      </c>
      <c r="C20" s="1847" t="e">
        <f ca="1">SUMIF(INDIRECT("'"&amp;C4&amp;"'"&amp;"!A:A"),'结果表 (1修多)'!B20,INDIRECT("'"&amp;C4&amp;"'"&amp;"!B:B"))</f>
        <v>#REF!</v>
      </c>
      <c r="D20" s="1850" t="e">
        <f ca="1">SUMIF(INDIRECT("'"&amp;D4&amp;"'"&amp;"!A:A"),'结果表 (1修多)'!B20,INDIRECT("'"&amp;D4&amp;"'"&amp;"!B:B"))</f>
        <v>#REF!</v>
      </c>
      <c r="E20" s="2641"/>
      <c r="F20" s="1622" t="s">
        <v>1497</v>
      </c>
      <c r="G20" s="2021" t="e">
        <f ca="1">ROUND(C20*$C$18+D20*$D$18,0)</f>
        <v>#REF!</v>
      </c>
      <c r="H20" s="2642" t="s">
        <v>1498</v>
      </c>
      <c r="I20" s="2481"/>
      <c r="J20" s="2762"/>
    </row>
    <row r="21" spans="1:36" ht="15" customHeight="1" thickBot="1">
      <c r="A21" s="2643"/>
      <c r="B21" s="2644"/>
      <c r="C21" s="2644"/>
      <c r="D21" s="2645"/>
      <c r="E21" s="2643"/>
      <c r="F21" s="2644"/>
      <c r="G21" s="2646"/>
      <c r="H21" s="2647"/>
      <c r="I21" s="2481"/>
      <c r="J21" s="2762"/>
    </row>
    <row r="22" spans="1:36" ht="15" thickBot="1">
      <c r="A22" s="2648" t="s">
        <v>1499</v>
      </c>
      <c r="B22" s="2649"/>
      <c r="C22" s="2565"/>
      <c r="D22" s="2650" t="e">
        <f ca="1">IF(C19&lt;D19,D19/C19-1,C19/D19-1)</f>
        <v>#REF!</v>
      </c>
      <c r="E22" s="905"/>
      <c r="F22" s="905"/>
      <c r="G22" s="905"/>
      <c r="H22" s="905"/>
      <c r="I22" s="905"/>
      <c r="J22" s="2762"/>
    </row>
    <row r="23" spans="1:36" ht="13.5" thickBot="1">
      <c r="A23" s="2481"/>
      <c r="B23" s="2481"/>
      <c r="C23" s="2481"/>
      <c r="D23" s="2481"/>
      <c r="E23" s="905"/>
      <c r="F23" s="905"/>
      <c r="G23" s="905"/>
      <c r="H23" s="905"/>
      <c r="I23" s="905"/>
      <c r="J23" s="2762"/>
    </row>
    <row r="24" spans="1:36" ht="21.75" customHeight="1">
      <c r="A24" s="3460" t="s">
        <v>1500</v>
      </c>
      <c r="B24" s="2636" t="s">
        <v>1495</v>
      </c>
      <c r="C24" s="2639">
        <f>D30</f>
        <v>0</v>
      </c>
      <c r="D24" s="2594"/>
      <c r="E24" s="905"/>
      <c r="F24" s="905"/>
      <c r="G24" s="905"/>
      <c r="H24" s="905"/>
      <c r="I24" s="905"/>
      <c r="J24" s="2762"/>
    </row>
    <row r="25" spans="1:36" ht="21.75" customHeight="1">
      <c r="A25" s="3477"/>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2577</v>
      </c>
      <c r="F30" s="2481"/>
      <c r="G30" s="2481"/>
      <c r="H30" s="2481"/>
      <c r="I30" s="2481"/>
      <c r="J30" s="2762"/>
    </row>
    <row r="31" spans="1:36" s="2755" customFormat="1" ht="27.6" customHeight="1" thickTop="1" thickBot="1">
      <c r="A31" s="2750"/>
      <c r="B31" s="2751"/>
      <c r="C31" s="2751"/>
      <c r="D31" s="2751"/>
      <c r="E31" s="2751"/>
      <c r="F31" s="2751"/>
      <c r="G31" s="2751"/>
      <c r="H31" s="2751"/>
      <c r="I31" s="2752" t="s">
        <v>2578</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25" t="s">
        <v>1647</v>
      </c>
      <c r="B32" s="3525"/>
      <c r="C32" s="3525"/>
      <c r="D32" s="3525"/>
      <c r="E32" s="3525"/>
      <c r="F32" s="3525"/>
      <c r="G32" s="3525"/>
      <c r="H32" s="3525"/>
      <c r="I32" s="3525"/>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81" t="s">
        <v>1649</v>
      </c>
      <c r="E33" s="905"/>
      <c r="F33" s="905"/>
      <c r="G33" s="905"/>
      <c r="H33" s="905"/>
      <c r="I33" s="905"/>
      <c r="J33" s="2762"/>
    </row>
    <row r="34" spans="1:16" ht="15">
      <c r="A34" s="1440" t="s">
        <v>1650</v>
      </c>
      <c r="B34" s="2693" t="s">
        <v>1651</v>
      </c>
      <c r="C34" s="2694">
        <f>典型户型修正!B2</f>
        <v>0</v>
      </c>
      <c r="D34" s="2695" t="str">
        <f>IF('数据-取费表'!B3="万元","万元","元")</f>
        <v>万元</v>
      </c>
      <c r="E34" s="905"/>
      <c r="F34" s="905"/>
      <c r="G34" s="905"/>
      <c r="H34" s="905"/>
      <c r="I34" s="905"/>
      <c r="J34" s="2762"/>
    </row>
    <row r="35" spans="1:16" ht="15.75" thickBot="1">
      <c r="A35" s="1441"/>
      <c r="B35" s="2696" t="s">
        <v>1652</v>
      </c>
      <c r="C35" s="2645" t="e">
        <f>典型户型修正!B3</f>
        <v>#DIV/0!</v>
      </c>
      <c r="D35" s="2481" t="s">
        <v>1653</v>
      </c>
      <c r="E35" s="905"/>
      <c r="F35" s="905"/>
      <c r="G35" s="905"/>
      <c r="H35" s="905"/>
      <c r="I35" s="905"/>
      <c r="J35" s="2762"/>
    </row>
    <row r="36" spans="1:16" ht="15">
      <c r="A36" s="1442"/>
      <c r="B36" s="1396" t="s">
        <v>1654</v>
      </c>
      <c r="C36" s="2697">
        <f>IF('数据-取费表'!B3="万元",典型户型修正!V25,典型户型修正!U25)</f>
        <v>0</v>
      </c>
      <c r="D36" s="2481" t="str">
        <f>D34</f>
        <v>万元</v>
      </c>
      <c r="E36" s="905"/>
      <c r="F36" s="905"/>
      <c r="G36" s="905"/>
      <c r="H36" s="905"/>
      <c r="I36" s="905"/>
      <c r="J36" s="2762"/>
    </row>
    <row r="37" spans="1:16" ht="15.75" thickBot="1">
      <c r="A37" s="1395"/>
      <c r="B37" s="1397" t="s">
        <v>1655</v>
      </c>
      <c r="C37" s="2698">
        <f>IF('数据-取费表'!B3="万元",典型户型修正!Y25,典型户型修正!X25)</f>
        <v>0</v>
      </c>
      <c r="D37" s="2481" t="str">
        <f>D34</f>
        <v>万元</v>
      </c>
      <c r="E37" s="905"/>
      <c r="F37" s="905"/>
      <c r="G37" s="905"/>
      <c r="H37" s="905"/>
      <c r="I37" s="905"/>
      <c r="J37" s="2762"/>
    </row>
    <row r="38" spans="1:16" ht="15.75" thickBot="1">
      <c r="A38" s="3460" t="s">
        <v>1656</v>
      </c>
      <c r="B38" s="1396" t="s">
        <v>1657</v>
      </c>
      <c r="C38" s="2672"/>
      <c r="D38" s="2673"/>
      <c r="E38" s="1608"/>
      <c r="F38" s="1608"/>
      <c r="G38" s="905"/>
      <c r="H38" s="905"/>
      <c r="I38" s="905"/>
      <c r="J38" s="2762"/>
    </row>
    <row r="39" spans="1:16" ht="15.75" thickBot="1">
      <c r="A39" s="3461"/>
      <c r="B39" s="2022" t="s">
        <v>1658</v>
      </c>
      <c r="C39" s="2674"/>
      <c r="D39" s="1239"/>
      <c r="E39" s="1239"/>
      <c r="F39" s="1608"/>
      <c r="G39" s="1239"/>
      <c r="H39" s="1239"/>
      <c r="I39" s="1239"/>
      <c r="J39" s="2766"/>
    </row>
    <row r="40" spans="1:16" ht="15.75" thickBot="1">
      <c r="A40" s="3462"/>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2572</v>
      </c>
      <c r="J46" s="2792"/>
      <c r="K46" s="1403" t="s">
        <v>1523</v>
      </c>
      <c r="L46" s="1404"/>
      <c r="M46" s="1404"/>
      <c r="N46" s="1404"/>
      <c r="O46" s="1404"/>
      <c r="P46" s="1404"/>
    </row>
    <row r="47" spans="1:16" ht="14.25" customHeight="1" thickBot="1">
      <c r="A47" s="3464" t="s">
        <v>1669</v>
      </c>
      <c r="B47" s="3465"/>
      <c r="C47" s="3424"/>
      <c r="D47" s="246">
        <f>ROUND(I104*F47,0)</f>
        <v>0</v>
      </c>
      <c r="E47" s="1470" t="s">
        <v>1670</v>
      </c>
      <c r="F47" s="2479">
        <v>1</v>
      </c>
      <c r="G47" s="2480" t="s">
        <v>1671</v>
      </c>
      <c r="H47" s="905"/>
      <c r="I47" s="905"/>
      <c r="J47" s="2762"/>
      <c r="K47" s="3550" t="s">
        <v>1527</v>
      </c>
      <c r="L47" s="3550"/>
      <c r="M47" s="3550"/>
      <c r="N47" s="3550"/>
      <c r="O47" s="3550"/>
      <c r="P47" s="3550"/>
    </row>
    <row r="48" spans="1:16" ht="14.25" customHeight="1">
      <c r="A48" s="3453" t="s">
        <v>1528</v>
      </c>
      <c r="B48" s="3454"/>
      <c r="C48" s="3454"/>
      <c r="D48" s="3454"/>
      <c r="E48" s="3454"/>
      <c r="F48" s="3454"/>
      <c r="G48" s="3455"/>
      <c r="H48" s="2894"/>
      <c r="I48" s="905"/>
      <c r="J48" s="2762"/>
      <c r="K48" s="2431">
        <v>1</v>
      </c>
      <c r="L48" s="3545" t="s">
        <v>1529</v>
      </c>
      <c r="M48" s="3545"/>
      <c r="N48" s="3551"/>
      <c r="O48" s="3551"/>
      <c r="P48" s="3551"/>
    </row>
    <row r="49" spans="1:17" ht="12" customHeight="1">
      <c r="A49" s="38" t="s">
        <v>1530</v>
      </c>
      <c r="B49" s="39"/>
      <c r="C49" s="40"/>
      <c r="D49" s="1028" t="s">
        <v>1531</v>
      </c>
      <c r="E49" s="235" t="s">
        <v>1532</v>
      </c>
      <c r="F49" s="41" t="s">
        <v>1533</v>
      </c>
      <c r="G49" s="2482" t="s">
        <v>1534</v>
      </c>
      <c r="H49" s="2894"/>
      <c r="I49" s="905"/>
      <c r="J49" s="2762"/>
      <c r="K49" s="2431">
        <v>2</v>
      </c>
      <c r="L49" s="3545" t="s">
        <v>1535</v>
      </c>
      <c r="M49" s="3545"/>
      <c r="N49" s="3552">
        <f>'数据-取费表'!B2</f>
        <v>44697</v>
      </c>
      <c r="O49" s="3552"/>
      <c r="P49" s="3552"/>
    </row>
    <row r="50" spans="1:17" ht="25.5">
      <c r="A50" s="3463" t="s">
        <v>1536</v>
      </c>
      <c r="B50" s="3417"/>
      <c r="C50" s="341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4"/>
      <c r="J50" s="2769"/>
      <c r="K50" s="2431">
        <v>3</v>
      </c>
      <c r="L50" s="3545" t="s">
        <v>1539</v>
      </c>
      <c r="M50" s="3545"/>
      <c r="N50" s="3546">
        <f>I104</f>
        <v>0</v>
      </c>
      <c r="O50" s="3546"/>
      <c r="P50" s="3546"/>
    </row>
    <row r="51" spans="1:17" ht="25.5" customHeight="1">
      <c r="A51" s="2019" t="s">
        <v>1540</v>
      </c>
      <c r="B51" s="3456" t="s">
        <v>1541</v>
      </c>
      <c r="C51" s="3456"/>
      <c r="D51" s="2486">
        <v>0</v>
      </c>
      <c r="E51" s="261" t="s">
        <v>1542</v>
      </c>
      <c r="F51" s="2487" t="s">
        <v>48</v>
      </c>
      <c r="G51" s="3513"/>
      <c r="H51" s="2488" t="s">
        <v>2497</v>
      </c>
      <c r="I51" s="2489"/>
      <c r="J51" s="2770"/>
      <c r="K51" s="2431">
        <v>4</v>
      </c>
      <c r="L51" s="3545" t="str">
        <f>IF(项目基本情况!F5="房地产抵押价值","房地产抵押价值","抵押担保权已注销时的房地产抵押价值")</f>
        <v>房地产抵押价值</v>
      </c>
      <c r="M51" s="3545"/>
      <c r="N51" s="3546">
        <f>IF(项目基本情况!F5="房地产抵押价值",I112,I114)</f>
        <v>0</v>
      </c>
      <c r="O51" s="3546"/>
      <c r="P51" s="3546"/>
    </row>
    <row r="52" spans="1:17" ht="25.5" customHeight="1">
      <c r="A52" s="2009"/>
      <c r="B52" s="3456" t="s">
        <v>1543</v>
      </c>
      <c r="C52" s="3456"/>
      <c r="D52" s="2490"/>
      <c r="E52" s="269"/>
      <c r="F52" s="2487"/>
      <c r="G52" s="3514"/>
      <c r="H52" s="2491" t="s">
        <v>2498</v>
      </c>
      <c r="I52" s="2489"/>
      <c r="J52" s="2770"/>
      <c r="K52" s="3545" t="s">
        <v>1544</v>
      </c>
      <c r="L52" s="3545"/>
      <c r="M52" s="3545"/>
      <c r="N52" s="3545"/>
      <c r="O52" s="3545"/>
      <c r="P52" s="3545"/>
    </row>
    <row r="53" spans="1:17" ht="20.45" customHeight="1">
      <c r="A53" s="2492"/>
      <c r="B53" s="3456" t="s">
        <v>1545</v>
      </c>
      <c r="C53" s="3456"/>
      <c r="D53" s="1028"/>
      <c r="E53" s="264"/>
      <c r="F53" s="2487"/>
      <c r="G53" s="3515"/>
      <c r="H53" s="2491" t="s">
        <v>2499</v>
      </c>
      <c r="I53" s="2489"/>
      <c r="J53" s="2770"/>
      <c r="K53" s="2432" t="s">
        <v>1546</v>
      </c>
      <c r="L53" s="3545" t="s">
        <v>1547</v>
      </c>
      <c r="M53" s="3545"/>
      <c r="N53" s="2432" t="s">
        <v>1548</v>
      </c>
      <c r="O53" s="2432" t="s">
        <v>1549</v>
      </c>
      <c r="P53" s="2432" t="s">
        <v>1550</v>
      </c>
    </row>
    <row r="54" spans="1:17" ht="24" customHeight="1">
      <c r="A54" s="2010" t="s">
        <v>1551</v>
      </c>
      <c r="B54" s="3456" t="s">
        <v>1552</v>
      </c>
      <c r="C54" s="3456"/>
      <c r="D54" s="1028">
        <f>ROUND(D47*'数据-取费表'!E29/(1+'数据-取费表'!F30),0)</f>
        <v>0</v>
      </c>
      <c r="E54" s="2020" t="s">
        <v>1553</v>
      </c>
      <c r="F54" s="2493">
        <f>'数据-取费表'!E29</f>
        <v>5.6000000000000001E-2</v>
      </c>
      <c r="G54" s="2494"/>
      <c r="H54" s="905"/>
      <c r="I54" s="2895"/>
      <c r="J54" s="2770"/>
      <c r="K54" s="2431">
        <v>1</v>
      </c>
      <c r="L54" s="3541" t="s">
        <v>1554</v>
      </c>
      <c r="M54" s="3541"/>
      <c r="N54" s="2433">
        <f>D50</f>
        <v>0</v>
      </c>
      <c r="O54" s="2431" t="str">
        <f>E50</f>
        <v>销售额×税（费）率</v>
      </c>
      <c r="P54" s="2434">
        <f>F50</f>
        <v>5.6000000000000001E-2</v>
      </c>
    </row>
    <row r="55" spans="1:17" ht="12" customHeight="1">
      <c r="A55" s="2010" t="s">
        <v>1555</v>
      </c>
      <c r="B55" s="3418" t="s">
        <v>2590</v>
      </c>
      <c r="C55" s="3457"/>
      <c r="D55" s="1028">
        <f>ROUND(D47*'数据-取费表'!E29/(1+'数据-取费表'!F30),0)</f>
        <v>0</v>
      </c>
      <c r="E55" s="2020" t="s">
        <v>1553</v>
      </c>
      <c r="F55" s="2493">
        <f>'数据-取费表'!E29</f>
        <v>5.6000000000000001E-2</v>
      </c>
      <c r="G55" s="2494"/>
      <c r="H55" s="905"/>
      <c r="I55" s="2895"/>
      <c r="J55" s="2770"/>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418" t="s">
        <v>2591</v>
      </c>
      <c r="C56" s="3457"/>
      <c r="D56" s="1028">
        <f>C70</f>
        <v>0</v>
      </c>
      <c r="E56" s="264" t="s">
        <v>1558</v>
      </c>
      <c r="F56" s="2493">
        <f>'数据-取费表'!E29</f>
        <v>5.6000000000000001E-2</v>
      </c>
      <c r="G56" s="2494"/>
      <c r="H56" s="2896"/>
      <c r="I56" s="2895"/>
      <c r="J56" s="2770"/>
      <c r="K56" s="2431">
        <v>3</v>
      </c>
      <c r="L56" s="3541" t="s">
        <v>1559</v>
      </c>
      <c r="M56" s="3541"/>
      <c r="N56" s="2433">
        <f t="shared" si="1"/>
        <v>0</v>
      </c>
      <c r="O56" s="2431" t="str">
        <f t="shared" si="1"/>
        <v>增值额×税（费）率</v>
      </c>
      <c r="P56" s="2435" t="str">
        <f t="shared" si="1"/>
        <v>——</v>
      </c>
    </row>
    <row r="57" spans="1:17" ht="24" customHeight="1">
      <c r="A57" s="3416" t="s">
        <v>1560</v>
      </c>
      <c r="B57" s="3417"/>
      <c r="C57" s="3417"/>
      <c r="D57" s="12">
        <f>IF(H57="个人住宅",0,ROUND(D47*I57,0))</f>
        <v>0</v>
      </c>
      <c r="E57" s="2020" t="s">
        <v>1561</v>
      </c>
      <c r="F57" s="2493">
        <f>IF(H57="正常",I57,"免征")</f>
        <v>5.0000000000000001E-4</v>
      </c>
      <c r="G57" s="2494"/>
      <c r="H57" s="2485" t="s">
        <v>1562</v>
      </c>
      <c r="I57" s="74">
        <f>'数据-取费表'!E37</f>
        <v>5.0000000000000001E-4</v>
      </c>
      <c r="J57" s="2770"/>
      <c r="K57" s="2431">
        <f>IF(H61="非个人房产","",4)</f>
        <v>4</v>
      </c>
      <c r="L57" s="3541" t="str">
        <f>IF(H61="非个人房产","——","个人所得税")</f>
        <v>个人所得税</v>
      </c>
      <c r="M57" s="3541"/>
      <c r="N57" s="2436">
        <f>D61</f>
        <v>0</v>
      </c>
      <c r="O57" s="2437" t="str">
        <f>E61</f>
        <v>销售额×税（费）率</v>
      </c>
      <c r="P57" s="2438">
        <f>F61</f>
        <v>0.01</v>
      </c>
    </row>
    <row r="58" spans="1:17" ht="24.75">
      <c r="A58" s="3416" t="s">
        <v>1563</v>
      </c>
      <c r="B58" s="3417"/>
      <c r="C58" s="3417"/>
      <c r="D58" s="12">
        <f>IF(H58="个人住宅",D59,D60)</f>
        <v>0</v>
      </c>
      <c r="E58" s="2020" t="s">
        <v>1564</v>
      </c>
      <c r="F58" s="2493" t="str">
        <f>IF(H58="正常",F60,"免征")</f>
        <v>——</v>
      </c>
      <c r="G58" s="2495" t="s">
        <v>1565</v>
      </c>
      <c r="H58" s="2496" t="s">
        <v>1562</v>
      </c>
      <c r="I58" s="2897"/>
      <c r="J58" s="2770"/>
      <c r="K58" s="2431" t="str">
        <f>IF(项目基本情况!I6="上海银行",IF(K57="",4,K57+1),"")</f>
        <v/>
      </c>
      <c r="L58" s="3543" t="str">
        <f>IF(项目基本情况!I6="上海银行","其他处置费用","")</f>
        <v/>
      </c>
      <c r="M58" s="3544"/>
      <c r="N58" s="2433" t="str">
        <f>IF(项目基本情况!I6="上海银行",N71,"")</f>
        <v/>
      </c>
      <c r="O58" s="3543" t="str">
        <f>IF(项目基本情况!I6="上海银行","包含处置中涉及的律师、诉讼、拍卖、评估等费用","")</f>
        <v/>
      </c>
      <c r="P58" s="3547"/>
    </row>
    <row r="59" spans="1:17" ht="12.75">
      <c r="A59" s="2010" t="s">
        <v>1540</v>
      </c>
      <c r="B59" s="3418" t="s">
        <v>1566</v>
      </c>
      <c r="C59" s="3457"/>
      <c r="D59" s="2486">
        <v>0</v>
      </c>
      <c r="E59" s="261" t="s">
        <v>1542</v>
      </c>
      <c r="F59" s="235"/>
      <c r="G59" s="2494"/>
      <c r="H59" s="2897"/>
      <c r="I59" s="2897"/>
      <c r="J59" s="2770"/>
      <c r="K59" s="3541">
        <f>IF(AND(K57="",K58=""),4,IF(项目基本情况!I6="上海银行",K58+1,K57+1))</f>
        <v>5</v>
      </c>
      <c r="L59" s="3541" t="s">
        <v>1567</v>
      </c>
      <c r="M59" s="2439" t="s">
        <v>1568</v>
      </c>
      <c r="N59" s="2440"/>
      <c r="O59" s="2441">
        <f>SUMIF(N54:N58,"&lt;9e307")</f>
        <v>0</v>
      </c>
      <c r="P59" s="2442"/>
      <c r="Q59" s="1234" t="e">
        <f>O59/N51</f>
        <v>#DIV/0!</v>
      </c>
    </row>
    <row r="60" spans="1:17" ht="24.75">
      <c r="A60" s="2010" t="s">
        <v>1551</v>
      </c>
      <c r="B60" s="3418" t="s">
        <v>1569</v>
      </c>
      <c r="C60" s="3456"/>
      <c r="D60" s="12">
        <f>IF(H60="转让取得",C83,C99)</f>
        <v>0</v>
      </c>
      <c r="E60" s="2020" t="s">
        <v>1564</v>
      </c>
      <c r="F60" s="235" t="s">
        <v>48</v>
      </c>
      <c r="G60" s="2494"/>
      <c r="H60" s="2496" t="s">
        <v>1570</v>
      </c>
      <c r="I60" s="2897"/>
      <c r="J60" s="2770"/>
      <c r="K60" s="3541"/>
      <c r="L60" s="3541"/>
      <c r="M60" s="2439" t="s">
        <v>1571</v>
      </c>
      <c r="N60" s="2443"/>
      <c r="O60" s="2444" t="str">
        <f>IF(H19="元",NUMBERSTRING(INT(O59),2)&amp;"元整",NUMBERSTRING(INT(O59*10000),2)&amp;"元整")</f>
        <v>零元整</v>
      </c>
      <c r="P60" s="2445"/>
    </row>
    <row r="61" spans="1:17" ht="26.25" thickBot="1">
      <c r="A61" s="3440" t="s">
        <v>1572</v>
      </c>
      <c r="B61" s="3441"/>
      <c r="C61" s="344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2570</v>
      </c>
      <c r="H61" s="2024" t="s">
        <v>2496</v>
      </c>
      <c r="I61" s="2798" t="s">
        <v>2582</v>
      </c>
      <c r="J61" s="2770"/>
      <c r="K61" s="3539">
        <f>K59+1</f>
        <v>6</v>
      </c>
      <c r="L61" s="3541" t="s">
        <v>1573</v>
      </c>
      <c r="M61" s="2431" t="s">
        <v>1568</v>
      </c>
      <c r="N61" s="2446"/>
      <c r="O61" s="2447">
        <f>N51-O59</f>
        <v>0</v>
      </c>
      <c r="P61" s="2448"/>
    </row>
    <row r="62" spans="1:17" ht="12" customHeight="1">
      <c r="A62" s="1385"/>
      <c r="B62" s="2481"/>
      <c r="C62" s="2481"/>
      <c r="D62" s="2481"/>
      <c r="E62" s="1385"/>
      <c r="F62" s="2897"/>
      <c r="G62" s="2897"/>
      <c r="H62" s="2892"/>
      <c r="I62" s="905"/>
      <c r="J62" s="2770"/>
      <c r="K62" s="3540"/>
      <c r="L62" s="3541"/>
      <c r="M62" s="2439" t="s">
        <v>1571</v>
      </c>
      <c r="N62" s="2443"/>
      <c r="O62" s="2444" t="str">
        <f>IF(H19="元",NUMBERSTRING(INT(O61),2)&amp;"元整",NUMBERSTRING(INT(O61*10000),2)&amp;"元整")</f>
        <v>零元整</v>
      </c>
      <c r="P62" s="2445"/>
    </row>
    <row r="63" spans="1:17" ht="13.5" thickBot="1">
      <c r="A63" s="3542" t="s">
        <v>1574</v>
      </c>
      <c r="B63" s="3542"/>
      <c r="C63" s="3542"/>
      <c r="D63" s="3542"/>
      <c r="E63" s="3542"/>
      <c r="F63" s="2897"/>
      <c r="G63" s="2897"/>
      <c r="H63" s="2892"/>
      <c r="I63" s="905"/>
      <c r="J63" s="2762"/>
      <c r="K63" s="2431">
        <f>K61+1</f>
        <v>7</v>
      </c>
      <c r="L63" s="3541" t="s">
        <v>1575</v>
      </c>
      <c r="M63" s="3541"/>
      <c r="N63" s="2449"/>
      <c r="O63" s="2450">
        <f>IF(H19="元",ROUND(O61/项目基本情况!C12,0),ROUND(O61*10000/项目基本情况!C12,0))</f>
        <v>0</v>
      </c>
      <c r="P63" s="2451"/>
    </row>
    <row r="64" spans="1:17" ht="12.75">
      <c r="A64" s="3475" t="s">
        <v>1576</v>
      </c>
      <c r="B64" s="3476"/>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49"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2">
        <f>D47</f>
        <v>0</v>
      </c>
      <c r="D66" s="50" t="s">
        <v>41</v>
      </c>
      <c r="E66" s="52"/>
      <c r="F66" s="2897"/>
      <c r="G66" s="2897"/>
      <c r="H66" s="2892"/>
      <c r="I66" s="905"/>
      <c r="J66" s="2762"/>
      <c r="K66" s="354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3"/>
      <c r="D67" s="50"/>
      <c r="E67" s="52"/>
      <c r="F67" s="2897"/>
      <c r="G67" s="2897"/>
      <c r="H67" s="2892"/>
      <c r="I67" s="905"/>
      <c r="J67" s="2762"/>
      <c r="K67" s="3549"/>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4"/>
      <c r="D68" s="54" t="s">
        <v>41</v>
      </c>
      <c r="E68" s="1244" t="s">
        <v>1588</v>
      </c>
      <c r="F68" s="2897"/>
      <c r="G68" s="2897"/>
      <c r="H68" s="2892"/>
      <c r="I68" s="905"/>
      <c r="J68" s="2762"/>
      <c r="K68" s="3549"/>
      <c r="L68" s="1235" t="s">
        <v>1589</v>
      </c>
      <c r="M68" s="1235">
        <f>N51*0.5%</f>
        <v>0</v>
      </c>
      <c r="N68" s="235">
        <f>IF(M68&gt;0.5,0.5,ROUND(M68,0))</f>
        <v>0</v>
      </c>
      <c r="O68" s="2452" t="s">
        <v>1590</v>
      </c>
    </row>
    <row r="69" spans="1:36" ht="12.75">
      <c r="A69" s="53" t="s">
        <v>42</v>
      </c>
      <c r="B69" s="54" t="s">
        <v>1591</v>
      </c>
      <c r="C69" s="2705">
        <f>C65-C68</f>
        <v>0</v>
      </c>
      <c r="D69" s="50" t="s">
        <v>41</v>
      </c>
      <c r="E69" s="52"/>
      <c r="F69" s="2897"/>
      <c r="G69" s="2897"/>
      <c r="H69" s="2892"/>
      <c r="I69" s="905"/>
      <c r="J69" s="2762"/>
      <c r="K69" s="354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6">
        <f>IF(C69&lt;=0,0,ROUND(C69*D70,0))</f>
        <v>0</v>
      </c>
      <c r="D70" s="2170">
        <f>'数据-取费表'!E29</f>
        <v>5.6000000000000001E-2</v>
      </c>
      <c r="E70" s="57"/>
      <c r="F70" s="2897"/>
      <c r="G70" s="2897"/>
      <c r="H70" s="2892"/>
      <c r="I70" s="905"/>
      <c r="J70" s="2762"/>
      <c r="K70" s="3549"/>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07"/>
      <c r="D71" s="2213"/>
      <c r="E71" s="1409"/>
      <c r="F71" s="1385"/>
      <c r="G71" s="1385"/>
      <c r="H71" s="1409"/>
      <c r="I71" s="2481"/>
      <c r="J71" s="2762"/>
      <c r="K71" s="3549"/>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6" t="s">
        <v>1596</v>
      </c>
      <c r="B72" s="3537"/>
      <c r="C72" s="3537"/>
      <c r="D72" s="3537"/>
      <c r="E72" s="3537"/>
      <c r="F72" s="3537"/>
      <c r="G72" s="3537"/>
      <c r="H72" s="3537"/>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5" t="s">
        <v>1576</v>
      </c>
      <c r="B73" s="3476"/>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6"/>
      <c r="F74" s="2017"/>
      <c r="G74" s="2017"/>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6"/>
      <c r="F75" s="2017"/>
      <c r="G75" s="2017"/>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18" t="s">
        <v>1606</v>
      </c>
      <c r="F78" s="3456"/>
      <c r="G78" s="3456"/>
      <c r="H78" s="3470"/>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3"/>
      <c r="G79" s="1414" t="s">
        <v>1609</v>
      </c>
      <c r="H79" s="2018"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50" t="s">
        <v>1611</v>
      </c>
      <c r="F80" s="3451"/>
      <c r="G80" s="3451"/>
      <c r="H80" s="3452"/>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6"/>
      <c r="F81" s="2017"/>
      <c r="G81" s="2017"/>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6" t="s">
        <v>1615</v>
      </c>
      <c r="B85" s="3537"/>
      <c r="C85" s="3537"/>
      <c r="D85" s="3537"/>
      <c r="E85" s="3537"/>
      <c r="F85" s="3537"/>
      <c r="G85" s="3537"/>
      <c r="H85" s="3537"/>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5" t="s">
        <v>1576</v>
      </c>
      <c r="B86" s="3476"/>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6"/>
      <c r="F87" s="2017"/>
      <c r="G87" s="2017"/>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6"/>
      <c r="F88" s="2017"/>
      <c r="G88" s="2017"/>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3"/>
      <c r="F89" s="2014"/>
      <c r="G89" s="2014"/>
      <c r="H89" s="2015"/>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4"/>
      <c r="G90" s="75" t="s">
        <v>1619</v>
      </c>
      <c r="H90" s="1416"/>
      <c r="I90" s="608"/>
      <c r="J90" s="2794"/>
      <c r="K90" s="2889"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4"/>
      <c r="G91" s="2014"/>
      <c r="H91" s="2015"/>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4"/>
      <c r="G92" s="3511" t="s">
        <v>2492</v>
      </c>
      <c r="H92" s="3538"/>
      <c r="I92" s="608"/>
      <c r="J92" s="2794"/>
      <c r="K92" s="2889"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0" t="s">
        <v>1623</v>
      </c>
      <c r="F93" s="3451"/>
      <c r="G93" s="3451"/>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0" t="s">
        <v>1626</v>
      </c>
      <c r="F94" s="3451"/>
      <c r="G94" s="3451"/>
      <c r="H94" s="3452"/>
      <c r="I94" s="608"/>
      <c r="J94" s="2794"/>
      <c r="K94" s="2890"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50" t="s">
        <v>1611</v>
      </c>
      <c r="F95" s="3451"/>
      <c r="G95" s="3451"/>
      <c r="H95" s="3452"/>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0" t="s">
        <v>1628</v>
      </c>
      <c r="F96" s="3451"/>
      <c r="G96" s="3451"/>
      <c r="H96" s="3452"/>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6"/>
      <c r="F97" s="2017"/>
      <c r="G97" s="2017"/>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7" t="s">
        <v>1630</v>
      </c>
      <c r="B101" s="3498"/>
      <c r="C101" s="3498"/>
      <c r="D101" s="3499"/>
      <c r="E101" s="1389"/>
      <c r="F101" s="3533" t="s">
        <v>2533</v>
      </c>
      <c r="G101" s="3534"/>
      <c r="H101" s="3534"/>
      <c r="I101" s="3535"/>
      <c r="J101" s="2797"/>
    </row>
    <row r="102" spans="1:36" ht="15">
      <c r="A102" s="3509" t="s">
        <v>1632</v>
      </c>
      <c r="B102" s="3510"/>
      <c r="C102" s="2720">
        <f>C4</f>
        <v>0</v>
      </c>
      <c r="D102" s="2721">
        <f>D4</f>
        <v>0</v>
      </c>
      <c r="E102" s="1389"/>
      <c r="F102" s="3421" t="s">
        <v>2534</v>
      </c>
      <c r="G102" s="3422"/>
      <c r="H102" s="3427" t="s">
        <v>2535</v>
      </c>
      <c r="I102" s="3420"/>
      <c r="J102" s="2777"/>
    </row>
    <row r="103" spans="1:36" ht="12.75">
      <c r="A103" s="3530" t="s">
        <v>2529</v>
      </c>
      <c r="B103" s="2235" t="str">
        <f>IF(H19="元","总价（元）","总价（万元）")</f>
        <v>总价（万元）</v>
      </c>
      <c r="C103" s="1235" t="e">
        <f ca="1">C19</f>
        <v>#REF!</v>
      </c>
      <c r="D103" s="2724" t="e">
        <f ca="1">D19</f>
        <v>#REF!</v>
      </c>
      <c r="E103" s="1389"/>
      <c r="F103" s="3531"/>
      <c r="G103" s="3532"/>
      <c r="H103" s="3419">
        <f>典型户型修正!B25</f>
        <v>0</v>
      </c>
      <c r="I103" s="3420"/>
      <c r="J103" s="2777"/>
    </row>
    <row r="104" spans="1:36" ht="12.75">
      <c r="A104" s="3530"/>
      <c r="B104" s="2235" t="s">
        <v>2530</v>
      </c>
      <c r="C104" s="2725" t="e">
        <f ca="1">C20</f>
        <v>#REF!</v>
      </c>
      <c r="D104" s="2726" t="e">
        <f ca="1">D20</f>
        <v>#REF!</v>
      </c>
      <c r="E104" s="1389"/>
      <c r="F104" s="3431" t="s">
        <v>2536</v>
      </c>
      <c r="G104" s="3432"/>
      <c r="H104" s="2734" t="str">
        <f>C110</f>
        <v>总价（万元）</v>
      </c>
      <c r="I104" s="2735">
        <f>H125</f>
        <v>0</v>
      </c>
      <c r="J104" s="2777"/>
    </row>
    <row r="105" spans="1:36" ht="12.75">
      <c r="A105" s="3530" t="s">
        <v>2531</v>
      </c>
      <c r="B105" s="2173" t="str">
        <f>B103</f>
        <v>总价（万元）</v>
      </c>
      <c r="C105" s="12" t="e">
        <f ca="1">ROUND(IF('数据-取费表'!B4="总价",G19,IF(H19="元",G20*'数据-取费表'!E5,G20*'数据-取费表'!E5/10000)),0)</f>
        <v>#REF!</v>
      </c>
      <c r="D105" s="2727"/>
      <c r="E105" s="1389"/>
      <c r="F105" s="3431"/>
      <c r="G105" s="3432"/>
      <c r="H105" s="2734" t="s">
        <v>2537</v>
      </c>
      <c r="I105" s="52" t="e">
        <f>I125</f>
        <v>#DIV/0!</v>
      </c>
      <c r="J105" s="2761"/>
    </row>
    <row r="106" spans="1:36" ht="12.75">
      <c r="A106" s="3530"/>
      <c r="B106" s="2235" t="s">
        <v>2530</v>
      </c>
      <c r="C106" s="1409" t="e">
        <f ca="1">ROUND(IF('数据-取费表'!B4="楼面单价",G20,IF(H19="元",G19/'数据-取费表'!E5,G19*10000/'数据-取费表'!E5)),0)</f>
        <v>#REF!</v>
      </c>
      <c r="D106" s="2727"/>
      <c r="E106" s="1389"/>
      <c r="F106" s="3431"/>
      <c r="G106" s="3432"/>
      <c r="H106" s="3491"/>
      <c r="I106" s="3492"/>
      <c r="J106" s="2778"/>
    </row>
    <row r="107" spans="1:36" ht="12.75">
      <c r="A107" s="3524" t="s">
        <v>2532</v>
      </c>
      <c r="B107" s="2728" t="str">
        <f>B103</f>
        <v>总价（万元）</v>
      </c>
      <c r="C107" s="2729">
        <f>H125</f>
        <v>0</v>
      </c>
      <c r="D107" s="2730"/>
      <c r="E107" s="1389"/>
      <c r="F107" s="3495" t="s">
        <v>2538</v>
      </c>
      <c r="G107" s="3496"/>
      <c r="H107" s="2736" t="str">
        <f>C112</f>
        <v>总额（万元）</v>
      </c>
      <c r="I107" s="2735">
        <f>SUMIF(I108:I110,"&lt;9E307")</f>
        <v>0</v>
      </c>
      <c r="J107" s="2777"/>
    </row>
    <row r="108" spans="1:36" ht="15" thickBot="1">
      <c r="A108" s="3490"/>
      <c r="B108" s="2731" t="s">
        <v>2530</v>
      </c>
      <c r="C108" s="2732" t="e">
        <f>I125</f>
        <v>#DIV/0!</v>
      </c>
      <c r="D108" s="2733"/>
      <c r="E108" s="1389"/>
      <c r="F108" s="3433" t="s">
        <v>2539</v>
      </c>
      <c r="G108" s="3434"/>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27" t="s">
        <v>1633</v>
      </c>
      <c r="B109" s="3528"/>
      <c r="C109" s="3528"/>
      <c r="D109" s="3529"/>
      <c r="E109" s="1389"/>
      <c r="F109" s="3433" t="s">
        <v>2540</v>
      </c>
      <c r="G109" s="3434"/>
      <c r="H109" s="2736" t="str">
        <f>C114</f>
        <v>总额（万元）</v>
      </c>
      <c r="I109" s="52">
        <f>C39</f>
        <v>0</v>
      </c>
      <c r="J109" s="2761"/>
    </row>
    <row r="110" spans="1:36" ht="12.75">
      <c r="A110" s="3431" t="s">
        <v>2543</v>
      </c>
      <c r="B110" s="3432"/>
      <c r="C110" s="2734" t="str">
        <f>B103</f>
        <v>总价（万元）</v>
      </c>
      <c r="D110" s="2735">
        <f>H125</f>
        <v>0</v>
      </c>
      <c r="E110" s="1389"/>
      <c r="F110" s="3433" t="s">
        <v>2541</v>
      </c>
      <c r="G110" s="3434"/>
      <c r="H110" s="2736" t="str">
        <f>C115</f>
        <v>总额（万元）</v>
      </c>
      <c r="I110" s="52">
        <f>C40</f>
        <v>0</v>
      </c>
      <c r="J110" s="2761"/>
    </row>
    <row r="111" spans="1:36" ht="12.75">
      <c r="A111" s="3431"/>
      <c r="B111" s="3432"/>
      <c r="C111" s="2734" t="s">
        <v>2544</v>
      </c>
      <c r="D111" s="52" t="e">
        <f>I125</f>
        <v>#DIV/0!</v>
      </c>
      <c r="E111" s="1389"/>
      <c r="F111" s="3431"/>
      <c r="G111" s="3432"/>
      <c r="H111" s="3493"/>
      <c r="I111" s="3494"/>
      <c r="J111" s="2779"/>
    </row>
    <row r="112" spans="1:36" ht="28.5" customHeight="1">
      <c r="A112" s="3438" t="s">
        <v>2538</v>
      </c>
      <c r="B112" s="3439"/>
      <c r="C112" s="2736" t="str">
        <f>IF(H19="元","总额（元）","总额（万元）")</f>
        <v>总额（万元）</v>
      </c>
      <c r="D112" s="2735">
        <f>IF(D38="正常操作",I108+I109+I110,I109+I110)</f>
        <v>0</v>
      </c>
      <c r="E112" s="1389"/>
      <c r="F112" s="3423" t="str">
        <f>IF(项目基本情况!F5="已注销","——","3.房地产抵押价值")</f>
        <v>3.房地产抵押价值</v>
      </c>
      <c r="G112" s="3424"/>
      <c r="H112" s="1409" t="str">
        <f>C116</f>
        <v>总价（万元）</v>
      </c>
      <c r="I112" s="2735">
        <f>IF(F112="——","——",I104-I107)</f>
        <v>0</v>
      </c>
      <c r="J112" s="2777"/>
    </row>
    <row r="113" spans="1:27" ht="12.75">
      <c r="A113" s="3433" t="s">
        <v>2545</v>
      </c>
      <c r="B113" s="3434"/>
      <c r="C113" s="2736" t="str">
        <f>C112</f>
        <v>总额（万元）</v>
      </c>
      <c r="D113" s="52">
        <f>IF(D38="同一抵押权人同一抵押物续贷",C38&amp;"（未扣减，详见特别提示）",C38)</f>
        <v>0</v>
      </c>
      <c r="E113" s="1389"/>
      <c r="F113" s="3522"/>
      <c r="G113" s="3523"/>
      <c r="H113" s="2734" t="s">
        <v>2537</v>
      </c>
      <c r="I113" s="2738" t="e">
        <f>D117</f>
        <v>#DIV/0!</v>
      </c>
      <c r="J113" s="2780"/>
    </row>
    <row r="114" spans="1:27" ht="12.75">
      <c r="A114" s="3433" t="s">
        <v>2546</v>
      </c>
      <c r="B114" s="3434"/>
      <c r="C114" s="2736" t="str">
        <f>C112</f>
        <v>总额（万元）</v>
      </c>
      <c r="D114" s="52">
        <f>C39</f>
        <v>0</v>
      </c>
      <c r="E114" s="1389"/>
      <c r="F114" s="3423" t="str">
        <f>IF(项目基本情况!F5="已注销及未注销","4.抵押担保权已注销时的房地产抵押价值",IF(项目基本情况!F5="已注销","3.抵押担保权已注销时的房地产抵押价值","——"))</f>
        <v>——</v>
      </c>
      <c r="G114" s="3424"/>
      <c r="H114" s="1409" t="str">
        <f>C118</f>
        <v>总价（万元）</v>
      </c>
      <c r="I114" s="2735" t="str">
        <f>IF(F114="——","——",I104-I109-I110)</f>
        <v>——</v>
      </c>
      <c r="J114" s="2777"/>
    </row>
    <row r="115" spans="1:27" ht="12.75">
      <c r="A115" s="3433" t="s">
        <v>2547</v>
      </c>
      <c r="B115" s="3434"/>
      <c r="C115" s="2736" t="str">
        <f>C112</f>
        <v>总额（万元）</v>
      </c>
      <c r="D115" s="52">
        <f>C40</f>
        <v>0</v>
      </c>
      <c r="E115" s="1389"/>
      <c r="F115" s="3522"/>
      <c r="G115" s="3523"/>
      <c r="H115" s="2734" t="s">
        <v>2537</v>
      </c>
      <c r="I115" s="52" t="str">
        <f>D119</f>
        <v>——</v>
      </c>
      <c r="J115" s="2761"/>
    </row>
    <row r="116" spans="1:27" ht="12.75">
      <c r="A116" s="3431" t="str">
        <f>IF(项目基本情况!F5="已注销","——","3.房地产抵押价值")</f>
        <v>3.房地产抵押价值</v>
      </c>
      <c r="B116" s="3432"/>
      <c r="C116" s="2734" t="str">
        <f>B103</f>
        <v>总价（万元）</v>
      </c>
      <c r="D116" s="2735">
        <f>IF(A116="——","——",D110-D112)</f>
        <v>0</v>
      </c>
      <c r="E116" s="1389"/>
      <c r="F116" s="3423" t="str">
        <f>IF(项目基本情况!G5="抵押净值",IF(OR(项目基本情况!F5="已注销",项目基本情况!F5="房地产抵押价值"),"4.抵押净值","5.抵押净值"),"——")</f>
        <v>4.抵押净值</v>
      </c>
      <c r="G116" s="3424"/>
      <c r="H116" s="2734" t="str">
        <f>C120</f>
        <v>总价（万元）</v>
      </c>
      <c r="I116" s="2735">
        <f>IF(F116="——","——",O61)</f>
        <v>0</v>
      </c>
      <c r="J116" s="2777"/>
    </row>
    <row r="117" spans="1:27" ht="13.5" thickBot="1">
      <c r="A117" s="3431"/>
      <c r="B117" s="3432"/>
      <c r="C117" s="2734" t="s">
        <v>2544</v>
      </c>
      <c r="D117" s="52" t="e">
        <f>ROUND(IF(D116=D110,D111,IF(H19="元",D116/B125,D116*10000/B125)),0)</f>
        <v>#DIV/0!</v>
      </c>
      <c r="E117" s="1389"/>
      <c r="F117" s="3425"/>
      <c r="G117" s="3426"/>
      <c r="H117" s="2739" t="s">
        <v>2537</v>
      </c>
      <c r="I117" s="2723" t="e">
        <f>D121</f>
        <v>#DIV/0!</v>
      </c>
      <c r="J117" s="2761"/>
    </row>
    <row r="118" spans="1:27" ht="15.75">
      <c r="A118" s="3431" t="str">
        <f>IF(项目基本情况!F5="已注销及未注销","4.抵押担保权已注销时的房地产抵押价值",IF(项目基本情况!F5="已注销","3.抵押担保权已注销时的房地产抵押价值","——"))</f>
        <v>——</v>
      </c>
      <c r="B118" s="3432"/>
      <c r="C118" s="2734" t="str">
        <f>B103</f>
        <v>总价（万元）</v>
      </c>
      <c r="D118" s="2735" t="str">
        <f>IF(A118="——","——",D110-D114-D115)</f>
        <v>——</v>
      </c>
      <c r="E118" s="1389"/>
      <c r="F118" s="3517"/>
      <c r="G118" s="3517"/>
      <c r="H118" s="3481"/>
      <c r="I118" s="3481"/>
      <c r="J118" s="2781"/>
      <c r="O118" s="32"/>
      <c r="P118" s="32"/>
    </row>
    <row r="119" spans="1:27" s="1236" customFormat="1" ht="12.75">
      <c r="A119" s="3431"/>
      <c r="B119" s="3432"/>
      <c r="C119" s="2734" t="s">
        <v>2544</v>
      </c>
      <c r="D119" s="52" t="str">
        <f>IF(A118="——","——",IF(H19="元",ROUND(D118/B125,0),ROUND(D118*10000/B125,0)))</f>
        <v>——</v>
      </c>
      <c r="E119" s="1389"/>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1" t="str">
        <f>IF(项目基本情况!G5="抵押净值",IF(OR(项目基本情况!F5="已注销",项目基本情况!F5="房地产抵押价值"),"4.抵押净值","5.抵押净值"),"——")</f>
        <v>4.抵押净值</v>
      </c>
      <c r="B120" s="3432"/>
      <c r="C120" s="2734" t="str">
        <f>B103</f>
        <v>总价（万元）</v>
      </c>
      <c r="D120" s="2735">
        <f>IF(A120="——","——",O61)</f>
        <v>0</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6"/>
      <c r="B121" s="3437"/>
      <c r="C121" s="2739" t="s">
        <v>2544</v>
      </c>
      <c r="D121" s="2723" t="e">
        <f>IF(D120=D110,D111,IF(A120="——","——",O63))</f>
        <v>#DIV/0!</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2" t="s">
        <v>1672</v>
      </c>
      <c r="B122" s="3483"/>
      <c r="C122" s="3483"/>
      <c r="D122" s="3483"/>
      <c r="E122" s="3483"/>
      <c r="F122" s="3483"/>
      <c r="G122" s="3483"/>
      <c r="H122" s="3483"/>
      <c r="I122" s="3483"/>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6" t="s">
        <v>2548</v>
      </c>
      <c r="B123" s="3442" t="s">
        <v>2549</v>
      </c>
      <c r="C123" s="3442" t="s">
        <v>2555</v>
      </c>
      <c r="D123" s="3504" t="s">
        <v>2550</v>
      </c>
      <c r="E123" s="3505"/>
      <c r="F123" s="3417" t="s">
        <v>2556</v>
      </c>
      <c r="G123" s="3417"/>
      <c r="H123" s="3417" t="s">
        <v>2551</v>
      </c>
      <c r="I123" s="3503"/>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6"/>
      <c r="B124" s="3443"/>
      <c r="C124" s="3443"/>
      <c r="D124" s="2020" t="s">
        <v>2552</v>
      </c>
      <c r="E124" s="2020" t="s">
        <v>2557</v>
      </c>
      <c r="F124" s="2020" t="s">
        <v>2552</v>
      </c>
      <c r="G124" s="2020" t="s">
        <v>2553</v>
      </c>
      <c r="H124" s="2020" t="s">
        <v>2552</v>
      </c>
      <c r="I124" s="52" t="s">
        <v>2553</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6" t="s">
        <v>2554</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IF(H19="元",NUMBERSTRING(INT(H125),2)&amp;"元整",NUMBERSTRING(INT(H125*10000),2)&amp;"元整")</f>
        <v>零元整</v>
      </c>
      <c r="I126" s="3445"/>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1" t="str">
        <f>IF(项目基本情况!D5="房地产市场价值","——",MID(A112,3,LEN(A112)-2))</f>
        <v>估价师所知悉的法定优先受偿款</v>
      </c>
      <c r="B127" s="3427"/>
      <c r="C127" s="3422"/>
      <c r="D127" s="3419">
        <f>I107</f>
        <v>0</v>
      </c>
      <c r="E127" s="3427"/>
      <c r="F127" s="3427"/>
      <c r="G127" s="3427"/>
      <c r="H127" s="3427"/>
      <c r="I127" s="3420"/>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8" t="s">
        <v>2554</v>
      </c>
      <c r="B128" s="3456"/>
      <c r="C128" s="3457"/>
      <c r="D128" s="3428">
        <f>H111</f>
        <v>0</v>
      </c>
      <c r="E128" s="3429"/>
      <c r="F128" s="3429"/>
      <c r="G128" s="3429"/>
      <c r="H128" s="3429"/>
      <c r="I128" s="3430"/>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1" t="str">
        <f>IF(项目基本情况!D5="房地产市场价值","——",MID(A116,3,LEN(A116)-2))</f>
        <v>房地产抵押价值</v>
      </c>
      <c r="B129" s="3432"/>
      <c r="C129" s="3432"/>
      <c r="D129" s="3419">
        <f>I112</f>
        <v>0</v>
      </c>
      <c r="E129" s="3427"/>
      <c r="F129" s="3427"/>
      <c r="G129" s="3427"/>
      <c r="H129" s="3427"/>
      <c r="I129" s="3420"/>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6" t="s">
        <v>2554</v>
      </c>
      <c r="B130" s="3417"/>
      <c r="C130" s="3417"/>
      <c r="D130" s="3428" t="e">
        <f>I113</f>
        <v>#DIV/0!</v>
      </c>
      <c r="E130" s="3429"/>
      <c r="F130" s="3429"/>
      <c r="G130" s="3429"/>
      <c r="H130" s="3429"/>
      <c r="I130" s="3430"/>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1" t="str">
        <f>IF(项目基本情况!D5="房地产市场价值","——",MID(A118,3,LEN(A118)-2))</f>
        <v/>
      </c>
      <c r="B131" s="3432"/>
      <c r="C131" s="3432"/>
      <c r="D131" s="3464" t="str">
        <f>I114</f>
        <v>——</v>
      </c>
      <c r="E131" s="3465"/>
      <c r="F131" s="3465"/>
      <c r="G131" s="3465"/>
      <c r="H131" s="3465"/>
      <c r="I131" s="3516"/>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6" t="s">
        <v>2554</v>
      </c>
      <c r="B132" s="3417"/>
      <c r="C132" s="3418"/>
      <c r="D132" s="3480" t="str">
        <f>I115</f>
        <v>——</v>
      </c>
      <c r="E132" s="3480"/>
      <c r="F132" s="3480"/>
      <c r="G132" s="3480"/>
      <c r="H132" s="3480"/>
      <c r="I132" s="3480"/>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1" t="str">
        <f>IF(项目基本情况!D5="房地产市场价值","——",MID(F116,3,LEN(F116)-2))</f>
        <v>抵押净值</v>
      </c>
      <c r="B133" s="3432"/>
      <c r="C133" s="3419"/>
      <c r="D133" s="3435">
        <f>I116</f>
        <v>0</v>
      </c>
      <c r="E133" s="3435"/>
      <c r="F133" s="3435"/>
      <c r="G133" s="3435"/>
      <c r="H133" s="3435"/>
      <c r="I133" s="3435"/>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0" t="s">
        <v>2554</v>
      </c>
      <c r="B134" s="3441"/>
      <c r="C134" s="3441"/>
      <c r="D134" s="3446">
        <f>H118</f>
        <v>0</v>
      </c>
      <c r="E134" s="3447"/>
      <c r="F134" s="3447"/>
      <c r="G134" s="3447"/>
      <c r="H134" s="3447"/>
      <c r="I134" s="3448"/>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2237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48207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13374827</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ROUND(H6*D10,0)</f>
        <v>12888890</v>
      </c>
      <c r="D6" s="1096"/>
      <c r="E6" s="1097"/>
      <c r="F6" s="1097"/>
      <c r="G6" s="95"/>
      <c r="H6" s="96">
        <f>[2]基准地价修正!$C$33</f>
        <v>27770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393111</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92826</v>
      </c>
      <c r="D8" s="1099"/>
      <c r="E8" s="115"/>
      <c r="F8" s="1098"/>
      <c r="G8" s="1446" t="s">
        <v>3066</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92826</v>
      </c>
      <c r="D10" s="1101">
        <f>IF('数据-取费表'!B10&lt;&gt;"住宅",IF(B1="仅计算典型户型",'数据-取费表'!E5,'数据-取费表'!B5),0)</f>
        <v>464.13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464.13</v>
      </c>
      <c r="E19" s="111">
        <f>'数据-取费表'!E15</f>
        <v>200</v>
      </c>
      <c r="F19" s="112"/>
      <c r="G19" s="1446" t="s">
        <v>3065</v>
      </c>
    </row>
    <row r="20" spans="1:123" s="91" customFormat="1" ht="13.5" customHeight="1">
      <c r="A20" s="120" t="s">
        <v>1702</v>
      </c>
      <c r="B20" s="89" t="s">
        <v>1703</v>
      </c>
      <c r="C20" s="99">
        <f>ROUND((C5+C19)*F20,0)</f>
        <v>267497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1158314</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1147079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11235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3410581</v>
      </c>
      <c r="D27" s="101">
        <f>C29</f>
        <v>6.3E-3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3410581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19918210</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2129892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1949346</v>
      </c>
      <c r="D34" s="1096"/>
      <c r="E34" s="115"/>
      <c r="F34" s="1107" t="str">
        <f>IF('数据-取费表'!B26=0,"",'数据-取费表'!E20)</f>
        <v/>
      </c>
      <c r="G34" s="95"/>
    </row>
    <row r="35" spans="1:123" ht="13.5" customHeight="1">
      <c r="A35" s="92" t="s">
        <v>1685</v>
      </c>
      <c r="B35" s="93" t="s">
        <v>1734</v>
      </c>
      <c r="C35" s="115">
        <f>ROUND(C34*F35,0)</f>
        <v>58480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92826</v>
      </c>
      <c r="D37" s="1096">
        <f>IF(B1="仅计算典型户型",'数据-取费表'!E5,'数据-取费表'!B5)</f>
        <v>464.13</v>
      </c>
      <c r="E37" s="115">
        <f>'数据-取费表'!E23</f>
        <v>200</v>
      </c>
      <c r="F37" s="1108"/>
      <c r="G37" s="124" t="s">
        <v>1739</v>
      </c>
    </row>
    <row r="38" spans="1:123" ht="13.5" customHeight="1">
      <c r="A38" s="92" t="s">
        <v>1740</v>
      </c>
      <c r="B38" s="93" t="s">
        <v>1741</v>
      </c>
      <c r="C38" s="115">
        <f>ROUND(C34*F38,0)</f>
        <v>29240</v>
      </c>
      <c r="D38" s="115"/>
      <c r="E38" s="115"/>
      <c r="F38" s="1108">
        <f>'数据-取费表'!E24</f>
        <v>1.4999999999999999E-2</v>
      </c>
      <c r="G38" s="95" t="s">
        <v>1735</v>
      </c>
    </row>
    <row r="39" spans="1:123" s="91" customFormat="1" ht="13.5" customHeight="1">
      <c r="A39" s="120" t="s">
        <v>1700</v>
      </c>
      <c r="B39" s="89" t="s">
        <v>1703</v>
      </c>
      <c r="C39" s="99">
        <f>ROUND(C33*F20,0)</f>
        <v>42598</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3">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91244</v>
      </c>
      <c r="D41" s="101">
        <f ca="1">C44</f>
        <v>1.1000000000000001E-3</v>
      </c>
      <c r="E41" s="102" t="s">
        <v>1743</v>
      </c>
      <c r="F41" s="280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89455</v>
      </c>
      <c r="D42" s="104"/>
      <c r="E42" s="104"/>
      <c r="F42" s="105"/>
      <c r="G42" s="3553" t="s">
        <v>1745</v>
      </c>
    </row>
    <row r="43" spans="1:123" ht="13.5" customHeight="1">
      <c r="A43" s="92" t="s">
        <v>1685</v>
      </c>
      <c r="B43" s="93" t="s">
        <v>1714</v>
      </c>
      <c r="C43" s="104">
        <f ca="1">ROUND(IF('数据-取费表'!B24&lt;=1,C39*F22*'数据-取费表'!B23/2,C39*(POWER((1+F22),'数据-取费表'!B23/2)-1)),0)</f>
        <v>1789</v>
      </c>
      <c r="D43" s="104"/>
      <c r="E43" s="104"/>
      <c r="F43" s="105"/>
      <c r="G43" s="3554"/>
    </row>
    <row r="44" spans="1:123" ht="13.5" customHeight="1">
      <c r="A44" s="92" t="s">
        <v>1687</v>
      </c>
      <c r="B44" s="93" t="s">
        <v>1716</v>
      </c>
      <c r="C44" s="104">
        <f ca="1">ROUND(IF('数据-取费表'!B24&lt;=1,C40*F22*'数据-取费表'!B23/2,C40*(POWER((1+F22),'数据-取费表'!B23/2)-1)),4)</f>
        <v>1.1000000000000001E-3</v>
      </c>
      <c r="D44" s="104"/>
      <c r="E44" s="104"/>
      <c r="F44" s="105"/>
      <c r="G44" s="3555"/>
    </row>
    <row r="45" spans="1:123" s="91" customFormat="1" ht="13.5" customHeight="1">
      <c r="A45" s="120" t="s">
        <v>1709</v>
      </c>
      <c r="B45" s="110" t="s">
        <v>1721</v>
      </c>
      <c r="C45" s="111">
        <f>C46</f>
        <v>543123</v>
      </c>
      <c r="D45" s="101">
        <f>C47</f>
        <v>6.3E-3</v>
      </c>
      <c r="E45" s="102" t="s">
        <v>1743</v>
      </c>
      <c r="F45" s="2804">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543123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3069952</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2455962</v>
      </c>
      <c r="D51" s="99"/>
      <c r="E51" s="99"/>
      <c r="F51" s="126"/>
      <c r="G51" s="100" t="s">
        <v>1759</v>
      </c>
    </row>
    <row r="52" spans="1:123" s="88" customFormat="1" ht="16.5" thickBot="1">
      <c r="A52" s="127" t="s">
        <v>1760</v>
      </c>
      <c r="B52" s="128"/>
      <c r="C52" s="129">
        <f ca="1">C31+C51</f>
        <v>22374172</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-92826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-92826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-1857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-23671</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-23671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92011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I58" sqref="I5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2503</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1469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31652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1144929</v>
      </c>
      <c r="D5" s="1561" t="s">
        <v>2483</v>
      </c>
      <c r="E5" s="885"/>
      <c r="F5" s="1014"/>
      <c r="G5" s="909"/>
      <c r="H5" s="232">
        <v>1</v>
      </c>
      <c r="I5" s="233" t="s">
        <v>1772</v>
      </c>
      <c r="J5" s="234">
        <f ca="1">J6+J10+J12</f>
        <v>0</v>
      </c>
      <c r="K5" s="1448" t="s">
        <v>1773</v>
      </c>
      <c r="L5" s="885"/>
      <c r="M5" s="1014"/>
    </row>
    <row r="6" spans="1:37" ht="18" customHeight="1">
      <c r="A6" s="1015" t="s">
        <v>1774</v>
      </c>
      <c r="B6" s="1370" t="s">
        <v>1775</v>
      </c>
      <c r="C6" s="234">
        <f>ROUND(F6*F8*F7*(1-F9),0)</f>
        <v>1143500</v>
      </c>
      <c r="D6" s="36" t="s">
        <v>2461</v>
      </c>
      <c r="E6" s="235" t="s">
        <v>1776</v>
      </c>
      <c r="F6" s="236">
        <f>'数据-取费表'!B30</f>
        <v>7.5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464.13</v>
      </c>
      <c r="G7" s="909"/>
      <c r="H7" s="237"/>
      <c r="I7" s="238"/>
      <c r="J7" s="239"/>
      <c r="K7" s="240"/>
      <c r="L7" s="235" t="s">
        <v>1777</v>
      </c>
      <c r="M7" s="236">
        <f>IF('数据-取费表'!B42="",IF(D1="仅计算典型户型",'数据-取费表'!E5,'数据-取费表'!B5),'数据-取费表'!B42)</f>
        <v>464.13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1429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2455962</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1949346</v>
      </c>
      <c r="D14" s="1256" t="s">
        <v>1795</v>
      </c>
      <c r="E14" s="1257"/>
      <c r="F14" s="757"/>
      <c r="G14" s="910"/>
      <c r="H14" s="253" t="s">
        <v>1774</v>
      </c>
      <c r="I14" s="235" t="s">
        <v>1796</v>
      </c>
      <c r="J14" s="13">
        <f ca="1">C29</f>
        <v>3069952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58480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71837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92826</v>
      </c>
      <c r="D17" s="235" t="s">
        <v>1809</v>
      </c>
      <c r="E17" s="235" t="s">
        <v>1810</v>
      </c>
      <c r="F17" s="15">
        <f>'数据-取费表'!E23</f>
        <v>200</v>
      </c>
      <c r="G17" s="910"/>
      <c r="H17" s="253" t="s">
        <v>1811</v>
      </c>
      <c r="I17" s="235" t="s">
        <v>1812</v>
      </c>
      <c r="J17" s="2742">
        <f ca="1">ROUND(IF(AND(项目基本情况!B7="自然人",项目基本情况!B6="北京市"),J6*M17/(1+'数据-取费表'!F30),J18+J19+J20),0)</f>
        <v>25788</v>
      </c>
      <c r="K17" s="1256" t="s">
        <v>1813</v>
      </c>
      <c r="L17" s="1259" t="s">
        <v>1814</v>
      </c>
      <c r="M17" s="2741"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29240</v>
      </c>
      <c r="D18" s="235" t="s">
        <v>1799</v>
      </c>
      <c r="E18" s="235" t="s">
        <v>1800</v>
      </c>
      <c r="F18" s="258">
        <f>'数据-取费表'!E24</f>
        <v>1.4999999999999999E-2</v>
      </c>
      <c r="G18" s="909"/>
      <c r="H18" s="253" t="s">
        <v>1817</v>
      </c>
      <c r="I18" s="235" t="s">
        <v>1818</v>
      </c>
      <c r="J18" s="13">
        <f>IF(项目基本情况!B7="自然人","——",ROUND(J6*M18/(1+'数据-取费表'!F30),0))</f>
        <v>0</v>
      </c>
      <c r="K18" s="1259" t="s">
        <v>2485</v>
      </c>
      <c r="L18" s="235" t="s">
        <v>1800</v>
      </c>
      <c r="M18" s="258">
        <f>'数据-取费表'!E29</f>
        <v>5.6000000000000001E-2</v>
      </c>
    </row>
    <row r="19" spans="1:37" s="257" customFormat="1" ht="18" customHeight="1">
      <c r="A19" s="253" t="s">
        <v>1811</v>
      </c>
      <c r="B19" s="235" t="s">
        <v>1819</v>
      </c>
      <c r="C19" s="13">
        <f>SUM(C14:C18)</f>
        <v>2129892</v>
      </c>
      <c r="D19" s="33" t="s">
        <v>1820</v>
      </c>
      <c r="E19" s="1261"/>
      <c r="F19" s="15"/>
      <c r="G19" s="910"/>
      <c r="H19" s="253" t="s">
        <v>1797</v>
      </c>
      <c r="I19" s="235" t="s">
        <v>1821</v>
      </c>
      <c r="J19" s="13">
        <f ca="1">IF(项目基本情况!B7="自然人","——",IF(K19="按租金收入计税",ROUND(J6*M19/(1+'数据-取费表'!F30),0),ROUND(C29*M19*0.7,0)))</f>
        <v>25788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42598</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2.5000000000000001E-2</v>
      </c>
      <c r="D21" s="259" t="s">
        <v>1831</v>
      </c>
      <c r="E21" s="235" t="s">
        <v>1832</v>
      </c>
      <c r="F21" s="258">
        <f>'数据-取费表'!E26</f>
        <v>2.5000000000000001E-2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46049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91244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-71837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543123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6.3E-3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3069952</v>
      </c>
      <c r="D29" s="1034"/>
      <c r="E29" s="1032"/>
      <c r="F29" s="1035"/>
      <c r="G29" s="652"/>
      <c r="H29" s="271" t="s">
        <v>24</v>
      </c>
      <c r="I29" s="272" t="s">
        <v>1869</v>
      </c>
      <c r="J29" s="273">
        <f ca="1">ROUND(J26/(1+F40)^F41,0)</f>
        <v>0</v>
      </c>
      <c r="K29" s="274" t="s">
        <v>1870</v>
      </c>
      <c r="L29" s="275"/>
      <c r="M29" s="276">
        <f>IF(D1="仅计算典型户型",'数据-取费表'!E5,'数据-取费表'!B5)</f>
        <v>464.13</v>
      </c>
    </row>
    <row r="30" spans="1:37" ht="18" customHeight="1" thickTop="1">
      <c r="A30" s="1021" t="s">
        <v>14</v>
      </c>
      <c r="B30" s="1022" t="s">
        <v>1871</v>
      </c>
      <c r="C30" s="243">
        <f ca="1">ROUND(C31+C36+C37+C38,0)</f>
        <v>258580</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191673</v>
      </c>
      <c r="D31" s="1256" t="s">
        <v>1873</v>
      </c>
      <c r="E31" s="1259" t="s">
        <v>1874</v>
      </c>
      <c r="F31" s="2741"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60987</v>
      </c>
      <c r="D32" s="1259" t="s">
        <v>2484</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130686</v>
      </c>
      <c r="D33" s="1364"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184197</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7.4999999999999997E-2</v>
      </c>
      <c r="K35" s="902"/>
      <c r="L35" s="901"/>
      <c r="M35" s="901"/>
    </row>
    <row r="36" spans="1:18" ht="18" customHeight="1">
      <c r="A36" s="1018" t="s">
        <v>1781</v>
      </c>
      <c r="B36" s="235" t="s">
        <v>1880</v>
      </c>
      <c r="C36" s="13">
        <f ca="1">ROUND(C29*F36,0)</f>
        <v>46049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3684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17174</v>
      </c>
      <c r="D38" s="1034" t="s">
        <v>1846</v>
      </c>
      <c r="E38" s="1032" t="s">
        <v>1842</v>
      </c>
      <c r="F38" s="1027">
        <f>'数据-取费表'!B47</f>
        <v>1.4999999999999999E-2</v>
      </c>
      <c r="G38" s="652"/>
      <c r="H38" s="901"/>
      <c r="I38" s="280" t="s">
        <v>1884</v>
      </c>
      <c r="J38" s="136">
        <f ca="1">ROUND(J34/C39,3)</f>
        <v>0.20799999999999999</v>
      </c>
      <c r="K38" s="906"/>
      <c r="L38" s="901"/>
      <c r="M38" s="901"/>
    </row>
    <row r="39" spans="1:18" ht="18" customHeight="1" thickTop="1">
      <c r="A39" s="1021" t="s">
        <v>22</v>
      </c>
      <c r="B39" s="1036" t="s">
        <v>1885</v>
      </c>
      <c r="C39" s="243">
        <f ca="1">C5-C30</f>
        <v>886349</v>
      </c>
      <c r="D39" s="1037" t="s">
        <v>1886</v>
      </c>
      <c r="E39" s="1038"/>
      <c r="F39" s="1039"/>
      <c r="G39" s="652"/>
      <c r="H39" s="901"/>
      <c r="I39" s="280" t="s">
        <v>1887</v>
      </c>
      <c r="J39" s="136">
        <f ca="1">1-J38</f>
        <v>0.79200000000000004</v>
      </c>
      <c r="K39" s="906"/>
      <c r="L39" s="901"/>
      <c r="M39" s="901"/>
    </row>
    <row r="40" spans="1:18" s="652" customFormat="1" ht="18" customHeight="1">
      <c r="A40" s="232" t="s">
        <v>23</v>
      </c>
      <c r="B40" s="233" t="s">
        <v>1888</v>
      </c>
      <c r="C40" s="234">
        <f ca="1">ROUND(C39*(1-((1+F42)/(1+F40))^F41)/(F40-F42),0)</f>
        <v>14690446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3061</v>
      </c>
      <c r="F41" s="270">
        <f>IF('数据-取费表'!B29="租赁期内按合同租金",'数据-取费表'!B35,IF(E41="收益年期(n)",'数据-取费表'!B34,'数据-取费表'!B13))</f>
        <v>22.31</v>
      </c>
      <c r="H41" s="908"/>
      <c r="I41" s="135" t="s">
        <v>1762</v>
      </c>
      <c r="J41" s="136">
        <f ca="1">ROUND(C13/C40,3)</f>
        <v>0.16700000000000001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0.83299999999999996</v>
      </c>
      <c r="K42" s="905"/>
      <c r="L42" s="908"/>
      <c r="M42" s="908"/>
      <c r="Q42" s="656"/>
    </row>
    <row r="43" spans="1:18" s="652" customFormat="1" ht="18" customHeight="1" thickBot="1">
      <c r="A43" s="271" t="s">
        <v>24</v>
      </c>
      <c r="B43" s="272" t="s">
        <v>1891</v>
      </c>
      <c r="C43" s="273">
        <f ca="1">ROUND(C40/F43,0)</f>
        <v>31652</v>
      </c>
      <c r="D43" s="274" t="s">
        <v>1892</v>
      </c>
      <c r="E43" s="275" t="s">
        <v>1893</v>
      </c>
      <c r="F43" s="276">
        <f>IF(D1="仅计算典型户型",'数据-取费表'!E5,'数据-取费表'!B5)</f>
        <v>464.13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14690446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-1859</v>
      </c>
      <c r="D47" s="1456" t="str">
        <f>C2</f>
        <v>万元</v>
      </c>
      <c r="E47" s="649"/>
      <c r="F47" s="649"/>
      <c r="I47" s="1457" t="s">
        <v>1904</v>
      </c>
      <c r="J47" s="981"/>
      <c r="K47" s="982"/>
      <c r="L47" s="995" t="str">
        <f>IF(M48="住宅",0,IF(L49&gt;J52,L61,J61))</f>
        <v>0</v>
      </c>
      <c r="O47" s="1009" t="s">
        <v>769</v>
      </c>
      <c r="P47" s="1006" t="s">
        <v>1905</v>
      </c>
      <c r="Q47" s="1007">
        <f ca="1">C29</f>
        <v>3069952</v>
      </c>
      <c r="R47" s="1008" t="s">
        <v>1900</v>
      </c>
    </row>
    <row r="48" spans="1:18" s="652" customFormat="1" ht="15.75" thickBot="1">
      <c r="A48" s="228" t="s">
        <v>1906</v>
      </c>
      <c r="B48" s="229" t="s">
        <v>1907</v>
      </c>
      <c r="C48" s="229" t="s">
        <v>1908</v>
      </c>
      <c r="D48" s="229" t="s">
        <v>1909</v>
      </c>
      <c r="E48" s="944" t="s">
        <v>1910</v>
      </c>
      <c r="F48" s="945"/>
      <c r="I48" s="1458" t="s">
        <v>1911</v>
      </c>
      <c r="J48" s="1459" t="s">
        <v>3062</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3063</v>
      </c>
      <c r="K49" s="1463" t="s">
        <v>1916</v>
      </c>
      <c r="L49" s="821">
        <f>'数据-取费表'!B13</f>
        <v>22.31</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2007</v>
      </c>
      <c r="K50" s="1465" t="s">
        <v>1921</v>
      </c>
      <c r="L50" s="984"/>
      <c r="O50" s="1009" t="s">
        <v>772</v>
      </c>
      <c r="P50" s="1006" t="s">
        <v>1922</v>
      </c>
      <c r="Q50" s="1007">
        <f>J54</f>
        <v>22.31</v>
      </c>
      <c r="R50" s="1008" t="s">
        <v>1923</v>
      </c>
    </row>
    <row r="51" spans="1:18" s="652" customFormat="1" ht="15.75" thickBot="1">
      <c r="A51" s="237"/>
      <c r="B51" s="238"/>
      <c r="C51" s="239"/>
      <c r="D51" s="240"/>
      <c r="E51" s="255" t="s">
        <v>1777</v>
      </c>
      <c r="F51" s="943">
        <f>F7</f>
        <v>464.13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1469</v>
      </c>
      <c r="R51" s="1008" t="s">
        <v>774</v>
      </c>
    </row>
    <row r="52" spans="1:18" s="652" customFormat="1" ht="16.5" thickBot="1">
      <c r="A52" s="237"/>
      <c r="B52" s="238"/>
      <c r="C52" s="239"/>
      <c r="D52" s="240"/>
      <c r="E52" s="235" t="s">
        <v>1779</v>
      </c>
      <c r="F52" s="236">
        <f>F8</f>
        <v>365</v>
      </c>
      <c r="I52" s="1466" t="s">
        <v>1926</v>
      </c>
      <c r="J52" s="986">
        <f>IF(J50="",J51,J50+J51-YEAR('数据-取费表'!B2))</f>
        <v>45</v>
      </c>
      <c r="K52" s="1467" t="s">
        <v>1927</v>
      </c>
      <c r="L52" s="987">
        <f ca="1">ROUND(-PV('数据-取费表'!B15,J52,(C40-C13*J35)),0)</f>
        <v>277886743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22.31</v>
      </c>
      <c r="K54" s="3556" t="s">
        <v>2460</v>
      </c>
      <c r="L54" s="3557"/>
      <c r="O54" s="1005" t="s">
        <v>767</v>
      </c>
      <c r="P54" s="1006" t="s">
        <v>1899</v>
      </c>
      <c r="Q54" s="1007">
        <f ca="1">C40+J29</f>
        <v>14690446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2455962</v>
      </c>
      <c r="D57" s="941"/>
      <c r="E57" s="942"/>
      <c r="F57" s="949"/>
      <c r="I57" s="1475" t="s">
        <v>1936</v>
      </c>
      <c r="J57" s="993" t="s">
        <v>3064</v>
      </c>
      <c r="K57" s="1461" t="s">
        <v>1937</v>
      </c>
      <c r="L57" s="821" t="str">
        <f>IF(L49&lt;J52,"——",L49-J52)</f>
        <v>——</v>
      </c>
      <c r="O57" s="1009" t="s">
        <v>770</v>
      </c>
      <c r="P57" s="1006" t="s">
        <v>1938</v>
      </c>
      <c r="Q57" s="1010">
        <f>L53</f>
        <v>0</v>
      </c>
      <c r="R57" s="1008"/>
    </row>
    <row r="58" spans="1:18" s="652" customFormat="1" ht="29.25" thickBot="1">
      <c r="A58" s="948"/>
      <c r="B58" s="235" t="s">
        <v>1868</v>
      </c>
      <c r="C58" s="104">
        <f ca="1">C29</f>
        <v>3069952</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307609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 ca="1">ROUND(IF(AND(项目基本情况!B7="自然人",项目基本情况!B6="北京市"),C50*F60/(1+'数据-取费表'!F30),C61+C62+C63),0)</f>
        <v>257876</v>
      </c>
      <c r="D60" s="1256" t="s">
        <v>1873</v>
      </c>
      <c r="E60" s="1259" t="s">
        <v>1874</v>
      </c>
      <c r="F60" s="2741"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1469</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257876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14690446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46049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277886743</v>
      </c>
      <c r="R65" s="1012" t="s">
        <v>1962</v>
      </c>
    </row>
    <row r="66" spans="1:18" s="652" customFormat="1" ht="20.25" thickBot="1">
      <c r="A66" s="253" t="s">
        <v>20</v>
      </c>
      <c r="B66" s="235" t="s">
        <v>1840</v>
      </c>
      <c r="C66" s="13">
        <f ca="1">ROUND(C57*F66,0)</f>
        <v>3684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702152</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886349</v>
      </c>
      <c r="R67" s="1008" t="s">
        <v>1900</v>
      </c>
    </row>
    <row r="68" spans="1:18" ht="15.75" thickBot="1">
      <c r="A68" s="248" t="s">
        <v>22</v>
      </c>
      <c r="B68" s="41" t="s">
        <v>1850</v>
      </c>
      <c r="C68" s="250">
        <f ca="1">C49-C59</f>
        <v>-307609</v>
      </c>
      <c r="D68" s="1256" t="s">
        <v>1851</v>
      </c>
      <c r="E68" s="1258"/>
      <c r="F68" s="268"/>
      <c r="H68" s="652"/>
      <c r="I68" s="652"/>
      <c r="J68" s="652"/>
      <c r="K68" s="652"/>
      <c r="L68" s="652"/>
      <c r="M68" s="652"/>
      <c r="O68" s="1009" t="s">
        <v>776</v>
      </c>
      <c r="P68" s="1013" t="s">
        <v>1966</v>
      </c>
      <c r="Q68" s="1007">
        <f ca="1">C13</f>
        <v>2455962</v>
      </c>
      <c r="R68" s="1008" t="s">
        <v>1900</v>
      </c>
    </row>
    <row r="69" spans="1:18" ht="15.75" thickBot="1">
      <c r="A69" s="232" t="s">
        <v>23</v>
      </c>
      <c r="B69" s="233" t="s">
        <v>1888</v>
      </c>
      <c r="C69" s="234">
        <f ca="1">ROUND(C68*(1-((1+F71)/(1+F69))^F70)/(F69-F71),0)</f>
        <v>-3899045</v>
      </c>
      <c r="D69" s="261" t="s">
        <v>1856</v>
      </c>
      <c r="E69" s="235" t="s">
        <v>1857</v>
      </c>
      <c r="F69" s="245">
        <f>F40</f>
        <v>5.5E-2</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22.31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-8401</v>
      </c>
      <c r="D72" s="274" t="s">
        <v>1892</v>
      </c>
      <c r="E72" s="275" t="s">
        <v>1893</v>
      </c>
      <c r="F72" s="276">
        <f>F43</f>
        <v>464.13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1469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2791</v>
      </c>
      <c r="B1" s="3079"/>
      <c r="C1" s="3085"/>
      <c r="D1" s="3085"/>
      <c r="E1" s="3080"/>
      <c r="F1" s="3081"/>
      <c r="G1" s="3174"/>
      <c r="J1" s="3177" t="s">
        <v>2647</v>
      </c>
      <c r="K1" s="3178"/>
      <c r="L1" s="3178"/>
      <c r="M1" s="3178"/>
      <c r="N1" s="3178"/>
      <c r="O1" s="3178"/>
      <c r="P1" s="3178"/>
      <c r="Q1" s="3178"/>
      <c r="R1" s="3179"/>
      <c r="S1" s="3180"/>
      <c r="T1" s="3180"/>
      <c r="U1" s="3180"/>
    </row>
    <row r="2" spans="1:23" s="3088" customFormat="1" ht="13.15" customHeight="1">
      <c r="A2" s="3083" t="s">
        <v>2648</v>
      </c>
      <c r="B2" s="3084" t="e">
        <f>C40</f>
        <v>#DIV/0!</v>
      </c>
      <c r="C2" s="3085" t="s">
        <v>2649</v>
      </c>
      <c r="D2" s="3085"/>
      <c r="E2" s="3086"/>
      <c r="F2" s="3087"/>
      <c r="G2" s="3181"/>
      <c r="H2" s="3182"/>
      <c r="I2" s="3183"/>
      <c r="J2" s="3558" t="s">
        <v>2650</v>
      </c>
      <c r="K2" s="3559"/>
      <c r="L2" s="3184" t="s">
        <v>2651</v>
      </c>
      <c r="M2" s="3184" t="s">
        <v>2652</v>
      </c>
      <c r="N2" s="3184" t="s">
        <v>2653</v>
      </c>
      <c r="O2" s="3184" t="s">
        <v>2654</v>
      </c>
      <c r="P2" s="3184" t="s">
        <v>2655</v>
      </c>
      <c r="Q2" s="3185" t="s">
        <v>2656</v>
      </c>
      <c r="R2" s="3186" t="s">
        <v>2657</v>
      </c>
      <c r="S2" s="3180"/>
      <c r="T2" s="3180"/>
      <c r="U2" s="3180"/>
      <c r="V2" s="3183"/>
      <c r="W2" s="3182"/>
    </row>
    <row r="3" spans="1:23" s="3088" customFormat="1" ht="13.15" customHeight="1">
      <c r="A3" s="3090" t="s">
        <v>2658</v>
      </c>
      <c r="B3" s="3091" t="e">
        <f>ROUND(B2*10000/B4,0)</f>
        <v>#DIV/0!</v>
      </c>
      <c r="C3" s="3085" t="s">
        <v>2659</v>
      </c>
      <c r="D3" s="3085"/>
      <c r="E3" s="3086"/>
      <c r="F3" s="3087"/>
      <c r="G3" s="3181"/>
      <c r="H3" s="3182"/>
      <c r="I3" s="3183"/>
      <c r="J3" s="3560" t="s">
        <v>2660</v>
      </c>
      <c r="K3" s="3561"/>
      <c r="L3" s="3187"/>
      <c r="M3" s="3187"/>
      <c r="N3" s="3187"/>
      <c r="O3" s="3187"/>
      <c r="P3" s="3187"/>
      <c r="Q3" s="3188"/>
      <c r="R3" s="3189">
        <f>SUM(L3:Q3)</f>
        <v>0</v>
      </c>
      <c r="S3" s="3180"/>
      <c r="T3" s="3180"/>
      <c r="U3" s="3180"/>
      <c r="V3" s="3183"/>
      <c r="W3" s="3182"/>
    </row>
    <row r="4" spans="1:23" s="3088" customFormat="1" ht="13.15" customHeight="1">
      <c r="A4" s="3092" t="s">
        <v>2661</v>
      </c>
      <c r="B4" s="3149"/>
      <c r="C4" s="3085"/>
      <c r="D4" s="3085"/>
      <c r="E4" s="3086"/>
      <c r="F4" s="3087"/>
      <c r="G4" s="3181"/>
      <c r="H4" s="3182"/>
      <c r="I4" s="3183"/>
      <c r="J4" s="3560" t="s">
        <v>2662</v>
      </c>
      <c r="K4" s="3561"/>
      <c r="L4" s="3190"/>
      <c r="M4" s="3190"/>
      <c r="N4" s="3190"/>
      <c r="O4" s="3190"/>
      <c r="P4" s="3190"/>
      <c r="Q4" s="3191"/>
      <c r="R4" s="3192">
        <f>SUM(L4:Q4)</f>
        <v>0</v>
      </c>
      <c r="S4" s="3180"/>
      <c r="T4" s="3180"/>
      <c r="U4" s="3180"/>
      <c r="V4" s="3183"/>
      <c r="W4" s="3182"/>
    </row>
    <row r="5" spans="1:23" s="3088" customFormat="1" ht="13.15" customHeight="1" thickBot="1">
      <c r="A5" s="3093" t="s">
        <v>2663</v>
      </c>
      <c r="B5" s="3150"/>
      <c r="C5" s="3085"/>
      <c r="D5" s="3094"/>
      <c r="E5" s="3087"/>
      <c r="F5" s="3087"/>
      <c r="G5" s="3181"/>
      <c r="H5" s="3182"/>
      <c r="I5" s="3183"/>
      <c r="J5" s="3193" t="s">
        <v>2664</v>
      </c>
      <c r="K5" s="3194"/>
      <c r="L5" s="3194"/>
      <c r="M5" s="3195"/>
      <c r="N5" s="3195"/>
      <c r="O5" s="3195"/>
      <c r="P5" s="3195"/>
      <c r="Q5" s="3195"/>
      <c r="R5" s="3186">
        <f>SUM(R14,R19,R24,R25,R27,R28)</f>
        <v>0</v>
      </c>
      <c r="S5" s="3180"/>
      <c r="T5" s="3180" t="s">
        <v>2665</v>
      </c>
      <c r="U5" s="3180" t="e">
        <f>ROUND(R5*10000/365/R3,1)</f>
        <v>#DIV/0!</v>
      </c>
      <c r="V5" s="3183"/>
      <c r="W5" s="3182"/>
    </row>
    <row r="6" spans="1:23" s="3088" customFormat="1" ht="13.15" customHeight="1" thickBot="1">
      <c r="A6" s="3562" t="s">
        <v>2666</v>
      </c>
      <c r="B6" s="3563"/>
      <c r="C6" s="3564"/>
      <c r="D6" s="3151"/>
      <c r="E6" s="3095"/>
      <c r="F6" s="3096"/>
      <c r="G6" s="3196"/>
      <c r="H6" s="3182"/>
      <c r="I6" s="3183"/>
      <c r="J6" s="3565">
        <v>1</v>
      </c>
      <c r="K6" s="3566" t="s">
        <v>2667</v>
      </c>
      <c r="L6" s="3197" t="s">
        <v>2668</v>
      </c>
      <c r="M6" s="3198" t="s">
        <v>2669</v>
      </c>
      <c r="N6" s="3198" t="s">
        <v>2670</v>
      </c>
      <c r="O6" s="3198" t="s">
        <v>2671</v>
      </c>
      <c r="P6" s="3198" t="s">
        <v>2672</v>
      </c>
      <c r="Q6" s="3198" t="s">
        <v>2673</v>
      </c>
      <c r="R6" s="3189" t="s">
        <v>2674</v>
      </c>
      <c r="S6" s="3180"/>
      <c r="T6" s="3180" t="s">
        <v>2675</v>
      </c>
      <c r="U6" s="3180"/>
      <c r="V6" s="3183"/>
      <c r="W6" s="3182"/>
    </row>
    <row r="7" spans="1:23" s="3088" customFormat="1" ht="13.15" customHeight="1">
      <c r="A7" s="3098" t="s">
        <v>2676</v>
      </c>
      <c r="B7" s="3099"/>
      <c r="C7" s="3100"/>
      <c r="D7" s="3101">
        <f>SUM(D9,D10,D11,D17,0)</f>
        <v>0</v>
      </c>
      <c r="E7" s="3102" t="e">
        <f>E9+E10+E11+E17</f>
        <v>#DIV/0!</v>
      </c>
      <c r="F7" s="3103"/>
      <c r="G7" s="3199"/>
      <c r="H7" s="3182"/>
      <c r="I7" s="3183"/>
      <c r="J7" s="3565"/>
      <c r="K7" s="3567"/>
      <c r="L7" s="3200" t="s">
        <v>2776</v>
      </c>
      <c r="M7" s="3201"/>
      <c r="N7" s="3201"/>
      <c r="O7" s="3202"/>
      <c r="P7" s="3202"/>
      <c r="Q7" s="3203">
        <v>365</v>
      </c>
      <c r="R7" s="3204">
        <f>ROUND(M7*N7*O7*P7*Q7/10000,0)</f>
        <v>0</v>
      </c>
      <c r="S7" s="3180"/>
      <c r="T7" s="3180" t="s">
        <v>2677</v>
      </c>
      <c r="U7" s="3180"/>
      <c r="V7" s="3183"/>
      <c r="W7" s="3182"/>
    </row>
    <row r="8" spans="1:23" s="3088" customFormat="1" ht="13.15" customHeight="1">
      <c r="A8" s="3104" t="s">
        <v>2678</v>
      </c>
      <c r="B8" s="3569" t="s">
        <v>2679</v>
      </c>
      <c r="C8" s="3570"/>
      <c r="D8" s="3105" t="s">
        <v>2680</v>
      </c>
      <c r="E8" s="3106" t="s">
        <v>2681</v>
      </c>
      <c r="F8" s="3089" t="s">
        <v>2682</v>
      </c>
      <c r="G8" s="3259" t="s">
        <v>2790</v>
      </c>
      <c r="H8" s="3182"/>
      <c r="I8" s="3183"/>
      <c r="J8" s="3565"/>
      <c r="K8" s="3567"/>
      <c r="L8" s="3200" t="s">
        <v>2777</v>
      </c>
      <c r="M8" s="3201"/>
      <c r="N8" s="3201"/>
      <c r="O8" s="3202"/>
      <c r="P8" s="3202"/>
      <c r="Q8" s="3203">
        <v>365</v>
      </c>
      <c r="R8" s="3204">
        <f t="shared" ref="R8:R13" si="0">ROUND(M8*N8*O8*P8*Q8/10000,0)</f>
        <v>0</v>
      </c>
      <c r="S8" s="3180"/>
      <c r="T8" s="3180" t="s">
        <v>2683</v>
      </c>
      <c r="U8" s="3180"/>
      <c r="V8" s="3183"/>
      <c r="W8" s="3182"/>
    </row>
    <row r="9" spans="1:23" s="3088" customFormat="1" ht="13.15" customHeight="1">
      <c r="A9" s="3104">
        <v>1</v>
      </c>
      <c r="B9" s="3569" t="s">
        <v>2684</v>
      </c>
      <c r="C9" s="3570"/>
      <c r="D9" s="3105">
        <f>ROUND(D6*E9,0)</f>
        <v>0</v>
      </c>
      <c r="E9" s="3152"/>
      <c r="F9" s="3107" t="s">
        <v>2685</v>
      </c>
      <c r="G9" s="3205" t="s">
        <v>2788</v>
      </c>
      <c r="H9" s="3182"/>
      <c r="I9" s="3183"/>
      <c r="J9" s="3565"/>
      <c r="K9" s="3567"/>
      <c r="L9" s="3200" t="s">
        <v>2778</v>
      </c>
      <c r="M9" s="3201"/>
      <c r="N9" s="3201"/>
      <c r="O9" s="3202"/>
      <c r="P9" s="3202"/>
      <c r="Q9" s="3203">
        <v>365</v>
      </c>
      <c r="R9" s="3204">
        <f t="shared" si="0"/>
        <v>0</v>
      </c>
      <c r="S9" s="3180"/>
      <c r="T9" s="3180"/>
      <c r="U9" s="3180"/>
      <c r="V9" s="3183"/>
      <c r="W9" s="3182"/>
    </row>
    <row r="10" spans="1:23" s="3088" customFormat="1" ht="13.15" customHeight="1">
      <c r="A10" s="3104">
        <v>2</v>
      </c>
      <c r="B10" s="3569" t="s">
        <v>2686</v>
      </c>
      <c r="C10" s="3570"/>
      <c r="D10" s="3105">
        <f>ROUND(D6*E10,0)</f>
        <v>0</v>
      </c>
      <c r="E10" s="3152"/>
      <c r="F10" s="3107" t="s">
        <v>2687</v>
      </c>
      <c r="G10" s="3205" t="s">
        <v>2789</v>
      </c>
      <c r="H10" s="3182"/>
      <c r="I10" s="3183"/>
      <c r="J10" s="3565"/>
      <c r="K10" s="3567"/>
      <c r="L10" s="3200" t="s">
        <v>2779</v>
      </c>
      <c r="M10" s="3201"/>
      <c r="N10" s="3201"/>
      <c r="O10" s="3202"/>
      <c r="P10" s="3202"/>
      <c r="Q10" s="3203">
        <v>365</v>
      </c>
      <c r="R10" s="3204">
        <f t="shared" si="0"/>
        <v>0</v>
      </c>
      <c r="S10" s="3180"/>
      <c r="T10" s="3180"/>
      <c r="U10" s="3180"/>
      <c r="V10" s="3183"/>
      <c r="W10" s="3182"/>
    </row>
    <row r="11" spans="1:23" s="3088" customFormat="1" ht="13.15" customHeight="1">
      <c r="A11" s="3104">
        <v>3</v>
      </c>
      <c r="B11" s="3569" t="s">
        <v>2688</v>
      </c>
      <c r="C11" s="3570"/>
      <c r="D11" s="3105">
        <f>D12+D14+D15+D16</f>
        <v>0</v>
      </c>
      <c r="E11" s="3108" t="e">
        <f>D11/D6</f>
        <v>#DIV/0!</v>
      </c>
      <c r="F11" s="3089"/>
      <c r="G11" s="3205"/>
      <c r="H11" s="3182"/>
      <c r="I11" s="3183"/>
      <c r="J11" s="3565"/>
      <c r="K11" s="3567"/>
      <c r="L11" s="3200" t="s">
        <v>2780</v>
      </c>
      <c r="M11" s="3201"/>
      <c r="N11" s="3201"/>
      <c r="O11" s="3202"/>
      <c r="P11" s="3202"/>
      <c r="Q11" s="3203">
        <v>365</v>
      </c>
      <c r="R11" s="3204">
        <f t="shared" si="0"/>
        <v>0</v>
      </c>
      <c r="S11" s="3180"/>
      <c r="T11" s="3180"/>
      <c r="U11" s="3180"/>
      <c r="V11" s="3183"/>
      <c r="W11" s="3182"/>
    </row>
    <row r="12" spans="1:23" s="3088" customFormat="1" ht="13.15" customHeight="1">
      <c r="A12" s="3109" t="s">
        <v>2689</v>
      </c>
      <c r="B12" s="3571" t="s">
        <v>2690</v>
      </c>
      <c r="C12" s="3572"/>
      <c r="D12" s="3110">
        <f>ROUND(D13*1.2%*(1-30%),0)</f>
        <v>0</v>
      </c>
      <c r="E12" s="3111">
        <v>1.2E-2</v>
      </c>
      <c r="F12" s="3089" t="s">
        <v>2691</v>
      </c>
      <c r="G12" s="3205"/>
      <c r="H12" s="3182"/>
      <c r="I12" s="3183"/>
      <c r="J12" s="3565"/>
      <c r="K12" s="3567"/>
      <c r="L12" s="3200" t="s">
        <v>2781</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2692</v>
      </c>
      <c r="D13" s="3153"/>
      <c r="E13" s="3114"/>
      <c r="F13" s="3089"/>
      <c r="G13" s="3205"/>
      <c r="H13" s="3182"/>
      <c r="I13" s="3183"/>
      <c r="J13" s="3565"/>
      <c r="K13" s="3567"/>
      <c r="L13" s="3200" t="s">
        <v>2782</v>
      </c>
      <c r="M13" s="3201"/>
      <c r="N13" s="3201"/>
      <c r="O13" s="3202"/>
      <c r="P13" s="3202"/>
      <c r="Q13" s="3203">
        <v>365</v>
      </c>
      <c r="R13" s="3204">
        <f t="shared" si="0"/>
        <v>0</v>
      </c>
      <c r="S13" s="3180"/>
      <c r="T13" s="3180"/>
      <c r="U13" s="3180"/>
      <c r="V13" s="3183"/>
      <c r="W13" s="3182"/>
    </row>
    <row r="14" spans="1:23" s="3088" customFormat="1" ht="13.15" customHeight="1">
      <c r="A14" s="3109" t="s">
        <v>2693</v>
      </c>
      <c r="B14" s="3571" t="s">
        <v>2694</v>
      </c>
      <c r="C14" s="3572"/>
      <c r="D14" s="3110">
        <f>ROUND(E14*B5/10000,0)</f>
        <v>0</v>
      </c>
      <c r="E14" s="3154"/>
      <c r="F14" s="3089" t="s">
        <v>2695</v>
      </c>
      <c r="G14" s="3205"/>
      <c r="H14" s="3182"/>
      <c r="I14" s="3183"/>
      <c r="J14" s="3565"/>
      <c r="K14" s="3568"/>
      <c r="L14" s="3206" t="s">
        <v>2696</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2697</v>
      </c>
      <c r="B15" s="3571" t="s">
        <v>2698</v>
      </c>
      <c r="C15" s="3572"/>
      <c r="D15" s="3110">
        <f>ROUND(D6*E15,0)</f>
        <v>0</v>
      </c>
      <c r="E15" s="3111">
        <v>5.5E-2</v>
      </c>
      <c r="F15" s="3089" t="s">
        <v>2699</v>
      </c>
      <c r="G15" s="3205"/>
      <c r="H15" s="3182"/>
      <c r="I15" s="3183"/>
      <c r="J15" s="3565">
        <v>2</v>
      </c>
      <c r="K15" s="3566" t="s">
        <v>2700</v>
      </c>
      <c r="L15" s="3210" t="s">
        <v>2701</v>
      </c>
      <c r="M15" s="3211" t="s">
        <v>2702</v>
      </c>
      <c r="N15" s="3211" t="s">
        <v>2703</v>
      </c>
      <c r="O15" s="3212" t="s">
        <v>2704</v>
      </c>
      <c r="P15" s="3212" t="s">
        <v>2705</v>
      </c>
      <c r="Q15" s="3149" t="s">
        <v>2706</v>
      </c>
      <c r="R15" s="3213" t="s">
        <v>2707</v>
      </c>
      <c r="S15" s="3180"/>
      <c r="T15" s="3180"/>
      <c r="U15" s="3180"/>
      <c r="V15" s="3183"/>
      <c r="W15" s="3182"/>
    </row>
    <row r="16" spans="1:23" s="3088" customFormat="1" ht="13.15" customHeight="1">
      <c r="A16" s="3109" t="s">
        <v>2708</v>
      </c>
      <c r="B16" s="3571" t="s">
        <v>2709</v>
      </c>
      <c r="C16" s="3572"/>
      <c r="D16" s="3155">
        <f>D6*E16</f>
        <v>0</v>
      </c>
      <c r="E16" s="3156"/>
      <c r="F16" s="3107" t="s">
        <v>2710</v>
      </c>
      <c r="G16" s="3205"/>
      <c r="H16" s="3182"/>
      <c r="I16" s="3183"/>
      <c r="J16" s="3565"/>
      <c r="K16" s="3567"/>
      <c r="L16" s="3200" t="s">
        <v>2783</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573" t="s">
        <v>2711</v>
      </c>
      <c r="C17" s="3574"/>
      <c r="D17" s="3116">
        <f>ROUND(D6*E17,0)</f>
        <v>0</v>
      </c>
      <c r="E17" s="3157"/>
      <c r="F17" s="3117" t="s">
        <v>2712</v>
      </c>
      <c r="G17" s="3258">
        <v>0.1</v>
      </c>
      <c r="H17" s="3182"/>
      <c r="I17" s="3183"/>
      <c r="J17" s="3565"/>
      <c r="K17" s="3567"/>
      <c r="L17" s="3200" t="s">
        <v>2784</v>
      </c>
      <c r="M17" s="3201"/>
      <c r="N17" s="3201"/>
      <c r="O17" s="3202"/>
      <c r="P17" s="3203">
        <v>365</v>
      </c>
      <c r="Q17" s="3201"/>
      <c r="R17" s="3214">
        <f>ROUND(M17*N17*O17*P17/10000,0)</f>
        <v>0</v>
      </c>
      <c r="S17" s="3180"/>
      <c r="T17" s="3180"/>
      <c r="U17" s="3180"/>
      <c r="V17" s="3183"/>
      <c r="W17" s="3182"/>
    </row>
    <row r="18" spans="1:23" s="3088" customFormat="1" ht="13.15" customHeight="1" thickBot="1">
      <c r="A18" s="3098" t="s">
        <v>2713</v>
      </c>
      <c r="B18" s="3099"/>
      <c r="C18" s="3099"/>
      <c r="D18" s="3118">
        <f>ROUND(D6*E18,0)</f>
        <v>0</v>
      </c>
      <c r="E18" s="3158"/>
      <c r="F18" s="3119" t="s">
        <v>2714</v>
      </c>
      <c r="G18" s="3258">
        <v>0.05</v>
      </c>
      <c r="H18" s="3182"/>
      <c r="I18" s="3183"/>
      <c r="J18" s="3565"/>
      <c r="K18" s="3567"/>
      <c r="L18" s="3200" t="s">
        <v>2785</v>
      </c>
      <c r="M18" s="3201"/>
      <c r="N18" s="3201"/>
      <c r="O18" s="3202"/>
      <c r="P18" s="3203">
        <v>365</v>
      </c>
      <c r="Q18" s="3201"/>
      <c r="R18" s="3214">
        <f>ROUND(M18*N18*O18*P18/10000,0)</f>
        <v>0</v>
      </c>
      <c r="S18" s="3180"/>
      <c r="T18" s="3180"/>
      <c r="U18" s="3180"/>
      <c r="V18" s="3183"/>
      <c r="W18" s="3182"/>
    </row>
    <row r="19" spans="1:23" s="3088" customFormat="1" ht="13.15" customHeight="1" thickBot="1">
      <c r="A19" s="3120" t="s">
        <v>2715</v>
      </c>
      <c r="B19" s="3095"/>
      <c r="C19" s="3095"/>
      <c r="D19" s="3095"/>
      <c r="E19" s="3095"/>
      <c r="F19" s="3096"/>
      <c r="G19" s="3205"/>
      <c r="H19" s="3182"/>
      <c r="I19" s="3183"/>
      <c r="J19" s="3565"/>
      <c r="K19" s="3568"/>
      <c r="L19" s="3206" t="s">
        <v>2696</v>
      </c>
      <c r="M19" s="3207"/>
      <c r="N19" s="3207">
        <f>SUM(N16:N18)</f>
        <v>0</v>
      </c>
      <c r="O19" s="3208"/>
      <c r="P19" s="3215" t="s">
        <v>2786</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565">
        <v>3</v>
      </c>
      <c r="K20" s="3566" t="s">
        <v>2716</v>
      </c>
      <c r="L20" s="3210" t="s">
        <v>2717</v>
      </c>
      <c r="M20" s="3211" t="s">
        <v>2718</v>
      </c>
      <c r="N20" s="3217" t="s">
        <v>2719</v>
      </c>
      <c r="O20" s="3212" t="s">
        <v>2720</v>
      </c>
      <c r="P20" s="3154" t="s">
        <v>2705</v>
      </c>
      <c r="Q20" s="3149" t="s">
        <v>2706</v>
      </c>
      <c r="R20" s="3213" t="s">
        <v>2707</v>
      </c>
      <c r="S20" s="3218"/>
      <c r="T20" s="3218"/>
      <c r="U20" s="3218"/>
      <c r="V20" s="3183"/>
      <c r="W20" s="3182"/>
    </row>
    <row r="21" spans="1:23" s="3088" customFormat="1" ht="13.15" customHeight="1">
      <c r="A21" s="3098"/>
      <c r="B21" s="3099"/>
      <c r="C21" s="3122" t="s">
        <v>2721</v>
      </c>
      <c r="D21" s="3123" t="s">
        <v>2722</v>
      </c>
      <c r="E21" s="3124" t="s">
        <v>2723</v>
      </c>
      <c r="F21" s="3121"/>
      <c r="G21" s="3205"/>
      <c r="H21" s="3182"/>
      <c r="I21" s="3183"/>
      <c r="J21" s="3565"/>
      <c r="K21" s="3567"/>
      <c r="L21" s="3210" t="s">
        <v>2724</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2725</v>
      </c>
      <c r="D22" s="3160" t="s">
        <v>2726</v>
      </c>
      <c r="E22" s="3161" t="s">
        <v>2727</v>
      </c>
      <c r="F22" s="3121"/>
      <c r="G22" s="3220"/>
      <c r="H22" s="3182"/>
      <c r="I22" s="3183"/>
      <c r="J22" s="3565"/>
      <c r="K22" s="3567"/>
      <c r="L22" s="3210" t="s">
        <v>2728</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2729</v>
      </c>
      <c r="C23" s="3126">
        <f>D6</f>
        <v>0</v>
      </c>
      <c r="D23" s="3127">
        <f>C23*(1+D24)</f>
        <v>0</v>
      </c>
      <c r="E23" s="3128">
        <f>D23*(1+E24)</f>
        <v>0</v>
      </c>
      <c r="F23" s="3129"/>
      <c r="G23" s="3221"/>
      <c r="H23" s="3182"/>
      <c r="I23" s="3183"/>
      <c r="J23" s="3565"/>
      <c r="K23" s="3567"/>
      <c r="L23" s="3210" t="s">
        <v>2730</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2731</v>
      </c>
      <c r="C24" s="3132"/>
      <c r="D24" s="3162"/>
      <c r="E24" s="3163"/>
      <c r="F24" s="3133"/>
      <c r="G24" s="3221"/>
      <c r="H24" s="3182"/>
      <c r="I24" s="3183"/>
      <c r="J24" s="3565"/>
      <c r="K24" s="3568"/>
      <c r="L24" s="3206" t="s">
        <v>2696</v>
      </c>
      <c r="M24" s="3207">
        <f>SUM(M21:M23)</f>
        <v>0</v>
      </c>
      <c r="N24" s="3207"/>
      <c r="O24" s="3208"/>
      <c r="P24" s="3215" t="s">
        <v>2786</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2732</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2733</v>
      </c>
      <c r="C26" s="3126">
        <f>D7</f>
        <v>0</v>
      </c>
      <c r="D26" s="3127">
        <f>D23*D27</f>
        <v>0</v>
      </c>
      <c r="E26" s="3128">
        <f>E23*E27</f>
        <v>0</v>
      </c>
      <c r="F26" s="3129"/>
      <c r="G26" s="3221"/>
      <c r="H26" s="3182"/>
      <c r="I26" s="3183"/>
      <c r="J26" s="3575">
        <v>5</v>
      </c>
      <c r="K26" s="3229" t="s">
        <v>2734</v>
      </c>
      <c r="L26" s="3230"/>
      <c r="M26" s="3231"/>
      <c r="N26" s="3232" t="s">
        <v>2735</v>
      </c>
      <c r="O26" s="3232" t="s">
        <v>2736</v>
      </c>
      <c r="P26" s="3233" t="s">
        <v>2737</v>
      </c>
      <c r="Q26" s="3233" t="s">
        <v>2738</v>
      </c>
      <c r="R26" s="3189" t="s">
        <v>2707</v>
      </c>
      <c r="S26" s="3234"/>
      <c r="T26" s="3234"/>
      <c r="U26" s="3234"/>
      <c r="V26" s="3227"/>
      <c r="W26" s="3228"/>
    </row>
    <row r="27" spans="1:23" s="3088" customFormat="1" ht="13.15" customHeight="1">
      <c r="A27" s="3130"/>
      <c r="B27" s="3131" t="s">
        <v>2739</v>
      </c>
      <c r="C27" s="3135" t="e">
        <f>E7</f>
        <v>#DIV/0!</v>
      </c>
      <c r="D27" s="3162"/>
      <c r="E27" s="3163"/>
      <c r="F27" s="3133"/>
      <c r="G27" s="3221"/>
      <c r="H27" s="3228"/>
      <c r="I27" s="3227"/>
      <c r="J27" s="3576"/>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2740</v>
      </c>
      <c r="F28" s="3133"/>
      <c r="G28" s="3220"/>
      <c r="H28" s="3228"/>
      <c r="I28" s="3227"/>
      <c r="J28" s="3240">
        <v>6</v>
      </c>
      <c r="K28" s="3241" t="s">
        <v>2741</v>
      </c>
      <c r="L28" s="3242" t="s">
        <v>2742</v>
      </c>
      <c r="M28" s="3243"/>
      <c r="N28" s="3242" t="s">
        <v>2743</v>
      </c>
      <c r="O28" s="3244"/>
      <c r="P28" s="3242" t="s">
        <v>2744</v>
      </c>
      <c r="Q28" s="3245">
        <v>1.4999999999999999E-2</v>
      </c>
      <c r="R28" s="3246"/>
      <c r="S28" s="3218"/>
      <c r="T28" s="3218"/>
      <c r="U28" s="3218"/>
      <c r="V28" s="3227"/>
      <c r="W28" s="3228"/>
    </row>
    <row r="29" spans="1:23" s="3134" customFormat="1" ht="13.15" customHeight="1">
      <c r="A29" s="3125">
        <v>3</v>
      </c>
      <c r="B29" s="3097" t="s">
        <v>2745</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2739</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2746</v>
      </c>
      <c r="K31" s="3178"/>
      <c r="L31" s="3178"/>
      <c r="M31" s="3178"/>
      <c r="N31" s="3178"/>
      <c r="O31" s="3178"/>
      <c r="P31" s="3178"/>
      <c r="Q31" s="3178"/>
      <c r="R31" s="3179"/>
      <c r="S31" s="3218"/>
      <c r="T31" s="3180"/>
      <c r="U31" s="3180"/>
      <c r="V31" s="3227"/>
      <c r="W31" s="3228"/>
    </row>
    <row r="32" spans="1:23" s="3134" customFormat="1" ht="13.15" customHeight="1">
      <c r="A32" s="3125">
        <v>4</v>
      </c>
      <c r="B32" s="3097" t="s">
        <v>2747</v>
      </c>
      <c r="C32" s="3126">
        <f>C23-C26-C29</f>
        <v>0</v>
      </c>
      <c r="D32" s="3127">
        <f>D23-D26-D29</f>
        <v>0</v>
      </c>
      <c r="E32" s="3128">
        <f>E23-E26-E29</f>
        <v>0</v>
      </c>
      <c r="F32" s="3129"/>
      <c r="G32" s="3220"/>
      <c r="H32" s="3182"/>
      <c r="I32" s="3183"/>
      <c r="J32" s="3558" t="s">
        <v>2748</v>
      </c>
      <c r="K32" s="3559"/>
      <c r="L32" s="3184" t="s">
        <v>2749</v>
      </c>
      <c r="M32" s="3184" t="s">
        <v>2652</v>
      </c>
      <c r="N32" s="3184" t="s">
        <v>2653</v>
      </c>
      <c r="O32" s="3184" t="s">
        <v>2654</v>
      </c>
      <c r="P32" s="3184" t="s">
        <v>2655</v>
      </c>
      <c r="Q32" s="3185" t="s">
        <v>2750</v>
      </c>
      <c r="R32" s="3247" t="s">
        <v>2751</v>
      </c>
      <c r="S32" s="3218"/>
      <c r="T32" s="3180"/>
      <c r="U32" s="3180"/>
      <c r="V32" s="3227"/>
      <c r="W32" s="3228"/>
    </row>
    <row r="33" spans="1:23" s="3088" customFormat="1" ht="13.15" customHeight="1">
      <c r="A33" s="3125"/>
      <c r="B33" s="3097"/>
      <c r="C33" s="3126"/>
      <c r="D33" s="3137"/>
      <c r="E33" s="3138"/>
      <c r="F33" s="3129"/>
      <c r="G33" s="3220"/>
      <c r="H33" s="3228"/>
      <c r="I33" s="3227"/>
      <c r="J33" s="3560" t="s">
        <v>2752</v>
      </c>
      <c r="K33" s="3561"/>
      <c r="L33" s="3187"/>
      <c r="M33" s="3187"/>
      <c r="N33" s="3187"/>
      <c r="O33" s="3187"/>
      <c r="P33" s="3187"/>
      <c r="Q33" s="3188"/>
      <c r="R33" s="3248">
        <f>SUM(L33:Q33)</f>
        <v>0</v>
      </c>
      <c r="S33" s="3218"/>
      <c r="T33" s="3180"/>
      <c r="U33" s="3180"/>
      <c r="V33" s="3183"/>
      <c r="W33" s="3182"/>
    </row>
    <row r="34" spans="1:23" s="3088" customFormat="1" ht="13.15" customHeight="1">
      <c r="A34" s="3125">
        <v>5</v>
      </c>
      <c r="B34" s="3097" t="s">
        <v>2753</v>
      </c>
      <c r="C34" s="3165"/>
      <c r="D34" s="3166"/>
      <c r="E34" s="3167"/>
      <c r="F34" s="3129"/>
      <c r="G34" s="3220"/>
      <c r="H34" s="3228"/>
      <c r="I34" s="3227"/>
      <c r="J34" s="3560" t="s">
        <v>2754</v>
      </c>
      <c r="K34" s="3561"/>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2755</v>
      </c>
      <c r="C35" s="3168"/>
      <c r="D35" s="3169"/>
      <c r="E35" s="3170"/>
      <c r="F35" s="3129"/>
      <c r="G35" s="3250"/>
      <c r="H35" s="3182"/>
      <c r="I35" s="3227"/>
      <c r="J35" s="3193" t="s">
        <v>2756</v>
      </c>
      <c r="K35" s="3194"/>
      <c r="L35" s="3194"/>
      <c r="M35" s="3195"/>
      <c r="N35" s="3195"/>
      <c r="O35" s="3195"/>
      <c r="P35" s="3195"/>
      <c r="Q35" s="3195"/>
      <c r="R35" s="3251">
        <f>R40+R41+R43</f>
        <v>0</v>
      </c>
      <c r="S35" s="3218"/>
      <c r="T35" s="3180" t="s">
        <v>2757</v>
      </c>
      <c r="U35" s="3180"/>
      <c r="V35" s="3183"/>
      <c r="W35" s="3182"/>
    </row>
    <row r="36" spans="1:23" s="3088" customFormat="1" ht="13.15" customHeight="1" thickBot="1">
      <c r="A36" s="3125">
        <v>7</v>
      </c>
      <c r="B36" s="3139" t="s">
        <v>2758</v>
      </c>
      <c r="C36" s="3171"/>
      <c r="D36" s="3172"/>
      <c r="E36" s="3173"/>
      <c r="F36" s="3140">
        <f>C36+D36+E36</f>
        <v>0</v>
      </c>
      <c r="G36" s="3220"/>
      <c r="H36" s="3182"/>
      <c r="I36" s="3183"/>
      <c r="J36" s="3565">
        <v>1</v>
      </c>
      <c r="K36" s="3566" t="s">
        <v>2759</v>
      </c>
      <c r="L36" s="3197"/>
      <c r="M36" s="3198"/>
      <c r="N36" s="3198"/>
      <c r="O36" s="3198"/>
      <c r="P36" s="3198"/>
      <c r="Q36" s="3198"/>
      <c r="R36" s="3189" t="s">
        <v>2707</v>
      </c>
      <c r="S36" s="3218"/>
      <c r="T36" s="3180" t="s">
        <v>2760</v>
      </c>
      <c r="U36" s="3180"/>
      <c r="V36" s="3183"/>
      <c r="W36" s="3182"/>
    </row>
    <row r="37" spans="1:23" s="3088" customFormat="1" ht="13.15" customHeight="1">
      <c r="A37" s="3125"/>
      <c r="B37" s="3097"/>
      <c r="C37" s="3097"/>
      <c r="D37" s="3097"/>
      <c r="E37" s="3097"/>
      <c r="F37" s="3129"/>
      <c r="G37" s="3220"/>
      <c r="H37" s="3182"/>
      <c r="I37" s="3183"/>
      <c r="J37" s="3565"/>
      <c r="K37" s="3567"/>
      <c r="L37" s="3210"/>
      <c r="M37" s="3211"/>
      <c r="N37" s="3149"/>
      <c r="O37" s="3212"/>
      <c r="P37" s="3212"/>
      <c r="Q37" s="3154"/>
      <c r="R37" s="3252"/>
      <c r="S37" s="3218"/>
      <c r="T37" s="3180" t="s">
        <v>2761</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565"/>
      <c r="K38" s="3567"/>
      <c r="L38" s="3210"/>
      <c r="M38" s="3211"/>
      <c r="N38" s="3149"/>
      <c r="O38" s="3212"/>
      <c r="P38" s="3212"/>
      <c r="Q38" s="3154"/>
      <c r="R38" s="3252"/>
      <c r="S38" s="3218"/>
      <c r="T38" s="3180" t="s">
        <v>2683</v>
      </c>
      <c r="U38" s="3180"/>
      <c r="V38" s="3183"/>
      <c r="W38" s="3182"/>
    </row>
    <row r="39" spans="1:23" s="3088" customFormat="1" ht="13.15" customHeight="1">
      <c r="A39" s="3125">
        <v>9</v>
      </c>
      <c r="B39" s="3097" t="s">
        <v>2762</v>
      </c>
      <c r="C39" s="3110" t="e">
        <f>C38</f>
        <v>#DIV/0!</v>
      </c>
      <c r="D39" s="3097">
        <f>D38/(1+D34)^C36</f>
        <v>0</v>
      </c>
      <c r="E39" s="3097">
        <f>E38/(1+E34)^(C36+D36)</f>
        <v>0</v>
      </c>
      <c r="F39" s="3129"/>
      <c r="G39" s="3253"/>
      <c r="H39" s="3182"/>
      <c r="I39" s="3183"/>
      <c r="J39" s="3565"/>
      <c r="K39" s="3567"/>
      <c r="L39" s="3210"/>
      <c r="M39" s="3211"/>
      <c r="N39" s="3149"/>
      <c r="O39" s="3212"/>
      <c r="P39" s="3212"/>
      <c r="Q39" s="3154"/>
      <c r="R39" s="3252"/>
      <c r="S39" s="3218"/>
      <c r="T39" s="3180"/>
      <c r="U39" s="3180"/>
      <c r="V39" s="3183"/>
      <c r="W39" s="3182"/>
    </row>
    <row r="40" spans="1:23" s="3088" customFormat="1" ht="13.15" customHeight="1">
      <c r="A40" s="3141">
        <v>10</v>
      </c>
      <c r="B40" s="3097" t="s">
        <v>2763</v>
      </c>
      <c r="C40" s="3142" t="e">
        <f>C39+D39+E39</f>
        <v>#DIV/0!</v>
      </c>
      <c r="D40" s="3143"/>
      <c r="E40" s="3143"/>
      <c r="F40" s="3144"/>
      <c r="G40" s="3220"/>
      <c r="H40" s="3182"/>
      <c r="I40" s="3183"/>
      <c r="J40" s="3565"/>
      <c r="K40" s="3568"/>
      <c r="L40" s="3206" t="s">
        <v>2764</v>
      </c>
      <c r="M40" s="3207"/>
      <c r="N40" s="3207"/>
      <c r="O40" s="3208"/>
      <c r="P40" s="3208"/>
      <c r="Q40" s="3209"/>
      <c r="R40" s="3186">
        <f>SUM(R37:R39)</f>
        <v>0</v>
      </c>
      <c r="S40" s="3218"/>
      <c r="T40" s="3180"/>
      <c r="U40" s="3180"/>
      <c r="V40" s="3183"/>
      <c r="W40" s="3182"/>
    </row>
    <row r="41" spans="1:23" s="3088" customFormat="1" ht="13.15" customHeight="1" thickBot="1">
      <c r="A41" s="3145">
        <v>11</v>
      </c>
      <c r="B41" s="3146" t="s">
        <v>2765</v>
      </c>
      <c r="C41" s="3146" t="e">
        <f>ROUND(C40*10000/B4,0)</f>
        <v>#DIV/0!</v>
      </c>
      <c r="D41" s="3147"/>
      <c r="E41" s="3147"/>
      <c r="F41" s="3148"/>
      <c r="G41" s="3254"/>
      <c r="H41" s="3182"/>
      <c r="I41" s="3183"/>
      <c r="J41" s="3222">
        <v>2</v>
      </c>
      <c r="K41" s="3223" t="s">
        <v>2766</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575">
        <v>3</v>
      </c>
      <c r="K42" s="3229" t="s">
        <v>2767</v>
      </c>
      <c r="L42" s="3230"/>
      <c r="M42" s="3231"/>
      <c r="N42" s="3232" t="s">
        <v>2768</v>
      </c>
      <c r="O42" s="3232" t="s">
        <v>2769</v>
      </c>
      <c r="P42" s="3233" t="s">
        <v>2770</v>
      </c>
      <c r="Q42" s="3233" t="s">
        <v>2771</v>
      </c>
      <c r="R42" s="3189" t="s">
        <v>2674</v>
      </c>
      <c r="S42" s="3234"/>
      <c r="T42" s="3234"/>
      <c r="U42" s="3180"/>
      <c r="V42" s="3183"/>
      <c r="W42" s="3182"/>
    </row>
    <row r="43" spans="1:23" ht="13.15" customHeight="1">
      <c r="A43" s="3088"/>
      <c r="B43" s="3088"/>
      <c r="C43" s="3088"/>
      <c r="D43" s="3088"/>
      <c r="E43" s="3088"/>
      <c r="F43" s="3088"/>
      <c r="I43" s="3175"/>
      <c r="J43" s="3576"/>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2772</v>
      </c>
      <c r="L44" s="3257" t="s">
        <v>2773</v>
      </c>
      <c r="M44" s="3243"/>
      <c r="N44" s="3257" t="s">
        <v>2774</v>
      </c>
      <c r="O44" s="3243"/>
      <c r="P44" s="3257" t="s">
        <v>2775</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3"/>
      <c r="W24" s="2904" t="s">
        <v>1990</v>
      </c>
      <c r="X24" s="2173" t="s">
        <v>1991</v>
      </c>
      <c r="Y24" s="2903"/>
      <c r="Z24" s="2905"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464.13</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616" t="s">
        <v>2007</v>
      </c>
      <c r="D4" s="3617"/>
      <c r="E4" s="3618" t="s">
        <v>2008</v>
      </c>
      <c r="F4" s="3619"/>
      <c r="G4" s="3616" t="s">
        <v>2009</v>
      </c>
      <c r="H4" s="3617"/>
      <c r="I4" s="3616" t="s">
        <v>2010</v>
      </c>
      <c r="J4" s="3617"/>
      <c r="K4" s="1593" t="s">
        <v>2011</v>
      </c>
      <c r="L4" s="2912"/>
      <c r="M4" s="2913"/>
      <c r="N4" s="2913"/>
      <c r="O4" s="2913"/>
      <c r="P4" s="3620" t="s">
        <v>2012</v>
      </c>
      <c r="Q4" s="3621"/>
      <c r="R4" s="3605" t="s">
        <v>2008</v>
      </c>
      <c r="S4" s="3606"/>
      <c r="T4" s="3605" t="s">
        <v>2009</v>
      </c>
      <c r="U4" s="3606"/>
      <c r="V4" s="3626" t="s">
        <v>2010</v>
      </c>
      <c r="W4" s="3626"/>
      <c r="X4" s="1594"/>
      <c r="Y4" s="3605" t="s">
        <v>2012</v>
      </c>
      <c r="Z4" s="3606"/>
      <c r="AA4" s="3613" t="s">
        <v>2008</v>
      </c>
      <c r="AB4" s="3613" t="s">
        <v>2009</v>
      </c>
      <c r="AC4" s="3613" t="s">
        <v>2010</v>
      </c>
    </row>
    <row r="5" spans="1:29" ht="15">
      <c r="A5" s="1596"/>
      <c r="B5" s="1597"/>
      <c r="C5" s="3601" t="s">
        <v>2013</v>
      </c>
      <c r="D5" s="3602"/>
      <c r="E5" s="3627" t="s">
        <v>2014</v>
      </c>
      <c r="F5" s="3628"/>
      <c r="G5" s="3601" t="s">
        <v>2015</v>
      </c>
      <c r="H5" s="3602"/>
      <c r="I5" s="3601" t="s">
        <v>2016</v>
      </c>
      <c r="J5" s="3602"/>
      <c r="K5" s="1598"/>
      <c r="L5" s="2912"/>
      <c r="M5" s="2913"/>
      <c r="N5" s="2913"/>
      <c r="O5" s="2913"/>
      <c r="P5" s="3622"/>
      <c r="Q5" s="3623"/>
      <c r="R5" s="3607"/>
      <c r="S5" s="3608"/>
      <c r="T5" s="3607"/>
      <c r="U5" s="3608"/>
      <c r="V5" s="3626"/>
      <c r="W5" s="3626"/>
      <c r="X5" s="1594"/>
      <c r="Y5" s="3607"/>
      <c r="Z5" s="3608"/>
      <c r="AA5" s="3614"/>
      <c r="AB5" s="3614"/>
      <c r="AC5" s="3614"/>
    </row>
    <row r="6" spans="1:29" ht="15.75" thickBot="1">
      <c r="A6" s="1599"/>
      <c r="B6" s="1600"/>
      <c r="C6" s="3599" t="s">
        <v>2017</v>
      </c>
      <c r="D6" s="3600"/>
      <c r="E6" s="3629" t="s">
        <v>2017</v>
      </c>
      <c r="F6" s="3630"/>
      <c r="G6" s="3599" t="s">
        <v>2017</v>
      </c>
      <c r="H6" s="3600"/>
      <c r="I6" s="3599" t="s">
        <v>2017</v>
      </c>
      <c r="J6" s="3600"/>
      <c r="K6" s="1598" t="s">
        <v>2018</v>
      </c>
      <c r="L6" s="2912"/>
      <c r="M6" s="2913"/>
      <c r="N6" s="2913"/>
      <c r="O6" s="2913"/>
      <c r="P6" s="3624"/>
      <c r="Q6" s="3625"/>
      <c r="R6" s="3607"/>
      <c r="S6" s="3608"/>
      <c r="T6" s="3609"/>
      <c r="U6" s="3610"/>
      <c r="V6" s="3626"/>
      <c r="W6" s="3626"/>
      <c r="X6" s="1594"/>
      <c r="Y6" s="3609"/>
      <c r="Z6" s="3610"/>
      <c r="AA6" s="3615"/>
      <c r="AB6" s="3615"/>
      <c r="AC6" s="3615"/>
    </row>
    <row r="7" spans="1:29" s="1613" customFormat="1" ht="15.7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607"/>
      <c r="L7" s="2912"/>
      <c r="M7" s="2885"/>
      <c r="N7" s="2885"/>
      <c r="O7" s="2885"/>
      <c r="P7" s="3603" t="s">
        <v>2020</v>
      </c>
      <c r="Q7" s="3611"/>
      <c r="R7" s="1609" t="s">
        <v>34</v>
      </c>
      <c r="S7" s="1610">
        <f t="shared" ref="S7:S15" si="0">F7</f>
        <v>0</v>
      </c>
      <c r="T7" s="1609" t="s">
        <v>34</v>
      </c>
      <c r="U7" s="1610">
        <f t="shared" ref="U7:U15" si="1">H7</f>
        <v>0</v>
      </c>
      <c r="V7" s="1609" t="s">
        <v>34</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2"/>
      <c r="M8" s="2885"/>
      <c r="N8" s="2885"/>
      <c r="O8" s="2885"/>
      <c r="P8" s="3603" t="s">
        <v>2023</v>
      </c>
      <c r="Q8" s="3604"/>
      <c r="R8" s="1609" t="s">
        <v>34</v>
      </c>
      <c r="S8" s="1610">
        <f t="shared" si="0"/>
        <v>0</v>
      </c>
      <c r="T8" s="1609" t="s">
        <v>34</v>
      </c>
      <c r="U8" s="1610">
        <f t="shared" si="1"/>
        <v>0</v>
      </c>
      <c r="V8" s="1609" t="s">
        <v>34</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2"/>
      <c r="M9" s="2885"/>
      <c r="N9" s="2885"/>
      <c r="O9" s="2885"/>
      <c r="P9" s="3612"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4"/>
      <c r="M10" s="2915"/>
      <c r="N10" s="2915"/>
      <c r="O10" s="2915"/>
      <c r="P10" s="3612"/>
      <c r="Q10" s="1563"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6"/>
      <c r="M11" s="2913"/>
      <c r="N11" s="2913"/>
      <c r="O11" s="2913"/>
      <c r="P11" s="3612"/>
      <c r="Q11" s="1563" t="str">
        <f t="shared" si="6"/>
        <v>容积率</v>
      </c>
      <c r="R11" s="1609" t="s">
        <v>28</v>
      </c>
      <c r="S11" s="1610" t="e">
        <f t="shared" si="0"/>
        <v>#N/A</v>
      </c>
      <c r="T11" s="1609" t="s">
        <v>28</v>
      </c>
      <c r="U11" s="1610" t="e">
        <f t="shared" si="1"/>
        <v>#N/A</v>
      </c>
      <c r="V11" s="1609" t="s">
        <v>28</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2"/>
      <c r="Q12" s="1563">
        <f t="shared" si="6"/>
        <v>111</v>
      </c>
      <c r="R12" s="1609" t="s">
        <v>28</v>
      </c>
      <c r="S12" s="1610">
        <f t="shared" si="0"/>
        <v>100</v>
      </c>
      <c r="T12" s="1609" t="s">
        <v>28</v>
      </c>
      <c r="U12" s="1610">
        <f t="shared" si="1"/>
        <v>100</v>
      </c>
      <c r="V12" s="1609" t="s">
        <v>28</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2"/>
      <c r="Q13" s="1563">
        <f t="shared" si="6"/>
        <v>111</v>
      </c>
      <c r="R13" s="1609" t="s">
        <v>28</v>
      </c>
      <c r="S13" s="1610">
        <f t="shared" si="0"/>
        <v>100</v>
      </c>
      <c r="T13" s="1609" t="s">
        <v>28</v>
      </c>
      <c r="U13" s="1610">
        <f t="shared" si="1"/>
        <v>100</v>
      </c>
      <c r="V13" s="1609" t="s">
        <v>28</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2"/>
      <c r="Q14" s="1563">
        <f t="shared" si="6"/>
        <v>111</v>
      </c>
      <c r="R14" s="1609" t="s">
        <v>28</v>
      </c>
      <c r="S14" s="1610">
        <f t="shared" si="0"/>
        <v>100</v>
      </c>
      <c r="T14" s="1609" t="s">
        <v>28</v>
      </c>
      <c r="U14" s="1610">
        <f t="shared" si="1"/>
        <v>100</v>
      </c>
      <c r="V14" s="1609" t="s">
        <v>28</v>
      </c>
      <c r="W14" s="1610">
        <f t="shared" si="2"/>
        <v>100</v>
      </c>
      <c r="X14" s="1611"/>
      <c r="Y14" s="344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7"/>
      <c r="M15" s="2913"/>
      <c r="N15" s="2913"/>
      <c r="O15" s="2913"/>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7"/>
      <c r="M16" s="2913"/>
      <c r="N16" s="2913"/>
      <c r="O16" s="2913"/>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7"/>
      <c r="M17" s="2913"/>
      <c r="N17" s="2913"/>
      <c r="O17" s="2913"/>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7"/>
      <c r="M18" s="2913"/>
      <c r="N18" s="2913"/>
      <c r="O18" s="2913"/>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7"/>
      <c r="M19" s="2913"/>
      <c r="N19" s="2913"/>
      <c r="O19" s="2913"/>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7"/>
      <c r="M20" s="2913"/>
      <c r="N20" s="2913"/>
      <c r="O20" s="2913"/>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7"/>
      <c r="M21" s="2913"/>
      <c r="N21" s="2913"/>
      <c r="O21" s="2913"/>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7"/>
      <c r="M22" s="2913"/>
      <c r="N22" s="2913"/>
      <c r="O22" s="2913"/>
      <c r="P22" s="3591"/>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7"/>
      <c r="M23" s="2913"/>
      <c r="N23" s="2913"/>
      <c r="O23" s="2913"/>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7"/>
      <c r="M24" s="2913"/>
      <c r="N24" s="2913"/>
      <c r="O24" s="2913"/>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7"/>
      <c r="M28" s="2913"/>
      <c r="N28" s="2913"/>
      <c r="O28" s="2913"/>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7"/>
      <c r="M32" s="2913"/>
      <c r="N32" s="2913"/>
      <c r="O32" s="2913"/>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6"/>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7"/>
      <c r="M34" s="2913"/>
      <c r="N34" s="2913"/>
      <c r="O34" s="2913"/>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7"/>
      <c r="M35" s="2913"/>
      <c r="N35" s="2913"/>
      <c r="O35" s="2913"/>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7"/>
      <c r="M36" s="2913"/>
      <c r="N36" s="2913"/>
      <c r="O36" s="2913"/>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2"/>
      <c r="M37" s="2885"/>
      <c r="N37" s="2885"/>
      <c r="O37" s="2885"/>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7"/>
      <c r="M38" s="2913"/>
      <c r="N38" s="2913"/>
      <c r="O38" s="2913"/>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7"/>
      <c r="M39" s="2913"/>
      <c r="N39" s="2913"/>
      <c r="O39" s="2913"/>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7"/>
      <c r="M40" s="2913"/>
      <c r="N40" s="2913"/>
      <c r="O40" s="2913"/>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6"/>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7"/>
      <c r="M42" s="2913"/>
      <c r="N42" s="2913"/>
      <c r="O42" s="2913"/>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7"/>
      <c r="M43" s="2913"/>
      <c r="N43" s="2913"/>
      <c r="O43" s="2913"/>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2"/>
      <c r="M44" s="2885"/>
      <c r="N44" s="2885"/>
      <c r="O44" s="2885"/>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18"/>
      <c r="N47" s="2913"/>
      <c r="P47" s="3589" t="str">
        <f>A47</f>
        <v>成交单价（元/平方米）</v>
      </c>
      <c r="Q47" s="3589"/>
      <c r="R47" s="3585">
        <f>E47</f>
        <v>0</v>
      </c>
      <c r="S47" s="3585"/>
      <c r="T47" s="3585">
        <f>G47</f>
        <v>0</v>
      </c>
      <c r="U47" s="3585"/>
      <c r="V47" s="3585">
        <f>I47</f>
        <v>0</v>
      </c>
      <c r="W47" s="3585"/>
      <c r="X47" s="1720"/>
      <c r="Y47" s="1721"/>
      <c r="Z47" s="1720"/>
      <c r="AA47" s="1720"/>
      <c r="AB47" s="1720"/>
      <c r="AC47" s="1720"/>
    </row>
    <row r="48" spans="1:29" ht="15.75" thickBot="1">
      <c r="A48" s="1722" t="s">
        <v>2050</v>
      </c>
      <c r="B48" s="1723"/>
      <c r="C48" s="1724" t="e">
        <f>R49</f>
        <v>#DIV/0!</v>
      </c>
      <c r="D48" s="1725" t="s">
        <v>2500</v>
      </c>
      <c r="E48" s="1726" t="e">
        <f>R48</f>
        <v>#DIV/0!</v>
      </c>
      <c r="F48" s="1727"/>
      <c r="G48" s="1724" t="e">
        <f>T48</f>
        <v>#DIV/0!</v>
      </c>
      <c r="H48" s="1727"/>
      <c r="I48" s="1726" t="e">
        <f>V48</f>
        <v>#DIV/0!</v>
      </c>
      <c r="J48" s="1727"/>
      <c r="K48" s="2430">
        <f>F48+H48+J48</f>
        <v>0</v>
      </c>
      <c r="L48" s="2918"/>
      <c r="P48" s="3589" t="str">
        <f>A48</f>
        <v>比较价值（元/平方米）</v>
      </c>
      <c r="Q48" s="3589"/>
      <c r="R48" s="3585" t="e">
        <f>IF(E1="售价",ROUND(PRODUCT(R47,AA7:AA46),0),ROUND(PRODUCT(R47,AA7:AA46),1))</f>
        <v>#DIV/0!</v>
      </c>
      <c r="S48" s="3585"/>
      <c r="T48" s="3583" t="e">
        <f>IF(E1="售价",ROUND(PRODUCT(T47,AB7:AB46),0),ROUND(PRODUCT(T47,AB7:AB46),1))</f>
        <v>#DIV/0!</v>
      </c>
      <c r="U48" s="3584"/>
      <c r="V48" s="3585" t="e">
        <f>IF(E1="售价",ROUND(PRODUCT(V47,AC7:AC46),0),ROUND(PRODUCT(V47,AC7:AC46),1))</f>
        <v>#DIV/0!</v>
      </c>
      <c r="W48" s="358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18"/>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2"/>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1741"/>
    </row>
    <row r="55" spans="1:29" s="1742" customFormat="1">
      <c r="B55" s="2923"/>
      <c r="C55" s="2924"/>
      <c r="K55" s="2925"/>
      <c r="L55" s="2919"/>
      <c r="P55" s="1741"/>
    </row>
    <row r="56" spans="1:29">
      <c r="B56" s="2923"/>
      <c r="C56" s="2924"/>
    </row>
    <row r="57" spans="1:29" ht="21.75" thickBot="1">
      <c r="A57" s="1745" t="s">
        <v>2055</v>
      </c>
      <c r="B57" s="1720"/>
      <c r="C57" s="1746"/>
      <c r="D57" s="1746"/>
      <c r="E57" s="1746"/>
      <c r="F57" s="1746"/>
      <c r="G57" s="1746"/>
      <c r="H57" s="1746"/>
      <c r="I57" s="1746"/>
      <c r="J57" s="1746"/>
      <c r="K57" s="1747"/>
      <c r="L57" s="2920"/>
      <c r="M57" s="2921"/>
      <c r="N57" s="2921"/>
      <c r="O57" s="2921"/>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7"/>
      <c r="I2" s="2927"/>
      <c r="J2" s="2927"/>
      <c r="K2" s="2927"/>
      <c r="L2" s="2929"/>
      <c r="M2" s="2927"/>
      <c r="N2" s="2927"/>
      <c r="O2" s="2927"/>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464.13</v>
      </c>
      <c r="F3" s="2926"/>
      <c r="G3" s="2927"/>
      <c r="H3" s="2927"/>
      <c r="I3" s="2927"/>
      <c r="J3" s="2927"/>
      <c r="K3" s="2928"/>
      <c r="L3" s="2929"/>
      <c r="M3" s="2927"/>
      <c r="N3" s="2927"/>
      <c r="O3" s="2927"/>
      <c r="P3" s="2390"/>
      <c r="Q3" s="1885"/>
      <c r="R3" s="1885"/>
      <c r="S3" s="1885"/>
      <c r="T3" s="1885"/>
      <c r="U3" s="1885"/>
      <c r="V3" s="1885"/>
      <c r="W3" s="1885"/>
      <c r="X3" s="1885"/>
      <c r="Y3" s="1885"/>
      <c r="Z3" s="1885"/>
      <c r="AA3" s="1885"/>
      <c r="AB3" s="1885"/>
      <c r="AC3" s="1893"/>
    </row>
    <row r="4" spans="1:29" ht="15">
      <c r="A4" s="1591" t="s">
        <v>2006</v>
      </c>
      <c r="B4" s="1592"/>
      <c r="C4" s="3616" t="s">
        <v>2007</v>
      </c>
      <c r="D4" s="3617"/>
      <c r="E4" s="3618" t="s">
        <v>2008</v>
      </c>
      <c r="F4" s="3619"/>
      <c r="G4" s="3616" t="s">
        <v>2009</v>
      </c>
      <c r="H4" s="3617"/>
      <c r="I4" s="3616" t="s">
        <v>2010</v>
      </c>
      <c r="J4" s="3617"/>
      <c r="K4" s="1894" t="s">
        <v>2011</v>
      </c>
      <c r="L4" s="2912"/>
      <c r="M4" s="2913"/>
      <c r="N4" s="2913"/>
      <c r="O4" s="2913"/>
      <c r="P4" s="3620" t="s">
        <v>2012</v>
      </c>
      <c r="Q4" s="3621"/>
      <c r="R4" s="3605" t="s">
        <v>2008</v>
      </c>
      <c r="S4" s="3606"/>
      <c r="T4" s="3605" t="s">
        <v>2009</v>
      </c>
      <c r="U4" s="3606"/>
      <c r="V4" s="3626" t="s">
        <v>2010</v>
      </c>
      <c r="W4" s="3626"/>
      <c r="X4" s="2003"/>
      <c r="Y4" s="3605" t="s">
        <v>2012</v>
      </c>
      <c r="Z4" s="3606"/>
      <c r="AA4" s="3613" t="s">
        <v>2008</v>
      </c>
      <c r="AB4" s="3626" t="s">
        <v>2009</v>
      </c>
      <c r="AC4" s="3613" t="s">
        <v>2010</v>
      </c>
    </row>
    <row r="5" spans="1:29" ht="15">
      <c r="A5" s="1596"/>
      <c r="B5" s="1597"/>
      <c r="C5" s="3601" t="s">
        <v>2013</v>
      </c>
      <c r="D5" s="3602"/>
      <c r="E5" s="3627" t="s">
        <v>2014</v>
      </c>
      <c r="F5" s="3628"/>
      <c r="G5" s="3601" t="s">
        <v>2015</v>
      </c>
      <c r="H5" s="3602"/>
      <c r="I5" s="3601" t="s">
        <v>2016</v>
      </c>
      <c r="J5" s="3602"/>
      <c r="K5" s="1894"/>
      <c r="L5" s="2912"/>
      <c r="M5" s="2913"/>
      <c r="N5" s="2913"/>
      <c r="O5" s="2913"/>
      <c r="P5" s="3622"/>
      <c r="Q5" s="3623"/>
      <c r="R5" s="3607"/>
      <c r="S5" s="3608"/>
      <c r="T5" s="3607"/>
      <c r="U5" s="3608"/>
      <c r="V5" s="3626"/>
      <c r="W5" s="3626"/>
      <c r="X5" s="2003"/>
      <c r="Y5" s="3607"/>
      <c r="Z5" s="3608"/>
      <c r="AA5" s="3614"/>
      <c r="AB5" s="3626"/>
      <c r="AC5" s="3614"/>
    </row>
    <row r="6" spans="1:29" ht="15.75" thickBot="1">
      <c r="A6" s="1599"/>
      <c r="B6" s="1600"/>
      <c r="C6" s="3599" t="s">
        <v>2017</v>
      </c>
      <c r="D6" s="3600"/>
      <c r="E6" s="3629" t="s">
        <v>2017</v>
      </c>
      <c r="F6" s="3630"/>
      <c r="G6" s="3599" t="s">
        <v>2017</v>
      </c>
      <c r="H6" s="3600"/>
      <c r="I6" s="3599" t="s">
        <v>2017</v>
      </c>
      <c r="J6" s="3600"/>
      <c r="K6" s="1894" t="s">
        <v>2018</v>
      </c>
      <c r="L6" s="2912"/>
      <c r="M6" s="2913"/>
      <c r="N6" s="2913"/>
      <c r="O6" s="2913"/>
      <c r="P6" s="3624"/>
      <c r="Q6" s="3625"/>
      <c r="R6" s="3607"/>
      <c r="S6" s="3608"/>
      <c r="T6" s="3609"/>
      <c r="U6" s="3610"/>
      <c r="V6" s="3626"/>
      <c r="W6" s="3626"/>
      <c r="X6" s="2003"/>
      <c r="Y6" s="3609"/>
      <c r="Z6" s="3610"/>
      <c r="AA6" s="3615"/>
      <c r="AB6" s="3626"/>
      <c r="AC6" s="3615"/>
    </row>
    <row r="7" spans="1:29" s="1613" customFormat="1" ht="15.7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896"/>
      <c r="L7" s="2912"/>
      <c r="M7" s="2885"/>
      <c r="N7" s="2885"/>
      <c r="O7" s="2885"/>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2"/>
      <c r="M8" s="2885"/>
      <c r="N8" s="2885"/>
      <c r="O8" s="2885"/>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2"/>
      <c r="M9" s="2885"/>
      <c r="N9" s="2885"/>
      <c r="O9" s="2885"/>
      <c r="P9" s="3612" t="s">
        <v>2026</v>
      </c>
      <c r="Q9" s="1994"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4"/>
      <c r="M10" s="2915"/>
      <c r="N10" s="2915"/>
      <c r="O10" s="2915"/>
      <c r="P10" s="3612"/>
      <c r="Q10" s="1994"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6"/>
      <c r="M11" s="2913"/>
      <c r="N11" s="2913"/>
      <c r="O11" s="2913"/>
      <c r="P11" s="3612"/>
      <c r="Q11" s="1994"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2"/>
      <c r="M12" s="2885"/>
      <c r="N12" s="2885"/>
      <c r="O12" s="2885"/>
      <c r="P12" s="3612"/>
      <c r="Q12" s="1994">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7"/>
      <c r="M13" s="2913"/>
      <c r="N13" s="2913"/>
      <c r="O13" s="2913"/>
      <c r="P13" s="3612"/>
      <c r="Q13" s="1994">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7"/>
      <c r="M14" s="2913"/>
      <c r="N14" s="2913"/>
      <c r="O14" s="2913"/>
      <c r="P14" s="3612"/>
      <c r="Q14" s="1994">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7"/>
      <c r="M15" s="2913"/>
      <c r="N15" s="2913"/>
      <c r="O15" s="2913"/>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7"/>
      <c r="M16" s="2913"/>
      <c r="N16" s="2913"/>
      <c r="O16" s="2913"/>
      <c r="P16" s="3591"/>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7"/>
      <c r="M17" s="2913"/>
      <c r="N17" s="2913"/>
      <c r="O17" s="2913"/>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7"/>
      <c r="M18" s="2913"/>
      <c r="N18" s="2913"/>
      <c r="O18" s="2913"/>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7"/>
      <c r="M19" s="2913"/>
      <c r="N19" s="2913"/>
      <c r="O19" s="2913"/>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7"/>
      <c r="M20" s="2913"/>
      <c r="N20" s="2913"/>
      <c r="O20" s="2913"/>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7"/>
      <c r="M21" s="2913"/>
      <c r="N21" s="2913"/>
      <c r="O21" s="2913"/>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7"/>
      <c r="M22" s="2913"/>
      <c r="N22" s="2913"/>
      <c r="O22" s="2913"/>
      <c r="P22" s="3591"/>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7"/>
      <c r="M23" s="2913"/>
      <c r="N23" s="2913"/>
      <c r="O23" s="2913"/>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7"/>
      <c r="M24" s="2913"/>
      <c r="N24" s="2913"/>
      <c r="O24" s="2913"/>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7"/>
      <c r="M25" s="2913"/>
      <c r="N25" s="2913"/>
      <c r="O25" s="2913"/>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7"/>
      <c r="M26" s="2913"/>
      <c r="N26" s="2913"/>
      <c r="O26" s="2913"/>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2"/>
      <c r="M27" s="2885"/>
      <c r="N27" s="2885"/>
      <c r="O27" s="2885"/>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7"/>
      <c r="M28" s="2913"/>
      <c r="N28" s="2913"/>
      <c r="O28" s="2913"/>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7"/>
      <c r="M29" s="2913"/>
      <c r="N29" s="2913"/>
      <c r="O29" s="2913"/>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7"/>
      <c r="M30" s="2913"/>
      <c r="N30" s="2913"/>
      <c r="O30" s="2913"/>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7"/>
      <c r="M31" s="2913"/>
      <c r="N31" s="2913"/>
      <c r="O31" s="2913"/>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7"/>
      <c r="M32" s="2913"/>
      <c r="N32" s="2913"/>
      <c r="O32" s="2913"/>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6"/>
      <c r="M33" s="1988"/>
      <c r="N33" s="1988"/>
      <c r="O33" s="1988"/>
      <c r="P33" s="3595"/>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7"/>
      <c r="M34" s="2913"/>
      <c r="N34" s="2913"/>
      <c r="O34" s="2913"/>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7"/>
      <c r="M35" s="2913"/>
      <c r="N35" s="2913"/>
      <c r="O35" s="2913"/>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7"/>
      <c r="M36" s="2913"/>
      <c r="N36" s="2913"/>
      <c r="O36" s="2913"/>
      <c r="P36" s="3595"/>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2"/>
      <c r="M37" s="2885"/>
      <c r="N37" s="2885"/>
      <c r="O37" s="2885"/>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7"/>
      <c r="M38" s="2913"/>
      <c r="N38" s="2913"/>
      <c r="O38" s="2913"/>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7"/>
      <c r="M39" s="2913"/>
      <c r="N39" s="2913"/>
      <c r="O39" s="2913"/>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7"/>
      <c r="M40" s="2913"/>
      <c r="N40" s="2913"/>
      <c r="O40" s="2913"/>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6"/>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7"/>
      <c r="M42" s="2913"/>
      <c r="N42" s="2913"/>
      <c r="O42" s="2913"/>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7"/>
      <c r="M43" s="2913"/>
      <c r="N43" s="2913"/>
      <c r="O43" s="2913"/>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2"/>
      <c r="M44" s="2885"/>
      <c r="N44" s="2885"/>
      <c r="O44" s="2885"/>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7"/>
      <c r="M45" s="2913"/>
      <c r="N45" s="2913"/>
      <c r="O45" s="2913"/>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7"/>
      <c r="M46" s="2913"/>
      <c r="N46" s="2913"/>
      <c r="O46" s="2913"/>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18"/>
      <c r="N47" s="2913"/>
      <c r="P47" s="3589" t="str">
        <f>A47</f>
        <v>成交单价（元/平方米）</v>
      </c>
      <c r="Q47" s="3589"/>
      <c r="R47" s="3585">
        <f>E47</f>
        <v>0</v>
      </c>
      <c r="S47" s="3585"/>
      <c r="T47" s="3585">
        <f>G47</f>
        <v>0</v>
      </c>
      <c r="U47" s="3585"/>
      <c r="V47" s="3585">
        <f>I47</f>
        <v>0</v>
      </c>
      <c r="W47" s="3585"/>
      <c r="X47" s="1720"/>
      <c r="Y47" s="2002"/>
      <c r="Z47" s="1720"/>
      <c r="AA47" s="1720"/>
      <c r="AB47" s="1720"/>
      <c r="AC47" s="1720"/>
    </row>
    <row r="48" spans="1:29" ht="15.75" thickBot="1">
      <c r="A48" s="1722" t="s">
        <v>2132</v>
      </c>
      <c r="B48" s="1723"/>
      <c r="C48" s="1724" t="e">
        <f>R49</f>
        <v>#DIV/0!</v>
      </c>
      <c r="D48" s="1725" t="s">
        <v>2500</v>
      </c>
      <c r="E48" s="1726" t="e">
        <f>R48</f>
        <v>#DIV/0!</v>
      </c>
      <c r="F48" s="1727"/>
      <c r="G48" s="1724" t="e">
        <f>T48</f>
        <v>#DIV/0!</v>
      </c>
      <c r="H48" s="1727"/>
      <c r="I48" s="1726" t="e">
        <f>V48</f>
        <v>#DIV/0!</v>
      </c>
      <c r="J48" s="1727"/>
      <c r="K48" s="2429">
        <f>F48+H48+J48</f>
        <v>0</v>
      </c>
      <c r="L48" s="2918"/>
      <c r="N48" s="2913"/>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18"/>
      <c r="N49" s="2913"/>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2"/>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5"/>
      <c r="L54" s="2919"/>
      <c r="P54" s="2399"/>
      <c r="Q54" s="1740"/>
      <c r="R54" s="1740"/>
      <c r="S54" s="1740"/>
      <c r="T54" s="1740"/>
      <c r="U54" s="1740"/>
      <c r="V54" s="1740"/>
      <c r="W54" s="1740"/>
      <c r="X54" s="1740"/>
      <c r="Y54" s="1740"/>
      <c r="Z54" s="1740"/>
      <c r="AA54" s="1740"/>
      <c r="AB54" s="1740"/>
      <c r="AC54" s="1740"/>
    </row>
    <row r="55" spans="1:29" s="1742" customFormat="1">
      <c r="B55" s="2923"/>
      <c r="C55" s="2924"/>
      <c r="K55" s="2925"/>
      <c r="L55" s="2919"/>
      <c r="P55" s="2399"/>
      <c r="Q55" s="1740"/>
      <c r="R55" s="1740"/>
      <c r="S55" s="1740"/>
      <c r="T55" s="1740"/>
      <c r="U55" s="1740"/>
      <c r="V55" s="1740"/>
      <c r="W55" s="1740"/>
      <c r="X55" s="1740"/>
      <c r="Y55" s="1740"/>
      <c r="Z55" s="1740"/>
      <c r="AA55" s="1740"/>
      <c r="AB55" s="1740"/>
      <c r="AC55" s="1740"/>
    </row>
    <row r="56" spans="1:29">
      <c r="B56" s="2923"/>
      <c r="C56" s="2924"/>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1"/>
      <c r="O57" s="2921"/>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0"/>
      <c r="O61" s="2930"/>
      <c r="P61" s="1772"/>
      <c r="Q61" s="1750"/>
    </row>
    <row r="62" spans="1:29" s="1613" customFormat="1" ht="15.75" thickBot="1">
      <c r="A62" s="1768"/>
      <c r="B62" s="1758"/>
      <c r="C62" s="1773">
        <v>100</v>
      </c>
      <c r="D62" s="1760"/>
      <c r="E62" s="1760"/>
      <c r="F62" s="1760"/>
      <c r="G62" s="1760"/>
      <c r="H62" s="1760"/>
      <c r="I62" s="1760"/>
      <c r="J62" s="1760"/>
      <c r="K62" s="1760"/>
      <c r="L62" s="1760"/>
      <c r="M62" s="1774"/>
      <c r="N62" s="2930"/>
      <c r="O62" s="2930"/>
      <c r="P62" s="1762"/>
      <c r="Q62" s="1750"/>
    </row>
    <row r="63" spans="1:29">
      <c r="A63" s="1775" t="s">
        <v>2060</v>
      </c>
      <c r="B63" s="1776" t="s">
        <v>2025</v>
      </c>
      <c r="C63" s="1777">
        <f>C9</f>
        <v>0</v>
      </c>
      <c r="D63" s="1778"/>
      <c r="E63" s="1778"/>
      <c r="F63" s="1778"/>
      <c r="G63" s="1778"/>
      <c r="H63" s="1778"/>
      <c r="I63" s="1778"/>
      <c r="J63" s="1778"/>
      <c r="K63" s="417"/>
      <c r="L63" s="417"/>
      <c r="M63" s="1779"/>
      <c r="N63" s="2931"/>
      <c r="O63" s="2931"/>
      <c r="P63" s="1781"/>
      <c r="Q63" s="1750"/>
    </row>
    <row r="64" spans="1:29" ht="15.75" thickBot="1">
      <c r="A64" s="1782"/>
      <c r="B64" s="1783"/>
      <c r="C64" s="1784">
        <v>100</v>
      </c>
      <c r="D64" s="1784"/>
      <c r="E64" s="1784"/>
      <c r="F64" s="1784"/>
      <c r="G64" s="1784"/>
      <c r="H64" s="1784"/>
      <c r="I64" s="1784"/>
      <c r="J64" s="1784"/>
      <c r="K64" s="1784"/>
      <c r="L64" s="1784"/>
      <c r="M64" s="1785"/>
      <c r="N64" s="2932"/>
      <c r="O64" s="2932"/>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1"/>
      <c r="O65" s="2931"/>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2"/>
      <c r="O66" s="2932"/>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2"/>
      <c r="O67" s="2932"/>
      <c r="P67" s="1781"/>
      <c r="Q67" s="1750"/>
    </row>
    <row r="68" spans="1:17" ht="15">
      <c r="A68" s="1782"/>
      <c r="B68" s="1795"/>
      <c r="C68" s="1796"/>
      <c r="D68" s="1796"/>
      <c r="E68" s="1796"/>
      <c r="F68" s="1796"/>
      <c r="G68" s="1796"/>
      <c r="H68" s="1796"/>
      <c r="I68" s="1796"/>
      <c r="J68" s="1796"/>
      <c r="K68" s="438"/>
      <c r="L68" s="438"/>
      <c r="M68" s="1797"/>
      <c r="N68" s="2931"/>
      <c r="O68" s="2931"/>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2"/>
      <c r="O69" s="2932"/>
      <c r="P69" s="1781"/>
      <c r="Q69" s="1750"/>
    </row>
    <row r="70" spans="1:17" s="1700" customFormat="1" ht="15.75" thickTop="1">
      <c r="A70" s="1798"/>
      <c r="B70" s="1787">
        <f>B12</f>
        <v>111</v>
      </c>
      <c r="C70" s="468"/>
      <c r="D70" s="468"/>
      <c r="E70" s="468"/>
      <c r="F70" s="468"/>
      <c r="G70" s="468"/>
      <c r="H70" s="443"/>
      <c r="I70" s="443"/>
      <c r="J70" s="443"/>
      <c r="K70" s="443"/>
      <c r="L70" s="443"/>
      <c r="M70" s="1799"/>
      <c r="N70" s="2933"/>
      <c r="O70" s="2933"/>
      <c r="P70" s="1801"/>
      <c r="Q70" s="1802"/>
    </row>
    <row r="71" spans="1:17" s="1700" customFormat="1" ht="15.75" thickBot="1">
      <c r="A71" s="1798"/>
      <c r="B71" s="1790"/>
      <c r="C71" s="1803"/>
      <c r="D71" s="1784"/>
      <c r="E71" s="1784"/>
      <c r="F71" s="1784"/>
      <c r="G71" s="1784"/>
      <c r="H71" s="1784"/>
      <c r="I71" s="1784"/>
      <c r="J71" s="1784"/>
      <c r="K71" s="1784"/>
      <c r="L71" s="1784"/>
      <c r="M71" s="1785"/>
      <c r="N71" s="2932"/>
      <c r="O71" s="2932"/>
      <c r="P71" s="1801"/>
      <c r="Q71" s="1802"/>
    </row>
    <row r="72" spans="1:17" s="1700" customFormat="1" ht="15.75" thickTop="1">
      <c r="A72" s="1798"/>
      <c r="B72" s="1787">
        <f>B13</f>
        <v>111</v>
      </c>
      <c r="C72" s="468"/>
      <c r="D72" s="468"/>
      <c r="E72" s="468"/>
      <c r="F72" s="468"/>
      <c r="G72" s="468"/>
      <c r="H72" s="443"/>
      <c r="I72" s="443"/>
      <c r="J72" s="443"/>
      <c r="K72" s="443"/>
      <c r="L72" s="443"/>
      <c r="M72" s="1799"/>
      <c r="N72" s="2933"/>
      <c r="O72" s="2933"/>
      <c r="P72" s="1804"/>
      <c r="Q72" s="1805"/>
    </row>
    <row r="73" spans="1:17" s="1700" customFormat="1" ht="15.75" thickBot="1">
      <c r="A73" s="1798"/>
      <c r="B73" s="1790"/>
      <c r="C73" s="1803"/>
      <c r="D73" s="1784"/>
      <c r="E73" s="1784"/>
      <c r="F73" s="1784"/>
      <c r="G73" s="1803"/>
      <c r="H73" s="1806"/>
      <c r="I73" s="1806"/>
      <c r="J73" s="1806"/>
      <c r="K73" s="1806"/>
      <c r="L73" s="1806"/>
      <c r="M73" s="1807"/>
      <c r="N73" s="2933"/>
      <c r="O73" s="2933"/>
      <c r="P73" s="1801"/>
      <c r="Q73" s="1802"/>
    </row>
    <row r="74" spans="1:17" s="1700" customFormat="1" ht="15.75" thickTop="1">
      <c r="A74" s="1798"/>
      <c r="B74" s="1793">
        <f>B14</f>
        <v>111</v>
      </c>
      <c r="C74" s="468"/>
      <c r="D74" s="468"/>
      <c r="E74" s="468"/>
      <c r="F74" s="468"/>
      <c r="G74" s="409"/>
      <c r="H74" s="453"/>
      <c r="I74" s="453"/>
      <c r="J74" s="453"/>
      <c r="K74" s="453"/>
      <c r="L74" s="453"/>
      <c r="M74" s="1808"/>
      <c r="N74" s="2933"/>
      <c r="O74" s="2933"/>
      <c r="P74" s="1801"/>
      <c r="Q74" s="1802"/>
    </row>
    <row r="75" spans="1:17" s="1700" customFormat="1" ht="15.75" thickBot="1">
      <c r="A75" s="1809"/>
      <c r="B75" s="1810"/>
      <c r="C75" s="1811"/>
      <c r="D75" s="1811"/>
      <c r="E75" s="1811"/>
      <c r="F75" s="1811"/>
      <c r="G75" s="1811"/>
      <c r="H75" s="1812"/>
      <c r="I75" s="1812"/>
      <c r="J75" s="1812"/>
      <c r="K75" s="1812"/>
      <c r="L75" s="1812"/>
      <c r="M75" s="1813"/>
      <c r="N75" s="2933"/>
      <c r="O75" s="2933"/>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1"/>
      <c r="O76" s="2931"/>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2"/>
      <c r="O77" s="2932"/>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1"/>
      <c r="O78" s="2931"/>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2"/>
      <c r="O79" s="2932"/>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1"/>
      <c r="O80" s="2931"/>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2"/>
      <c r="O81" s="2932"/>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2"/>
      <c r="O82" s="2932"/>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2"/>
      <c r="O83" s="2932"/>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1"/>
      <c r="O84" s="2931"/>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2"/>
      <c r="O85" s="2932"/>
      <c r="P85" s="1781"/>
      <c r="Q85" s="1750"/>
    </row>
    <row r="86" spans="1:17" s="1613" customFormat="1" ht="15.75" thickTop="1">
      <c r="A86" s="1818"/>
      <c r="B86" s="1787" t="s">
        <v>2138</v>
      </c>
      <c r="C86" s="468"/>
      <c r="D86" s="468"/>
      <c r="E86" s="468"/>
      <c r="F86" s="468"/>
      <c r="G86" s="468"/>
      <c r="H86" s="468"/>
      <c r="I86" s="468"/>
      <c r="J86" s="468"/>
      <c r="K86" s="468"/>
      <c r="L86" s="468"/>
      <c r="M86" s="1819"/>
      <c r="N86" s="2930"/>
      <c r="O86" s="2930"/>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2"/>
      <c r="O87" s="2932"/>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0"/>
      <c r="O88" s="2930"/>
      <c r="P88" s="1781"/>
      <c r="Q88" s="1750"/>
    </row>
    <row r="89" spans="1:17" s="1613" customFormat="1" ht="15.75" thickBot="1">
      <c r="A89" s="1818"/>
      <c r="B89" s="1790"/>
      <c r="C89" s="1803"/>
      <c r="D89" s="1784"/>
      <c r="E89" s="1784"/>
      <c r="F89" s="1784"/>
      <c r="G89" s="1784"/>
      <c r="H89" s="1784"/>
      <c r="I89" s="1784"/>
      <c r="J89" s="1784"/>
      <c r="K89" s="1784"/>
      <c r="L89" s="1784"/>
      <c r="M89" s="1784"/>
      <c r="N89" s="2932"/>
      <c r="O89" s="2932"/>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3"/>
      <c r="O90" s="2933"/>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3"/>
      <c r="O91" s="2933"/>
      <c r="P91" s="1801"/>
      <c r="Q91" s="1802"/>
    </row>
    <row r="92" spans="1:17" ht="15.75" thickTop="1">
      <c r="A92" s="1782"/>
      <c r="B92" s="1787" t="str">
        <f>B28</f>
        <v>楼层</v>
      </c>
      <c r="C92" s="468"/>
      <c r="D92" s="468"/>
      <c r="E92" s="468"/>
      <c r="F92" s="468"/>
      <c r="G92" s="468"/>
      <c r="H92" s="468"/>
      <c r="I92" s="468"/>
      <c r="J92" s="468"/>
      <c r="K92" s="468"/>
      <c r="L92" s="468"/>
      <c r="M92" s="1819"/>
      <c r="N92" s="2931"/>
      <c r="O92" s="2931"/>
      <c r="P92" s="1781"/>
      <c r="Q92" s="1750"/>
    </row>
    <row r="93" spans="1:17" ht="15.75" thickBot="1">
      <c r="A93" s="1782"/>
      <c r="B93" s="1790"/>
      <c r="C93" s="1784"/>
      <c r="D93" s="1784"/>
      <c r="E93" s="1784"/>
      <c r="F93" s="1784"/>
      <c r="G93" s="1784"/>
      <c r="H93" s="1784"/>
      <c r="I93" s="1784"/>
      <c r="J93" s="1784"/>
      <c r="K93" s="1784"/>
      <c r="L93" s="1784"/>
      <c r="M93" s="1785"/>
      <c r="N93" s="2932"/>
      <c r="O93" s="2932"/>
      <c r="P93" s="1781"/>
      <c r="Q93" s="1750"/>
    </row>
    <row r="94" spans="1:17" ht="15.75" thickTop="1">
      <c r="A94" s="1782"/>
      <c r="B94" s="1787">
        <f>B29</f>
        <v>111</v>
      </c>
      <c r="C94" s="468"/>
      <c r="D94" s="468"/>
      <c r="E94" s="468"/>
      <c r="F94" s="468"/>
      <c r="G94" s="1506"/>
      <c r="H94" s="1506"/>
      <c r="I94" s="1506"/>
      <c r="J94" s="1506"/>
      <c r="K94" s="473"/>
      <c r="L94" s="473"/>
      <c r="M94" s="1822"/>
      <c r="N94" s="2931"/>
      <c r="O94" s="2931"/>
      <c r="P94" s="1781"/>
      <c r="Q94" s="1750"/>
    </row>
    <row r="95" spans="1:17" ht="15.75" thickBot="1">
      <c r="A95" s="1782"/>
      <c r="B95" s="1790"/>
      <c r="C95" s="1803"/>
      <c r="D95" s="1784"/>
      <c r="E95" s="1784"/>
      <c r="F95" s="1784"/>
      <c r="G95" s="1784"/>
      <c r="H95" s="1784"/>
      <c r="I95" s="1784"/>
      <c r="J95" s="1784"/>
      <c r="K95" s="1784"/>
      <c r="L95" s="1784"/>
      <c r="M95" s="1785"/>
      <c r="N95" s="2932"/>
      <c r="O95" s="2932"/>
      <c r="P95" s="1781"/>
      <c r="Q95" s="1750"/>
    </row>
    <row r="96" spans="1:17" ht="15.75" thickTop="1">
      <c r="A96" s="1782"/>
      <c r="B96" s="1787">
        <f>B30</f>
        <v>111</v>
      </c>
      <c r="C96" s="468"/>
      <c r="D96" s="468"/>
      <c r="E96" s="468"/>
      <c r="F96" s="468"/>
      <c r="G96" s="1506"/>
      <c r="H96" s="1506"/>
      <c r="I96" s="1506"/>
      <c r="J96" s="1506"/>
      <c r="K96" s="473"/>
      <c r="L96" s="473"/>
      <c r="M96" s="1822"/>
      <c r="N96" s="2931"/>
      <c r="O96" s="2931"/>
      <c r="P96" s="1781"/>
      <c r="Q96" s="1750"/>
    </row>
    <row r="97" spans="1:17" ht="15.75" thickBot="1">
      <c r="A97" s="1782"/>
      <c r="B97" s="1790"/>
      <c r="C97" s="1803"/>
      <c r="D97" s="1784"/>
      <c r="E97" s="1784"/>
      <c r="F97" s="1784"/>
      <c r="G97" s="1784"/>
      <c r="H97" s="1784"/>
      <c r="I97" s="1784"/>
      <c r="J97" s="1784"/>
      <c r="K97" s="1784"/>
      <c r="L97" s="1784"/>
      <c r="M97" s="1785"/>
      <c r="N97" s="2932"/>
      <c r="O97" s="2932"/>
      <c r="P97" s="1781"/>
      <c r="Q97" s="1750"/>
    </row>
    <row r="98" spans="1:17" ht="15.75" thickTop="1">
      <c r="A98" s="1782"/>
      <c r="B98" s="1793">
        <f>B31</f>
        <v>111</v>
      </c>
      <c r="C98" s="468"/>
      <c r="D98" s="468"/>
      <c r="E98" s="468"/>
      <c r="F98" s="468"/>
      <c r="G98" s="1823"/>
      <c r="H98" s="1823"/>
      <c r="I98" s="1823"/>
      <c r="J98" s="1823"/>
      <c r="K98" s="477"/>
      <c r="L98" s="477"/>
      <c r="M98" s="1824"/>
      <c r="N98" s="2931"/>
      <c r="O98" s="2931"/>
      <c r="P98" s="1781"/>
      <c r="Q98" s="1750"/>
    </row>
    <row r="99" spans="1:17" ht="15.75" thickBot="1">
      <c r="A99" s="1825"/>
      <c r="B99" s="1810"/>
      <c r="C99" s="1811"/>
      <c r="D99" s="1811"/>
      <c r="E99" s="1811"/>
      <c r="F99" s="1811"/>
      <c r="G99" s="1826"/>
      <c r="H99" s="1826"/>
      <c r="I99" s="1826"/>
      <c r="J99" s="1826"/>
      <c r="K99" s="1826"/>
      <c r="L99" s="1826"/>
      <c r="M99" s="1827"/>
      <c r="N99" s="2932"/>
      <c r="O99" s="2932"/>
      <c r="P99" s="1781"/>
      <c r="Q99" s="1750"/>
    </row>
    <row r="100" spans="1:17">
      <c r="A100" s="1775" t="s">
        <v>2035</v>
      </c>
      <c r="B100" s="1776" t="s">
        <v>2139</v>
      </c>
      <c r="C100" s="1778"/>
      <c r="D100" s="1778"/>
      <c r="E100" s="1778"/>
      <c r="F100" s="1778"/>
      <c r="G100" s="1778"/>
      <c r="H100" s="1778"/>
      <c r="I100" s="1778"/>
      <c r="J100" s="1778"/>
      <c r="K100" s="417"/>
      <c r="L100" s="417"/>
      <c r="M100" s="1779"/>
      <c r="N100" s="2931"/>
      <c r="O100" s="2931"/>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2"/>
      <c r="O101" s="2932"/>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0"/>
      <c r="O102" s="2930"/>
      <c r="P102" s="1781"/>
      <c r="Q102" s="1750"/>
    </row>
    <row r="103" spans="1:17" s="1700" customFormat="1">
      <c r="A103" s="1828"/>
      <c r="B103" s="1829"/>
      <c r="C103" s="1830"/>
      <c r="D103" s="1830"/>
      <c r="E103" s="1830"/>
      <c r="F103" s="1830"/>
      <c r="G103" s="1830"/>
      <c r="H103" s="1830"/>
      <c r="I103" s="1830"/>
      <c r="J103" s="485"/>
      <c r="K103" s="485"/>
      <c r="L103" s="485"/>
      <c r="M103" s="1831"/>
      <c r="N103" s="2933"/>
      <c r="O103" s="2933"/>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2"/>
      <c r="O104" s="2932"/>
      <c r="P104" s="1801"/>
      <c r="Q104" s="1802"/>
    </row>
    <row r="105" spans="1:17" ht="15" thickTop="1">
      <c r="A105" s="1832"/>
      <c r="B105" s="1787" t="s">
        <v>2086</v>
      </c>
      <c r="C105" s="468"/>
      <c r="D105" s="468"/>
      <c r="E105" s="1506"/>
      <c r="F105" s="1506"/>
      <c r="G105" s="1506"/>
      <c r="H105" s="1506"/>
      <c r="I105" s="1506"/>
      <c r="J105" s="1506"/>
      <c r="K105" s="473"/>
      <c r="L105" s="473"/>
      <c r="M105" s="1822"/>
      <c r="N105" s="2931"/>
      <c r="O105" s="2931"/>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2"/>
      <c r="O106" s="2932"/>
      <c r="P106" s="1781"/>
      <c r="Q106" s="1750"/>
    </row>
    <row r="107" spans="1:17" ht="15" thickTop="1">
      <c r="A107" s="1832"/>
      <c r="B107" s="1787" t="s">
        <v>2088</v>
      </c>
      <c r="C107" s="468"/>
      <c r="D107" s="468"/>
      <c r="E107" s="468"/>
      <c r="F107" s="1506"/>
      <c r="G107" s="1506"/>
      <c r="H107" s="1506"/>
      <c r="I107" s="1506"/>
      <c r="J107" s="1506"/>
      <c r="K107" s="473"/>
      <c r="L107" s="473"/>
      <c r="M107" s="1822"/>
      <c r="N107" s="2931"/>
      <c r="O107" s="2931"/>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2"/>
      <c r="O108" s="2932"/>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1"/>
      <c r="O109" s="2931"/>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1"/>
      <c r="O110" s="2931"/>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2"/>
      <c r="O111" s="2932"/>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3"/>
      <c r="O112" s="2933"/>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3"/>
      <c r="O113" s="2933"/>
      <c r="P113" s="1801"/>
      <c r="Q113" s="1802"/>
    </row>
    <row r="114" spans="1:17" ht="15" thickTop="1">
      <c r="A114" s="1832"/>
      <c r="B114" s="1787" t="s">
        <v>2140</v>
      </c>
      <c r="C114" s="468"/>
      <c r="D114" s="468"/>
      <c r="E114" s="1506"/>
      <c r="F114" s="1506"/>
      <c r="G114" s="1506"/>
      <c r="H114" s="1506"/>
      <c r="I114" s="1506"/>
      <c r="J114" s="1506"/>
      <c r="K114" s="473"/>
      <c r="L114" s="473"/>
      <c r="M114" s="1822"/>
      <c r="N114" s="2931"/>
      <c r="O114" s="2931"/>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2"/>
      <c r="O115" s="2932"/>
      <c r="P115" s="1781"/>
      <c r="Q115" s="1750"/>
    </row>
    <row r="116" spans="1:17" ht="15" thickTop="1">
      <c r="A116" s="1832"/>
      <c r="B116" s="1787" t="s">
        <v>2141</v>
      </c>
      <c r="C116" s="468"/>
      <c r="D116" s="468"/>
      <c r="E116" s="468"/>
      <c r="F116" s="468"/>
      <c r="G116" s="468"/>
      <c r="H116" s="1506"/>
      <c r="I116" s="1506"/>
      <c r="J116" s="1506"/>
      <c r="K116" s="473"/>
      <c r="L116" s="473"/>
      <c r="M116" s="1822"/>
      <c r="N116" s="2931"/>
      <c r="O116" s="2931"/>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2"/>
      <c r="O117" s="2932"/>
      <c r="P117" s="1781"/>
      <c r="Q117" s="1750"/>
    </row>
    <row r="118" spans="1:17" ht="15" thickTop="1">
      <c r="A118" s="1832"/>
      <c r="B118" s="1787" t="s">
        <v>2142</v>
      </c>
      <c r="C118" s="2404"/>
      <c r="D118" s="2404"/>
      <c r="E118" s="2404"/>
      <c r="F118" s="2404"/>
      <c r="G118" s="2404"/>
      <c r="H118" s="443"/>
      <c r="I118" s="443"/>
      <c r="J118" s="443"/>
      <c r="K118" s="443"/>
      <c r="L118" s="443"/>
      <c r="M118" s="1799"/>
      <c r="N118" s="2931"/>
      <c r="O118" s="2931"/>
      <c r="P118" s="1781"/>
      <c r="Q118" s="1750"/>
    </row>
    <row r="119" spans="1:17" ht="15.75" thickBot="1">
      <c r="A119" s="1782"/>
      <c r="B119" s="1790"/>
      <c r="C119" s="1803"/>
      <c r="D119" s="1784"/>
      <c r="E119" s="1784"/>
      <c r="F119" s="1784"/>
      <c r="G119" s="1784"/>
      <c r="H119" s="1784"/>
      <c r="I119" s="1784"/>
      <c r="J119" s="1784"/>
      <c r="K119" s="1784"/>
      <c r="L119" s="1784"/>
      <c r="M119" s="1785"/>
      <c r="N119" s="2932"/>
      <c r="O119" s="2932"/>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3"/>
      <c r="O120" s="2933"/>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3"/>
      <c r="O121" s="2933"/>
      <c r="P121" s="1801"/>
      <c r="Q121" s="1802"/>
    </row>
    <row r="122" spans="1:17" ht="15" thickTop="1">
      <c r="A122" s="1832"/>
      <c r="B122" s="1787" t="s">
        <v>2093</v>
      </c>
      <c r="C122" s="468"/>
      <c r="D122" s="468"/>
      <c r="E122" s="468"/>
      <c r="F122" s="1506"/>
      <c r="G122" s="1506"/>
      <c r="H122" s="1506"/>
      <c r="I122" s="1506"/>
      <c r="J122" s="1506"/>
      <c r="K122" s="473"/>
      <c r="L122" s="473"/>
      <c r="M122" s="1822"/>
      <c r="N122" s="2931"/>
      <c r="O122" s="2931"/>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2"/>
      <c r="O123" s="2932"/>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1"/>
      <c r="O124" s="2931"/>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2"/>
      <c r="O125" s="2932"/>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3"/>
      <c r="O126" s="2933"/>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3"/>
      <c r="O127" s="2933"/>
      <c r="P127" s="1801"/>
      <c r="Q127" s="1802"/>
    </row>
    <row r="128" spans="1:17" ht="15" thickTop="1">
      <c r="A128" s="1832"/>
      <c r="B128" s="1787">
        <f>B45</f>
        <v>111</v>
      </c>
      <c r="C128" s="468"/>
      <c r="D128" s="468"/>
      <c r="E128" s="468"/>
      <c r="F128" s="468"/>
      <c r="G128" s="1506"/>
      <c r="H128" s="1506"/>
      <c r="I128" s="1506"/>
      <c r="J128" s="1506"/>
      <c r="K128" s="473"/>
      <c r="L128" s="473"/>
      <c r="M128" s="1822"/>
      <c r="N128" s="2931"/>
      <c r="O128" s="2931"/>
      <c r="P128" s="1781"/>
      <c r="Q128" s="1750"/>
    </row>
    <row r="129" spans="1:17" ht="15.75" thickBot="1">
      <c r="A129" s="1782"/>
      <c r="B129" s="1790"/>
      <c r="C129" s="1803"/>
      <c r="D129" s="1784"/>
      <c r="E129" s="1784"/>
      <c r="F129" s="1784"/>
      <c r="G129" s="1784"/>
      <c r="H129" s="1784"/>
      <c r="I129" s="1784"/>
      <c r="J129" s="1784"/>
      <c r="K129" s="1784"/>
      <c r="L129" s="1784"/>
      <c r="M129" s="1785"/>
      <c r="N129" s="2932"/>
      <c r="O129" s="2932"/>
      <c r="P129" s="1781"/>
      <c r="Q129" s="1750"/>
    </row>
    <row r="130" spans="1:17" ht="15" thickTop="1">
      <c r="A130" s="1832"/>
      <c r="B130" s="1793">
        <f>B46</f>
        <v>111</v>
      </c>
      <c r="C130" s="468"/>
      <c r="D130" s="468"/>
      <c r="E130" s="468"/>
      <c r="F130" s="468"/>
      <c r="G130" s="1823"/>
      <c r="H130" s="1823"/>
      <c r="I130" s="1823"/>
      <c r="J130" s="1823"/>
      <c r="K130" s="409"/>
      <c r="L130" s="409"/>
      <c r="M130" s="1824"/>
      <c r="N130" s="2931"/>
      <c r="O130" s="2931"/>
      <c r="P130" s="1781"/>
      <c r="Q130" s="1750"/>
    </row>
    <row r="131" spans="1:17" ht="15.75" thickBot="1">
      <c r="A131" s="1825"/>
      <c r="B131" s="1810"/>
      <c r="C131" s="1811"/>
      <c r="D131" s="1811"/>
      <c r="E131" s="1811"/>
      <c r="F131" s="1811"/>
      <c r="G131" s="1826"/>
      <c r="H131" s="1826"/>
      <c r="I131" s="1826"/>
      <c r="J131" s="1826"/>
      <c r="K131" s="1826"/>
      <c r="L131" s="1826"/>
      <c r="M131" s="1827"/>
      <c r="N131" s="2932"/>
      <c r="O131" s="2932"/>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7"/>
      <c r="I2" s="2927"/>
      <c r="J2" s="2927"/>
      <c r="K2" s="2927"/>
      <c r="L2" s="2929"/>
      <c r="M2" s="2927"/>
      <c r="N2" s="2927"/>
      <c r="O2" s="2927"/>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464.13</v>
      </c>
      <c r="F3" s="2926"/>
      <c r="G3" s="2927"/>
      <c r="H3" s="2927"/>
      <c r="I3" s="2927"/>
      <c r="J3" s="2927"/>
      <c r="K3" s="2928"/>
      <c r="L3" s="2929"/>
      <c r="M3" s="2927"/>
      <c r="N3" s="2927"/>
      <c r="O3" s="2927"/>
      <c r="P3" s="2934"/>
      <c r="Q3" s="1880"/>
      <c r="R3" s="1880"/>
      <c r="S3" s="1880"/>
      <c r="T3" s="1880"/>
      <c r="U3" s="1880"/>
      <c r="V3" s="1880"/>
      <c r="W3" s="1880"/>
      <c r="X3" s="1885"/>
      <c r="Y3" s="1880"/>
      <c r="Z3" s="1880"/>
      <c r="AA3" s="1880"/>
      <c r="AB3" s="2408"/>
      <c r="AC3" s="1893"/>
    </row>
    <row r="4" spans="1:29" ht="15">
      <c r="A4" s="1591" t="s">
        <v>2006</v>
      </c>
      <c r="B4" s="1592"/>
      <c r="C4" s="3616" t="s">
        <v>2007</v>
      </c>
      <c r="D4" s="3617"/>
      <c r="E4" s="3618" t="s">
        <v>2008</v>
      </c>
      <c r="F4" s="3619"/>
      <c r="G4" s="3616" t="s">
        <v>2009</v>
      </c>
      <c r="H4" s="3617"/>
      <c r="I4" s="3616" t="s">
        <v>2010</v>
      </c>
      <c r="J4" s="3617"/>
      <c r="K4" s="1894" t="s">
        <v>2011</v>
      </c>
      <c r="L4" s="2912"/>
      <c r="M4" s="2913"/>
      <c r="N4" s="2913"/>
      <c r="O4" s="2913"/>
      <c r="P4" s="3620" t="s">
        <v>2012</v>
      </c>
      <c r="Q4" s="3621"/>
      <c r="R4" s="3605" t="s">
        <v>2008</v>
      </c>
      <c r="S4" s="3606"/>
      <c r="T4" s="3605" t="s">
        <v>2009</v>
      </c>
      <c r="U4" s="3606"/>
      <c r="V4" s="3626" t="s">
        <v>2010</v>
      </c>
      <c r="W4" s="3626"/>
      <c r="X4" s="2003"/>
      <c r="Y4" s="3605" t="s">
        <v>2012</v>
      </c>
      <c r="Z4" s="3606"/>
      <c r="AA4" s="3613" t="s">
        <v>2008</v>
      </c>
      <c r="AB4" s="3613" t="s">
        <v>2009</v>
      </c>
      <c r="AC4" s="3613" t="s">
        <v>2010</v>
      </c>
    </row>
    <row r="5" spans="1:29" ht="15">
      <c r="A5" s="1596"/>
      <c r="B5" s="1597"/>
      <c r="C5" s="3601" t="s">
        <v>2013</v>
      </c>
      <c r="D5" s="3602"/>
      <c r="E5" s="3627" t="s">
        <v>2014</v>
      </c>
      <c r="F5" s="3628"/>
      <c r="G5" s="3601" t="s">
        <v>2015</v>
      </c>
      <c r="H5" s="3602"/>
      <c r="I5" s="3601" t="s">
        <v>2016</v>
      </c>
      <c r="J5" s="3602"/>
      <c r="K5" s="1894"/>
      <c r="L5" s="2912"/>
      <c r="M5" s="2913"/>
      <c r="N5" s="2913"/>
      <c r="O5" s="2913"/>
      <c r="P5" s="3622"/>
      <c r="Q5" s="3623"/>
      <c r="R5" s="3607"/>
      <c r="S5" s="3608"/>
      <c r="T5" s="3607"/>
      <c r="U5" s="3608"/>
      <c r="V5" s="3626"/>
      <c r="W5" s="3626"/>
      <c r="X5" s="2003"/>
      <c r="Y5" s="3607"/>
      <c r="Z5" s="3608"/>
      <c r="AA5" s="3614"/>
      <c r="AB5" s="3614"/>
      <c r="AC5" s="3614"/>
    </row>
    <row r="6" spans="1:29" ht="15.75" thickBot="1">
      <c r="A6" s="1599"/>
      <c r="B6" s="1600"/>
      <c r="C6" s="3599" t="s">
        <v>2017</v>
      </c>
      <c r="D6" s="3600"/>
      <c r="E6" s="3629" t="s">
        <v>2017</v>
      </c>
      <c r="F6" s="3630"/>
      <c r="G6" s="3599" t="s">
        <v>2017</v>
      </c>
      <c r="H6" s="3600"/>
      <c r="I6" s="3599" t="s">
        <v>2017</v>
      </c>
      <c r="J6" s="3600"/>
      <c r="K6" s="1894" t="s">
        <v>2018</v>
      </c>
      <c r="L6" s="2912"/>
      <c r="M6" s="2913"/>
      <c r="N6" s="2913"/>
      <c r="O6" s="2913"/>
      <c r="P6" s="3624"/>
      <c r="Q6" s="3625"/>
      <c r="R6" s="3607"/>
      <c r="S6" s="3608"/>
      <c r="T6" s="3609"/>
      <c r="U6" s="3610"/>
      <c r="V6" s="3626"/>
      <c r="W6" s="3626"/>
      <c r="X6" s="2003"/>
      <c r="Y6" s="3609"/>
      <c r="Z6" s="3610"/>
      <c r="AA6" s="3615"/>
      <c r="AB6" s="3615"/>
      <c r="AC6" s="3615"/>
    </row>
    <row r="7" spans="1:29" s="1613" customFormat="1" ht="15.75" thickBot="1">
      <c r="A7" s="1601" t="s">
        <v>2019</v>
      </c>
      <c r="B7" s="1602"/>
      <c r="C7" s="1603">
        <f>'数据-取费表'!B2</f>
        <v>44697</v>
      </c>
      <c r="D7" s="1604">
        <v>100</v>
      </c>
      <c r="E7" s="1605"/>
      <c r="F7" s="1606">
        <f>SUMIF(59:59,YEAR(E7)&amp;"-"&amp;MONTH(E7),60:60)</f>
        <v>0</v>
      </c>
      <c r="G7" s="1895"/>
      <c r="H7" s="1604">
        <f>SUMIF(59:59,YEAR(G7)&amp;"-"&amp;MONTH(G7),60:60)</f>
        <v>0</v>
      </c>
      <c r="I7" s="1895"/>
      <c r="J7" s="1604">
        <f>SUMIF(59:59,YEAR(I7)&amp;"-"&amp;MONTH(I7),60:60)</f>
        <v>0</v>
      </c>
      <c r="K7" s="1896"/>
      <c r="L7" s="2912"/>
      <c r="M7" s="2885"/>
      <c r="N7" s="2885"/>
      <c r="O7" s="2885"/>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2"/>
      <c r="M8" s="2885"/>
      <c r="N8" s="2885"/>
      <c r="O8" s="2885"/>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2"/>
      <c r="M9" s="2885"/>
      <c r="N9" s="2885"/>
      <c r="O9" s="2885"/>
      <c r="P9" s="3589" t="s">
        <v>2026</v>
      </c>
      <c r="Q9" s="2830"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4"/>
      <c r="M10" s="2915"/>
      <c r="N10" s="2915"/>
      <c r="O10" s="2915"/>
      <c r="P10" s="3589"/>
      <c r="Q10" s="2830"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6"/>
      <c r="M11" s="2913"/>
      <c r="N11" s="2913"/>
      <c r="O11" s="2913"/>
      <c r="P11" s="3589"/>
      <c r="Q11" s="2830"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2"/>
      <c r="M12" s="2885"/>
      <c r="N12" s="2885"/>
      <c r="O12" s="2885"/>
      <c r="P12" s="3589"/>
      <c r="Q12" s="2830">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7"/>
      <c r="M13" s="2913"/>
      <c r="N13" s="2913"/>
      <c r="O13" s="2913"/>
      <c r="P13" s="3589"/>
      <c r="Q13" s="2830">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7"/>
      <c r="M14" s="2913"/>
      <c r="N14" s="2913"/>
      <c r="O14" s="2913"/>
      <c r="P14" s="3589"/>
      <c r="Q14" s="2830">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7"/>
      <c r="M15" s="2913"/>
      <c r="N15" s="2913"/>
      <c r="O15" s="2913"/>
      <c r="P15" s="3592" t="s">
        <v>2031</v>
      </c>
      <c r="Q15" s="2831"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7"/>
      <c r="M16" s="2913"/>
      <c r="N16" s="2913"/>
      <c r="O16" s="2913"/>
      <c r="P16" s="3593"/>
      <c r="Q16" s="2831"/>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7"/>
      <c r="M17" s="2913"/>
      <c r="N17" s="2913"/>
      <c r="O17" s="2913"/>
      <c r="P17" s="3593"/>
      <c r="Q17" s="2831"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7"/>
      <c r="M18" s="2913"/>
      <c r="N18" s="2913"/>
      <c r="O18" s="2913"/>
      <c r="P18" s="3593"/>
      <c r="Q18" s="2831"/>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7"/>
      <c r="M19" s="2913"/>
      <c r="N19" s="2913"/>
      <c r="O19" s="2913"/>
      <c r="P19" s="3593"/>
      <c r="Q19" s="2831"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7"/>
      <c r="M20" s="2913"/>
      <c r="N20" s="2913"/>
      <c r="O20" s="2913"/>
      <c r="P20" s="3593"/>
      <c r="Q20" s="2831"/>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7"/>
      <c r="M21" s="2913"/>
      <c r="N21" s="2913"/>
      <c r="O21" s="2913"/>
      <c r="P21" s="3593"/>
      <c r="Q21" s="2831"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7"/>
      <c r="M22" s="2913"/>
      <c r="N22" s="2913"/>
      <c r="O22" s="2913"/>
      <c r="P22" s="3593"/>
      <c r="Q22" s="2831"/>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7"/>
      <c r="M23" s="2913"/>
      <c r="N23" s="2913"/>
      <c r="O23" s="2913"/>
      <c r="P23" s="3593"/>
      <c r="Q23" s="2831"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7"/>
      <c r="M24" s="2913"/>
      <c r="N24" s="2913"/>
      <c r="O24" s="2913"/>
      <c r="P24" s="3593"/>
      <c r="Q24" s="2831"/>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7"/>
      <c r="M25" s="2913"/>
      <c r="N25" s="2913"/>
      <c r="O25" s="2913"/>
      <c r="P25" s="3593"/>
      <c r="Q25" s="2831"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7"/>
      <c r="M26" s="2913"/>
      <c r="N26" s="2913"/>
      <c r="O26" s="2913"/>
      <c r="P26" s="3593"/>
      <c r="Q26" s="2831"/>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17"/>
      <c r="M27" s="2913"/>
      <c r="N27" s="2913"/>
      <c r="O27" s="2913"/>
      <c r="P27" s="3593"/>
      <c r="Q27" s="2831"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2"/>
      <c r="M28" s="2885"/>
      <c r="N28" s="2885"/>
      <c r="O28" s="2885"/>
      <c r="P28" s="3593"/>
      <c r="Q28" s="2830"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7"/>
      <c r="M29" s="2913"/>
      <c r="N29" s="2913"/>
      <c r="O29" s="2913"/>
      <c r="P29" s="3593"/>
      <c r="Q29" s="2831">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7"/>
      <c r="M30" s="2913"/>
      <c r="N30" s="2913"/>
      <c r="O30" s="2913"/>
      <c r="P30" s="3593"/>
      <c r="Q30" s="2831">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7"/>
      <c r="M31" s="2913"/>
      <c r="N31" s="2913"/>
      <c r="O31" s="2913"/>
      <c r="P31" s="3593"/>
      <c r="Q31" s="2831">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7"/>
      <c r="M32" s="2913"/>
      <c r="N32" s="2913"/>
      <c r="O32" s="2913"/>
      <c r="P32" s="3593"/>
      <c r="Q32" s="2831">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7"/>
      <c r="M33" s="2913"/>
      <c r="N33" s="2913"/>
      <c r="O33" s="2913"/>
      <c r="P33" s="3631" t="s">
        <v>2037</v>
      </c>
      <c r="Q33" s="2831"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6"/>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7"/>
      <c r="M35" s="2913"/>
      <c r="N35" s="2913"/>
      <c r="O35" s="2913"/>
      <c r="P35" s="3597"/>
      <c r="Q35" s="2831"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7"/>
      <c r="M36" s="2913"/>
      <c r="N36" s="2913"/>
      <c r="O36" s="2913"/>
      <c r="P36" s="3597"/>
      <c r="Q36" s="2831"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7"/>
      <c r="M37" s="2913"/>
      <c r="N37" s="2913"/>
      <c r="O37" s="2913"/>
      <c r="P37" s="3597"/>
      <c r="Q37" s="2831"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2"/>
      <c r="M38" s="2885"/>
      <c r="N38" s="2885"/>
      <c r="O38" s="2885"/>
      <c r="P38" s="3597"/>
      <c r="Q38" s="2830"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7"/>
      <c r="M39" s="2913"/>
      <c r="N39" s="2913"/>
      <c r="O39" s="2913"/>
      <c r="P39" s="3597" t="s">
        <v>2037</v>
      </c>
      <c r="Q39" s="2831"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7"/>
      <c r="M40" s="2913"/>
      <c r="N40" s="2913"/>
      <c r="O40" s="2913"/>
      <c r="P40" s="3597"/>
      <c r="Q40" s="2831"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7"/>
      <c r="M41" s="2913"/>
      <c r="N41" s="2913"/>
      <c r="O41" s="2913"/>
      <c r="P41" s="3597"/>
      <c r="Q41" s="2831"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6"/>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7"/>
      <c r="M43" s="2913"/>
      <c r="N43" s="2913"/>
      <c r="O43" s="2913"/>
      <c r="P43" s="3597"/>
      <c r="Q43" s="2831"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7"/>
      <c r="M44" s="2913"/>
      <c r="N44" s="2913"/>
      <c r="O44" s="2913"/>
      <c r="P44" s="3597"/>
      <c r="Q44" s="2831"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2"/>
      <c r="M45" s="2885"/>
      <c r="N45" s="2885"/>
      <c r="O45" s="2885"/>
      <c r="P45" s="3597"/>
      <c r="Q45" s="2830">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7"/>
      <c r="M46" s="2913"/>
      <c r="N46" s="2913"/>
      <c r="O46" s="2913"/>
      <c r="P46" s="3597"/>
      <c r="Q46" s="2831">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7"/>
      <c r="M47" s="2913"/>
      <c r="N47" s="2913"/>
      <c r="O47" s="2913"/>
      <c r="P47" s="3598"/>
      <c r="Q47" s="2831">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18"/>
      <c r="M48" s="2913"/>
      <c r="N48" s="2913"/>
      <c r="O48" s="2913"/>
      <c r="P48" s="3589" t="str">
        <f>A48</f>
        <v>成交单价（元/平方米）</v>
      </c>
      <c r="Q48" s="3589"/>
      <c r="R48" s="3585">
        <f>E48</f>
        <v>0</v>
      </c>
      <c r="S48" s="3585"/>
      <c r="T48" s="3585">
        <f>G48</f>
        <v>0</v>
      </c>
      <c r="U48" s="3585"/>
      <c r="V48" s="3585">
        <f>I48</f>
        <v>0</v>
      </c>
      <c r="W48" s="3585"/>
      <c r="X48" s="1720"/>
      <c r="Y48" s="2002"/>
      <c r="Z48" s="1720"/>
      <c r="AA48" s="1720"/>
      <c r="AB48" s="1720"/>
      <c r="AC48" s="1720"/>
    </row>
    <row r="49" spans="1:29" ht="15.75" thickBot="1">
      <c r="A49" s="1722" t="s">
        <v>2132</v>
      </c>
      <c r="B49" s="1723"/>
      <c r="C49" s="1724" t="e">
        <f>R50</f>
        <v>#DIV/0!</v>
      </c>
      <c r="D49" s="1725" t="s">
        <v>2500</v>
      </c>
      <c r="E49" s="1726" t="e">
        <f>R49</f>
        <v>#DIV/0!</v>
      </c>
      <c r="F49" s="1727"/>
      <c r="G49" s="1724" t="e">
        <f>T49</f>
        <v>#DIV/0!</v>
      </c>
      <c r="H49" s="1727"/>
      <c r="I49" s="1726" t="e">
        <f>V49</f>
        <v>#DIV/0!</v>
      </c>
      <c r="J49" s="1727"/>
      <c r="K49" s="2429">
        <f>F49+H49+J49</f>
        <v>0</v>
      </c>
      <c r="L49" s="2918"/>
      <c r="M49" s="2913"/>
      <c r="N49" s="2913"/>
      <c r="O49" s="2913"/>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18"/>
      <c r="M50" s="2913"/>
      <c r="N50" s="2913"/>
      <c r="O50" s="2913"/>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20"/>
      <c r="Y50" s="1720"/>
      <c r="Z50" s="1720"/>
      <c r="AA50" s="1720"/>
      <c r="AB50" s="1720"/>
      <c r="AC50" s="1720"/>
    </row>
    <row r="51" spans="1:29">
      <c r="G51" s="2922"/>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5"/>
      <c r="L55" s="2919"/>
    </row>
    <row r="56" spans="1:29" s="1742" customFormat="1">
      <c r="B56" s="2923"/>
      <c r="C56" s="2924"/>
      <c r="K56" s="2925"/>
      <c r="L56" s="2919"/>
    </row>
    <row r="57" spans="1:29">
      <c r="B57" s="2923"/>
      <c r="C57" s="2924"/>
    </row>
    <row r="58" spans="1:29" ht="21.75" thickBot="1">
      <c r="A58" s="1745" t="s">
        <v>2137</v>
      </c>
      <c r="B58" s="1720"/>
      <c r="C58" s="1746"/>
      <c r="D58" s="1746"/>
      <c r="E58" s="1746"/>
      <c r="F58" s="1746"/>
      <c r="G58" s="1746"/>
      <c r="H58" s="1746"/>
      <c r="I58" s="1746"/>
      <c r="J58" s="1746"/>
      <c r="K58" s="1747"/>
      <c r="L58" s="1748"/>
      <c r="M58" s="1746"/>
      <c r="N58" s="2921"/>
      <c r="O58" s="2921"/>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0"/>
      <c r="O62" s="2930"/>
      <c r="P62" s="1985"/>
      <c r="Q62" s="1750"/>
    </row>
    <row r="63" spans="1:29" s="1613" customFormat="1" ht="15.75" thickBot="1">
      <c r="A63" s="1768"/>
      <c r="B63" s="1758"/>
      <c r="C63" s="1773">
        <v>100</v>
      </c>
      <c r="D63" s="1760"/>
      <c r="E63" s="1760"/>
      <c r="F63" s="1760"/>
      <c r="G63" s="1760"/>
      <c r="H63" s="1760"/>
      <c r="I63" s="1760"/>
      <c r="J63" s="1760"/>
      <c r="K63" s="1760"/>
      <c r="L63" s="1760"/>
      <c r="M63" s="1774"/>
      <c r="N63" s="2930"/>
      <c r="O63" s="2930"/>
      <c r="P63" s="1750"/>
      <c r="Q63" s="1750"/>
    </row>
    <row r="64" spans="1:29">
      <c r="A64" s="1775" t="s">
        <v>2060</v>
      </c>
      <c r="B64" s="1776" t="s">
        <v>2025</v>
      </c>
      <c r="C64" s="1777">
        <f>C9</f>
        <v>0</v>
      </c>
      <c r="D64" s="1778"/>
      <c r="E64" s="1778"/>
      <c r="F64" s="1778"/>
      <c r="G64" s="1778"/>
      <c r="H64" s="1778"/>
      <c r="I64" s="1778"/>
      <c r="J64" s="1778"/>
      <c r="K64" s="417"/>
      <c r="L64" s="417"/>
      <c r="M64" s="1779"/>
      <c r="N64" s="2931"/>
      <c r="O64" s="2931"/>
      <c r="P64" s="1986"/>
      <c r="Q64" s="1750"/>
    </row>
    <row r="65" spans="1:17" ht="15.75" thickBot="1">
      <c r="A65" s="1782"/>
      <c r="B65" s="1783"/>
      <c r="C65" s="1784">
        <v>100</v>
      </c>
      <c r="D65" s="1784"/>
      <c r="E65" s="1784"/>
      <c r="F65" s="1784"/>
      <c r="G65" s="1784"/>
      <c r="H65" s="1784"/>
      <c r="I65" s="1784"/>
      <c r="J65" s="1784"/>
      <c r="K65" s="1784"/>
      <c r="L65" s="1784"/>
      <c r="M65" s="1785"/>
      <c r="N65" s="2932"/>
      <c r="O65" s="2932"/>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1"/>
      <c r="O66" s="2931"/>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2"/>
      <c r="O67" s="2932"/>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2"/>
      <c r="O68" s="2932"/>
      <c r="P68" s="1986"/>
      <c r="Q68" s="1750"/>
    </row>
    <row r="69" spans="1:17" ht="15">
      <c r="A69" s="1782"/>
      <c r="B69" s="1795"/>
      <c r="C69" s="1796"/>
      <c r="D69" s="1796"/>
      <c r="E69" s="1796"/>
      <c r="F69" s="1796"/>
      <c r="G69" s="1796"/>
      <c r="H69" s="1796"/>
      <c r="I69" s="1796"/>
      <c r="J69" s="1796"/>
      <c r="K69" s="438"/>
      <c r="L69" s="438"/>
      <c r="M69" s="1797"/>
      <c r="N69" s="2931"/>
      <c r="O69" s="2931"/>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2"/>
      <c r="O70" s="2932"/>
      <c r="P70" s="1986"/>
      <c r="Q70" s="1750"/>
    </row>
    <row r="71" spans="1:17" s="1700" customFormat="1" ht="15.75" thickTop="1">
      <c r="A71" s="1798"/>
      <c r="B71" s="1787">
        <f>B12</f>
        <v>111</v>
      </c>
      <c r="C71" s="468"/>
      <c r="D71" s="468"/>
      <c r="E71" s="468"/>
      <c r="F71" s="468"/>
      <c r="G71" s="468"/>
      <c r="H71" s="443"/>
      <c r="I71" s="443"/>
      <c r="J71" s="443"/>
      <c r="K71" s="443"/>
      <c r="L71" s="443"/>
      <c r="M71" s="1799"/>
      <c r="N71" s="2933"/>
      <c r="O71" s="2933"/>
      <c r="P71" s="1987"/>
      <c r="Q71" s="1802"/>
    </row>
    <row r="72" spans="1:17" s="1700" customFormat="1" ht="15.75" thickBot="1">
      <c r="A72" s="1798"/>
      <c r="B72" s="1790"/>
      <c r="C72" s="1803"/>
      <c r="D72" s="1784"/>
      <c r="E72" s="1784"/>
      <c r="F72" s="1784"/>
      <c r="G72" s="1784"/>
      <c r="H72" s="1784"/>
      <c r="I72" s="1784"/>
      <c r="J72" s="1784"/>
      <c r="K72" s="1784"/>
      <c r="L72" s="1784"/>
      <c r="M72" s="1785"/>
      <c r="N72" s="2932"/>
      <c r="O72" s="2932"/>
      <c r="P72" s="1987"/>
      <c r="Q72" s="1802"/>
    </row>
    <row r="73" spans="1:17" s="1700" customFormat="1" ht="15.75" thickTop="1">
      <c r="A73" s="1798"/>
      <c r="B73" s="1787">
        <f>B13</f>
        <v>111</v>
      </c>
      <c r="C73" s="468"/>
      <c r="D73" s="468"/>
      <c r="E73" s="468"/>
      <c r="F73" s="468"/>
      <c r="G73" s="468"/>
      <c r="H73" s="443"/>
      <c r="I73" s="443"/>
      <c r="J73" s="443"/>
      <c r="K73" s="443"/>
      <c r="L73" s="443"/>
      <c r="M73" s="1799"/>
      <c r="N73" s="2933"/>
      <c r="O73" s="2933"/>
      <c r="P73" s="1988"/>
      <c r="Q73" s="1805"/>
    </row>
    <row r="74" spans="1:17" s="1700" customFormat="1" ht="15.75" thickBot="1">
      <c r="A74" s="1798"/>
      <c r="B74" s="1790"/>
      <c r="C74" s="1803"/>
      <c r="D74" s="1803"/>
      <c r="E74" s="1803"/>
      <c r="F74" s="1803"/>
      <c r="G74" s="1803"/>
      <c r="H74" s="1806"/>
      <c r="I74" s="1806"/>
      <c r="J74" s="1806"/>
      <c r="K74" s="1806"/>
      <c r="L74" s="1806"/>
      <c r="M74" s="1807"/>
      <c r="N74" s="2933"/>
      <c r="O74" s="2933"/>
      <c r="P74" s="1987"/>
      <c r="Q74" s="1802"/>
    </row>
    <row r="75" spans="1:17" s="1700" customFormat="1" ht="15.75" thickTop="1">
      <c r="A75" s="1798"/>
      <c r="B75" s="1793">
        <f>B14</f>
        <v>111</v>
      </c>
      <c r="C75" s="409"/>
      <c r="D75" s="409"/>
      <c r="E75" s="409"/>
      <c r="F75" s="409"/>
      <c r="G75" s="409"/>
      <c r="H75" s="453"/>
      <c r="I75" s="453"/>
      <c r="J75" s="453"/>
      <c r="K75" s="453"/>
      <c r="L75" s="453"/>
      <c r="M75" s="1808"/>
      <c r="N75" s="2933"/>
      <c r="O75" s="2933"/>
      <c r="P75" s="1987"/>
      <c r="Q75" s="1802"/>
    </row>
    <row r="76" spans="1:17" s="1700" customFormat="1" ht="15.75" thickBot="1">
      <c r="A76" s="1809"/>
      <c r="B76" s="1810"/>
      <c r="C76" s="1811"/>
      <c r="D76" s="1811"/>
      <c r="E76" s="1811"/>
      <c r="F76" s="1811"/>
      <c r="G76" s="1811"/>
      <c r="H76" s="1812"/>
      <c r="I76" s="1812"/>
      <c r="J76" s="1812"/>
      <c r="K76" s="1812"/>
      <c r="L76" s="1812"/>
      <c r="M76" s="1813"/>
      <c r="N76" s="2933"/>
      <c r="O76" s="2933"/>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1"/>
      <c r="O77" s="2931"/>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2"/>
      <c r="O78" s="2932"/>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1"/>
      <c r="O79" s="2931"/>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2"/>
      <c r="O80" s="2932"/>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1"/>
      <c r="O81" s="2931"/>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2"/>
      <c r="O82" s="2932"/>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2"/>
      <c r="O83" s="2932"/>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2"/>
      <c r="O84" s="2932"/>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1"/>
      <c r="O85" s="2931"/>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2"/>
      <c r="O86" s="2932"/>
      <c r="P86" s="1986"/>
      <c r="Q86" s="1750"/>
    </row>
    <row r="87" spans="1:17" s="1613" customFormat="1" ht="27.75" thickTop="1">
      <c r="A87" s="1818"/>
      <c r="B87" s="1787" t="s">
        <v>2158</v>
      </c>
      <c r="C87" s="468"/>
      <c r="D87" s="468"/>
      <c r="E87" s="468"/>
      <c r="F87" s="468"/>
      <c r="G87" s="468"/>
      <c r="H87" s="468"/>
      <c r="I87" s="468"/>
      <c r="J87" s="468"/>
      <c r="K87" s="468"/>
      <c r="L87" s="468"/>
      <c r="M87" s="1819"/>
      <c r="N87" s="2930"/>
      <c r="O87" s="2930"/>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2"/>
      <c r="O88" s="2932"/>
      <c r="P88" s="1986"/>
      <c r="Q88" s="1750"/>
    </row>
    <row r="89" spans="1:17" s="1613" customFormat="1" ht="15.75" thickTop="1">
      <c r="A89" s="1818"/>
      <c r="B89" s="1787" t="str">
        <f>B27</f>
        <v>楼层</v>
      </c>
      <c r="C89" s="468"/>
      <c r="D89" s="468"/>
      <c r="E89" s="468"/>
      <c r="F89" s="1821"/>
      <c r="G89" s="468"/>
      <c r="H89" s="468"/>
      <c r="I89" s="468"/>
      <c r="J89" s="468"/>
      <c r="K89" s="468"/>
      <c r="L89" s="468"/>
      <c r="M89" s="1819"/>
      <c r="N89" s="2930"/>
      <c r="O89" s="2930"/>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2"/>
      <c r="O90" s="2932"/>
      <c r="P90" s="1986"/>
      <c r="Q90" s="1750"/>
    </row>
    <row r="91" spans="1:17" s="1700" customFormat="1" ht="15.75" thickTop="1">
      <c r="A91" s="1798"/>
      <c r="B91" s="1787" t="str">
        <f>B28</f>
        <v>朝向</v>
      </c>
      <c r="C91" s="468"/>
      <c r="D91" s="468"/>
      <c r="E91" s="468"/>
      <c r="F91" s="468"/>
      <c r="G91" s="468"/>
      <c r="H91" s="443"/>
      <c r="I91" s="443"/>
      <c r="J91" s="443"/>
      <c r="K91" s="443"/>
      <c r="L91" s="443"/>
      <c r="M91" s="1799"/>
      <c r="N91" s="2933"/>
      <c r="O91" s="2933"/>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3"/>
      <c r="O92" s="2933"/>
      <c r="P92" s="1987"/>
      <c r="Q92" s="1802"/>
    </row>
    <row r="93" spans="1:17" ht="15.75" thickTop="1">
      <c r="A93" s="1782"/>
      <c r="B93" s="1787">
        <f>B29</f>
        <v>111</v>
      </c>
      <c r="C93" s="468"/>
      <c r="D93" s="468"/>
      <c r="E93" s="468"/>
      <c r="F93" s="468"/>
      <c r="G93" s="468"/>
      <c r="H93" s="468"/>
      <c r="I93" s="468"/>
      <c r="J93" s="468"/>
      <c r="K93" s="468"/>
      <c r="L93" s="468"/>
      <c r="M93" s="1819"/>
      <c r="N93" s="2931"/>
      <c r="O93" s="2931"/>
      <c r="P93" s="1986"/>
      <c r="Q93" s="1750"/>
    </row>
    <row r="94" spans="1:17" ht="15.75" thickBot="1">
      <c r="A94" s="1782"/>
      <c r="B94" s="1790"/>
      <c r="C94" s="1803"/>
      <c r="D94" s="1784"/>
      <c r="E94" s="1784"/>
      <c r="F94" s="1784"/>
      <c r="G94" s="1784"/>
      <c r="H94" s="1784"/>
      <c r="I94" s="1784"/>
      <c r="J94" s="1784"/>
      <c r="K94" s="1784"/>
      <c r="L94" s="1784"/>
      <c r="M94" s="1785"/>
      <c r="N94" s="2932"/>
      <c r="O94" s="2932"/>
      <c r="P94" s="1986"/>
      <c r="Q94" s="1750"/>
    </row>
    <row r="95" spans="1:17" ht="15.75" thickTop="1">
      <c r="A95" s="1782"/>
      <c r="B95" s="1787">
        <f>B30</f>
        <v>111</v>
      </c>
      <c r="C95" s="468"/>
      <c r="D95" s="468"/>
      <c r="E95" s="468"/>
      <c r="F95" s="468"/>
      <c r="G95" s="1506"/>
      <c r="H95" s="1506"/>
      <c r="I95" s="1506"/>
      <c r="J95" s="1506"/>
      <c r="K95" s="473"/>
      <c r="L95" s="473"/>
      <c r="M95" s="1822"/>
      <c r="N95" s="2931"/>
      <c r="O95" s="2931"/>
      <c r="P95" s="1986"/>
      <c r="Q95" s="1750"/>
    </row>
    <row r="96" spans="1:17" ht="15.75" thickBot="1">
      <c r="A96" s="1782"/>
      <c r="B96" s="1790"/>
      <c r="C96" s="1803"/>
      <c r="D96" s="1803"/>
      <c r="E96" s="1803"/>
      <c r="F96" s="1803"/>
      <c r="G96" s="1784"/>
      <c r="H96" s="1784"/>
      <c r="I96" s="1784"/>
      <c r="J96" s="1784"/>
      <c r="K96" s="1784"/>
      <c r="L96" s="1784"/>
      <c r="M96" s="1785"/>
      <c r="N96" s="2932"/>
      <c r="O96" s="2932"/>
      <c r="P96" s="1986"/>
      <c r="Q96" s="1750"/>
    </row>
    <row r="97" spans="1:17" ht="15.75" thickTop="1">
      <c r="A97" s="1782"/>
      <c r="B97" s="1787">
        <f>B31</f>
        <v>111</v>
      </c>
      <c r="C97" s="468"/>
      <c r="D97" s="468"/>
      <c r="E97" s="468"/>
      <c r="F97" s="468"/>
      <c r="G97" s="1506"/>
      <c r="H97" s="1506"/>
      <c r="I97" s="1506"/>
      <c r="J97" s="1506"/>
      <c r="K97" s="473"/>
      <c r="L97" s="473"/>
      <c r="M97" s="1822"/>
      <c r="N97" s="2931"/>
      <c r="O97" s="2931"/>
      <c r="P97" s="1986"/>
      <c r="Q97" s="1750"/>
    </row>
    <row r="98" spans="1:17" ht="15.75" thickBot="1">
      <c r="A98" s="1782"/>
      <c r="B98" s="1790"/>
      <c r="C98" s="1803"/>
      <c r="D98" s="1784"/>
      <c r="E98" s="1784"/>
      <c r="F98" s="1784"/>
      <c r="G98" s="1784"/>
      <c r="H98" s="1784"/>
      <c r="I98" s="1784"/>
      <c r="J98" s="1784"/>
      <c r="K98" s="1784"/>
      <c r="L98" s="1784"/>
      <c r="M98" s="1785"/>
      <c r="N98" s="2932"/>
      <c r="O98" s="2932"/>
      <c r="P98" s="1986"/>
      <c r="Q98" s="1750"/>
    </row>
    <row r="99" spans="1:17" ht="15.75" thickTop="1">
      <c r="A99" s="1782"/>
      <c r="B99" s="1793">
        <f>B32</f>
        <v>111</v>
      </c>
      <c r="C99" s="409"/>
      <c r="D99" s="409"/>
      <c r="E99" s="409"/>
      <c r="F99" s="409"/>
      <c r="G99" s="1823"/>
      <c r="H99" s="1823"/>
      <c r="I99" s="1823"/>
      <c r="J99" s="1823"/>
      <c r="K99" s="477"/>
      <c r="L99" s="477"/>
      <c r="M99" s="1824"/>
      <c r="N99" s="2931"/>
      <c r="O99" s="2931"/>
      <c r="P99" s="1986"/>
      <c r="Q99" s="1750"/>
    </row>
    <row r="100" spans="1:17" ht="15.75" thickBot="1">
      <c r="A100" s="1825"/>
      <c r="B100" s="1810"/>
      <c r="C100" s="1811"/>
      <c r="D100" s="1811"/>
      <c r="E100" s="1811"/>
      <c r="F100" s="1811"/>
      <c r="G100" s="1826"/>
      <c r="H100" s="1826"/>
      <c r="I100" s="1826"/>
      <c r="J100" s="1826"/>
      <c r="K100" s="1826"/>
      <c r="L100" s="1826"/>
      <c r="M100" s="1827"/>
      <c r="N100" s="2932"/>
      <c r="O100" s="2932"/>
      <c r="P100" s="1986"/>
      <c r="Q100" s="1750"/>
    </row>
    <row r="101" spans="1:17">
      <c r="A101" s="1775" t="s">
        <v>2035</v>
      </c>
      <c r="B101" s="1776" t="s">
        <v>2084</v>
      </c>
      <c r="C101" s="1778"/>
      <c r="D101" s="1778"/>
      <c r="E101" s="1778"/>
      <c r="F101" s="1778"/>
      <c r="G101" s="1778"/>
      <c r="H101" s="1778"/>
      <c r="I101" s="1778"/>
      <c r="J101" s="1778"/>
      <c r="K101" s="417"/>
      <c r="L101" s="417"/>
      <c r="M101" s="1779"/>
      <c r="N101" s="2931"/>
      <c r="O101" s="2931"/>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2"/>
      <c r="O102" s="2932"/>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0"/>
      <c r="O103" s="2930"/>
      <c r="P103" s="1986"/>
      <c r="Q103" s="1750"/>
    </row>
    <row r="104" spans="1:17" s="1700" customFormat="1">
      <c r="A104" s="1828"/>
      <c r="B104" s="1829"/>
      <c r="C104" s="1830"/>
      <c r="D104" s="1830"/>
      <c r="E104" s="1830"/>
      <c r="F104" s="1830"/>
      <c r="G104" s="1830"/>
      <c r="H104" s="1830"/>
      <c r="I104" s="1830"/>
      <c r="J104" s="485"/>
      <c r="K104" s="485"/>
      <c r="L104" s="485"/>
      <c r="M104" s="1831"/>
      <c r="N104" s="2933"/>
      <c r="O104" s="2933"/>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2"/>
      <c r="O105" s="2932"/>
      <c r="P105" s="1987"/>
      <c r="Q105" s="1802"/>
    </row>
    <row r="106" spans="1:17" ht="15" thickTop="1">
      <c r="A106" s="1832"/>
      <c r="B106" s="1787" t="s">
        <v>2086</v>
      </c>
      <c r="C106" s="468"/>
      <c r="D106" s="468"/>
      <c r="E106" s="1506"/>
      <c r="F106" s="1506"/>
      <c r="G106" s="1506"/>
      <c r="H106" s="1506"/>
      <c r="I106" s="1506"/>
      <c r="J106" s="1506"/>
      <c r="K106" s="473"/>
      <c r="L106" s="473"/>
      <c r="M106" s="1822"/>
      <c r="N106" s="2931"/>
      <c r="O106" s="2931"/>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2"/>
      <c r="O107" s="2932"/>
      <c r="P107" s="1986"/>
      <c r="Q107" s="1750"/>
    </row>
    <row r="108" spans="1:17" ht="15" thickTop="1">
      <c r="A108" s="1832"/>
      <c r="B108" s="1787" t="s">
        <v>2088</v>
      </c>
      <c r="C108" s="468"/>
      <c r="D108" s="468"/>
      <c r="E108" s="468"/>
      <c r="F108" s="1506"/>
      <c r="G108" s="1506"/>
      <c r="H108" s="1506"/>
      <c r="I108" s="1506"/>
      <c r="J108" s="1506"/>
      <c r="K108" s="473"/>
      <c r="L108" s="473"/>
      <c r="M108" s="1822"/>
      <c r="N108" s="2931"/>
      <c r="O108" s="2931"/>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2"/>
      <c r="O109" s="2932"/>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1"/>
      <c r="O110" s="2931"/>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1"/>
      <c r="O111" s="2931"/>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2"/>
      <c r="O112" s="2932"/>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3"/>
      <c r="O113" s="2933"/>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3"/>
      <c r="O114" s="2933"/>
      <c r="P114" s="1987"/>
      <c r="Q114" s="1802"/>
    </row>
    <row r="115" spans="1:17" ht="15" thickTop="1">
      <c r="A115" s="1832"/>
      <c r="B115" s="1787" t="s">
        <v>2090</v>
      </c>
      <c r="C115" s="468"/>
      <c r="D115" s="468"/>
      <c r="E115" s="1506"/>
      <c r="F115" s="1506"/>
      <c r="G115" s="1506"/>
      <c r="H115" s="1506"/>
      <c r="I115" s="1506"/>
      <c r="J115" s="1506"/>
      <c r="K115" s="473"/>
      <c r="L115" s="473"/>
      <c r="M115" s="1822"/>
      <c r="N115" s="2931"/>
      <c r="O115" s="2931"/>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2"/>
      <c r="O116" s="2932"/>
      <c r="P116" s="1986"/>
      <c r="Q116" s="1750"/>
    </row>
    <row r="117" spans="1:17" ht="15" thickTop="1">
      <c r="A117" s="1832"/>
      <c r="B117" s="1787" t="s">
        <v>2091</v>
      </c>
      <c r="C117" s="468"/>
      <c r="D117" s="468"/>
      <c r="E117" s="468"/>
      <c r="F117" s="468"/>
      <c r="G117" s="468"/>
      <c r="H117" s="1506"/>
      <c r="I117" s="1506"/>
      <c r="J117" s="1506"/>
      <c r="K117" s="473"/>
      <c r="L117" s="473"/>
      <c r="M117" s="1822"/>
      <c r="N117" s="2931"/>
      <c r="O117" s="2931"/>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2"/>
      <c r="O118" s="2932"/>
      <c r="P118" s="1986"/>
      <c r="Q118" s="1750"/>
    </row>
    <row r="119" spans="1:17" ht="15" thickTop="1">
      <c r="A119" s="1832"/>
      <c r="B119" s="2424" t="s">
        <v>2160</v>
      </c>
      <c r="C119" s="1506"/>
      <c r="D119" s="1506"/>
      <c r="E119" s="1506"/>
      <c r="F119" s="1506"/>
      <c r="G119" s="1506"/>
      <c r="H119" s="1506"/>
      <c r="I119" s="1506"/>
      <c r="J119" s="1506"/>
      <c r="K119" s="1506"/>
      <c r="L119" s="1506"/>
      <c r="M119" s="2425"/>
      <c r="N119" s="2932"/>
      <c r="O119" s="2932"/>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2"/>
      <c r="O120" s="2932"/>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3"/>
      <c r="O121" s="2933"/>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3"/>
      <c r="O122" s="2933"/>
      <c r="P122" s="1987"/>
      <c r="Q122" s="1802"/>
    </row>
    <row r="123" spans="1:17" ht="15" thickTop="1">
      <c r="A123" s="1832"/>
      <c r="B123" s="1787" t="s">
        <v>2093</v>
      </c>
      <c r="C123" s="468"/>
      <c r="D123" s="468"/>
      <c r="E123" s="468"/>
      <c r="F123" s="1506"/>
      <c r="G123" s="1506"/>
      <c r="H123" s="1506"/>
      <c r="I123" s="1506"/>
      <c r="J123" s="1506"/>
      <c r="K123" s="473"/>
      <c r="L123" s="473"/>
      <c r="M123" s="1822"/>
      <c r="N123" s="2931"/>
      <c r="O123" s="2931"/>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2"/>
      <c r="O124" s="2932"/>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1"/>
      <c r="O125" s="2931"/>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2"/>
      <c r="O126" s="2932"/>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3"/>
      <c r="O127" s="2933"/>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3"/>
      <c r="O128" s="2933"/>
      <c r="P128" s="1987"/>
      <c r="Q128" s="1802"/>
    </row>
    <row r="129" spans="1:17" ht="15" thickTop="1">
      <c r="A129" s="1832"/>
      <c r="B129" s="1787">
        <f>B46</f>
        <v>111</v>
      </c>
      <c r="C129" s="468"/>
      <c r="D129" s="468"/>
      <c r="E129" s="468"/>
      <c r="F129" s="468"/>
      <c r="G129" s="1506"/>
      <c r="H129" s="1506"/>
      <c r="I129" s="1506"/>
      <c r="J129" s="1506"/>
      <c r="K129" s="473"/>
      <c r="L129" s="473"/>
      <c r="M129" s="1822"/>
      <c r="N129" s="2931"/>
      <c r="O129" s="2931"/>
      <c r="P129" s="1986"/>
      <c r="Q129" s="1750"/>
    </row>
    <row r="130" spans="1:17" ht="15.75" thickBot="1">
      <c r="A130" s="1782"/>
      <c r="B130" s="1790"/>
      <c r="C130" s="1803"/>
      <c r="D130" s="1803"/>
      <c r="E130" s="1803"/>
      <c r="F130" s="1803"/>
      <c r="G130" s="1784"/>
      <c r="H130" s="1784"/>
      <c r="I130" s="1784"/>
      <c r="J130" s="1784"/>
      <c r="K130" s="1784"/>
      <c r="L130" s="1784"/>
      <c r="M130" s="1785"/>
      <c r="N130" s="2932"/>
      <c r="O130" s="2932"/>
      <c r="P130" s="1986"/>
      <c r="Q130" s="1750"/>
    </row>
    <row r="131" spans="1:17" ht="15" thickTop="1">
      <c r="A131" s="1832"/>
      <c r="B131" s="1793">
        <f>B47</f>
        <v>111</v>
      </c>
      <c r="C131" s="409"/>
      <c r="D131" s="409"/>
      <c r="E131" s="409"/>
      <c r="F131" s="409"/>
      <c r="G131" s="1823"/>
      <c r="H131" s="1823"/>
      <c r="I131" s="1823"/>
      <c r="J131" s="1823"/>
      <c r="K131" s="409"/>
      <c r="L131" s="409"/>
      <c r="M131" s="1824"/>
      <c r="N131" s="2931"/>
      <c r="O131" s="2931"/>
      <c r="P131" s="1986"/>
      <c r="Q131" s="1750"/>
    </row>
    <row r="132" spans="1:17" ht="15.75" thickBot="1">
      <c r="A132" s="2428"/>
      <c r="B132" s="1810"/>
      <c r="C132" s="1811"/>
      <c r="D132" s="1811"/>
      <c r="E132" s="1811"/>
      <c r="F132" s="1811"/>
      <c r="G132" s="1826"/>
      <c r="H132" s="1826"/>
      <c r="I132" s="1826"/>
      <c r="J132" s="1826"/>
      <c r="K132" s="1826"/>
      <c r="L132" s="1826"/>
      <c r="M132" s="1827"/>
      <c r="N132" s="2932"/>
      <c r="O132" s="2932"/>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464.13</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0"/>
      <c r="M4" s="2941"/>
      <c r="N4" s="2941"/>
      <c r="O4" s="2941"/>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0"/>
      <c r="M5" s="2941"/>
      <c r="N5" s="2941"/>
      <c r="O5" s="2941"/>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0"/>
      <c r="M6" s="2941"/>
      <c r="N6" s="2941"/>
      <c r="O6" s="2941"/>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44697</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0"/>
      <c r="Q16" s="1262"/>
      <c r="R16" s="631"/>
      <c r="S16" s="632"/>
      <c r="T16" s="631"/>
      <c r="U16" s="632"/>
      <c r="V16" s="631"/>
      <c r="W16" s="632"/>
      <c r="X16" s="1263"/>
      <c r="Y16" s="365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0"/>
      <c r="Q18" s="1262"/>
      <c r="R18" s="631"/>
      <c r="S18" s="632"/>
      <c r="T18" s="631"/>
      <c r="U18" s="632"/>
      <c r="V18" s="631"/>
      <c r="W18" s="632"/>
      <c r="X18" s="1263"/>
      <c r="Y18" s="365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0"/>
      <c r="Q19" s="1262" t="str">
        <f>B19</f>
        <v>公共配套设施</v>
      </c>
      <c r="R19" s="631" t="s">
        <v>25</v>
      </c>
      <c r="S19" s="632">
        <f>F19</f>
        <v>100</v>
      </c>
      <c r="T19" s="631" t="s">
        <v>25</v>
      </c>
      <c r="U19" s="632">
        <f>H19</f>
        <v>100</v>
      </c>
      <c r="V19" s="631" t="s">
        <v>25</v>
      </c>
      <c r="W19" s="632">
        <f>J19</f>
        <v>100</v>
      </c>
      <c r="X19" s="1263"/>
      <c r="Y19" s="365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0"/>
      <c r="Q20" s="1262"/>
      <c r="R20" s="631"/>
      <c r="S20" s="632"/>
      <c r="T20" s="631"/>
      <c r="U20" s="632"/>
      <c r="V20" s="631"/>
      <c r="W20" s="632"/>
      <c r="X20" s="1263"/>
      <c r="Y20" s="365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0"/>
      <c r="Q21" s="1262" t="str">
        <f>B21</f>
        <v>基础设施水平</v>
      </c>
      <c r="R21" s="631" t="s">
        <v>25</v>
      </c>
      <c r="S21" s="632">
        <f>F21</f>
        <v>100</v>
      </c>
      <c r="T21" s="631" t="s">
        <v>25</v>
      </c>
      <c r="U21" s="632">
        <f>H21</f>
        <v>100</v>
      </c>
      <c r="V21" s="631" t="s">
        <v>25</v>
      </c>
      <c r="W21" s="632">
        <f>J21</f>
        <v>100</v>
      </c>
      <c r="X21" s="1263"/>
      <c r="Y21" s="365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0"/>
      <c r="Q22" s="1262"/>
      <c r="R22" s="631"/>
      <c r="S22" s="632"/>
      <c r="T22" s="631"/>
      <c r="U22" s="632"/>
      <c r="V22" s="631"/>
      <c r="W22" s="632"/>
      <c r="X22" s="1263"/>
      <c r="Y22" s="365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0"/>
      <c r="Q23" s="1262" t="str">
        <f>B23</f>
        <v>环境质量</v>
      </c>
      <c r="R23" s="631" t="s">
        <v>25</v>
      </c>
      <c r="S23" s="632">
        <f>F23</f>
        <v>100</v>
      </c>
      <c r="T23" s="631" t="s">
        <v>25</v>
      </c>
      <c r="U23" s="632">
        <f>H23</f>
        <v>100</v>
      </c>
      <c r="V23" s="631" t="s">
        <v>25</v>
      </c>
      <c r="W23" s="632">
        <f>J23</f>
        <v>100</v>
      </c>
      <c r="X23" s="1263"/>
      <c r="Y23" s="365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0"/>
      <c r="Q24" s="1262"/>
      <c r="R24" s="631"/>
      <c r="S24" s="632"/>
      <c r="T24" s="631"/>
      <c r="U24" s="632"/>
      <c r="V24" s="631"/>
      <c r="W24" s="632"/>
      <c r="X24" s="1263"/>
      <c r="Y24" s="365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0"/>
      <c r="Q25" s="1262">
        <f>B25</f>
        <v>111</v>
      </c>
      <c r="R25" s="631" t="s">
        <v>25</v>
      </c>
      <c r="S25" s="632">
        <f>F25</f>
        <v>100</v>
      </c>
      <c r="T25" s="631" t="s">
        <v>25</v>
      </c>
      <c r="U25" s="632">
        <f>H25</f>
        <v>100</v>
      </c>
      <c r="V25" s="631" t="s">
        <v>25</v>
      </c>
      <c r="W25" s="632">
        <f>J25</f>
        <v>100</v>
      </c>
      <c r="X25" s="1263"/>
      <c r="Y25" s="365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0"/>
      <c r="Q26" s="1262">
        <f t="shared" ref="Q26:Q40" si="11">B26</f>
        <v>111</v>
      </c>
      <c r="R26" s="631" t="s">
        <v>25</v>
      </c>
      <c r="S26" s="632">
        <f>F26</f>
        <v>100</v>
      </c>
      <c r="T26" s="631" t="s">
        <v>25</v>
      </c>
      <c r="U26" s="632">
        <f>H26</f>
        <v>100</v>
      </c>
      <c r="V26" s="631" t="s">
        <v>25</v>
      </c>
      <c r="W26" s="632">
        <f>J26</f>
        <v>100</v>
      </c>
      <c r="X26" s="1263"/>
      <c r="Y26" s="365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0"/>
      <c r="Q27" s="1255">
        <f t="shared" si="11"/>
        <v>111</v>
      </c>
      <c r="R27" s="627" t="s">
        <v>25</v>
      </c>
      <c r="S27" s="628">
        <f>F27</f>
        <v>100</v>
      </c>
      <c r="T27" s="627" t="s">
        <v>25</v>
      </c>
      <c r="U27" s="628">
        <f>H27</f>
        <v>100</v>
      </c>
      <c r="V27" s="627" t="s">
        <v>25</v>
      </c>
      <c r="W27" s="628">
        <f>J27</f>
        <v>100</v>
      </c>
      <c r="X27" s="629"/>
      <c r="Y27" s="365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0"/>
      <c r="Q28" s="1262">
        <f t="shared" si="11"/>
        <v>111</v>
      </c>
      <c r="R28" s="631" t="s">
        <v>25</v>
      </c>
      <c r="S28" s="632">
        <f t="shared" ref="S28:S40" si="12">F28</f>
        <v>100</v>
      </c>
      <c r="T28" s="631" t="s">
        <v>25</v>
      </c>
      <c r="U28" s="632">
        <f t="shared" ref="U28:U40" si="13">H28</f>
        <v>100</v>
      </c>
      <c r="V28" s="631" t="s">
        <v>25</v>
      </c>
      <c r="W28" s="632">
        <f t="shared" ref="W28:W40" si="14">J28</f>
        <v>100</v>
      </c>
      <c r="X28" s="1263"/>
      <c r="Y28" s="365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37" t="s">
        <v>2037</v>
      </c>
      <c r="Q29" s="1262" t="str">
        <f t="shared" si="11"/>
        <v>建筑类型</v>
      </c>
      <c r="R29" s="631" t="s">
        <v>25</v>
      </c>
      <c r="S29" s="632">
        <f t="shared" si="12"/>
        <v>100</v>
      </c>
      <c r="T29" s="631" t="s">
        <v>25</v>
      </c>
      <c r="U29" s="632">
        <f t="shared" si="13"/>
        <v>100</v>
      </c>
      <c r="V29" s="631" t="s">
        <v>25</v>
      </c>
      <c r="W29" s="632">
        <f t="shared" si="14"/>
        <v>100</v>
      </c>
      <c r="X29" s="1263"/>
      <c r="Y29" s="363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38"/>
      <c r="Q31" s="1262" t="str">
        <f t="shared" si="11"/>
        <v>建筑结构</v>
      </c>
      <c r="R31" s="631" t="s">
        <v>25</v>
      </c>
      <c r="S31" s="632">
        <f t="shared" si="12"/>
        <v>100</v>
      </c>
      <c r="T31" s="631" t="s">
        <v>25</v>
      </c>
      <c r="U31" s="632">
        <f t="shared" si="13"/>
        <v>100</v>
      </c>
      <c r="V31" s="631" t="s">
        <v>25</v>
      </c>
      <c r="W31" s="632">
        <f t="shared" si="14"/>
        <v>100</v>
      </c>
      <c r="X31" s="1263"/>
      <c r="Y31" s="363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38"/>
      <c r="Q32" s="1262" t="str">
        <f t="shared" si="11"/>
        <v>公共部分装修</v>
      </c>
      <c r="R32" s="631" t="s">
        <v>25</v>
      </c>
      <c r="S32" s="632">
        <f t="shared" si="12"/>
        <v>100</v>
      </c>
      <c r="T32" s="631" t="s">
        <v>25</v>
      </c>
      <c r="U32" s="632">
        <f t="shared" si="13"/>
        <v>100</v>
      </c>
      <c r="V32" s="631" t="s">
        <v>25</v>
      </c>
      <c r="W32" s="632">
        <f t="shared" si="14"/>
        <v>100</v>
      </c>
      <c r="X32" s="1263"/>
      <c r="Y32" s="363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38"/>
      <c r="Q33" s="1262" t="str">
        <f t="shared" si="11"/>
        <v>成新度</v>
      </c>
      <c r="R33" s="631" t="s">
        <v>25</v>
      </c>
      <c r="S33" s="632" t="e">
        <f t="shared" si="12"/>
        <v>#N/A</v>
      </c>
      <c r="T33" s="631" t="s">
        <v>25</v>
      </c>
      <c r="U33" s="632" t="e">
        <f t="shared" si="13"/>
        <v>#N/A</v>
      </c>
      <c r="V33" s="631" t="s">
        <v>25</v>
      </c>
      <c r="W33" s="632" t="e">
        <f t="shared" si="14"/>
        <v>#N/A</v>
      </c>
      <c r="X33" s="1263"/>
      <c r="Y33" s="363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38"/>
      <c r="Q34" s="1255"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38" t="s">
        <v>2037</v>
      </c>
      <c r="Q35" s="1262" t="str">
        <f t="shared" si="11"/>
        <v>市政基础设施</v>
      </c>
      <c r="R35" s="631" t="s">
        <v>25</v>
      </c>
      <c r="S35" s="632">
        <f t="shared" si="12"/>
        <v>100</v>
      </c>
      <c r="T35" s="631" t="s">
        <v>25</v>
      </c>
      <c r="U35" s="632">
        <f t="shared" si="13"/>
        <v>100</v>
      </c>
      <c r="V35" s="631" t="s">
        <v>25</v>
      </c>
      <c r="W35" s="632">
        <f t="shared" si="14"/>
        <v>100</v>
      </c>
      <c r="X35" s="1263"/>
      <c r="Y35" s="363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38"/>
      <c r="Q36" s="1262" t="str">
        <f t="shared" si="11"/>
        <v>内部装修</v>
      </c>
      <c r="R36" s="631" t="s">
        <v>25</v>
      </c>
      <c r="S36" s="632">
        <f t="shared" si="12"/>
        <v>100</v>
      </c>
      <c r="T36" s="631" t="s">
        <v>25</v>
      </c>
      <c r="U36" s="632">
        <f t="shared" si="13"/>
        <v>100</v>
      </c>
      <c r="V36" s="631" t="s">
        <v>25</v>
      </c>
      <c r="W36" s="632">
        <f t="shared" si="14"/>
        <v>100</v>
      </c>
      <c r="X36" s="1263"/>
      <c r="Y36" s="363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38"/>
      <c r="Q37" s="1262" t="str">
        <f t="shared" si="11"/>
        <v>内部装修状况</v>
      </c>
      <c r="R37" s="631" t="s">
        <v>25</v>
      </c>
      <c r="S37" s="632">
        <f t="shared" si="12"/>
        <v>100</v>
      </c>
      <c r="T37" s="631" t="s">
        <v>25</v>
      </c>
      <c r="U37" s="632">
        <f t="shared" si="13"/>
        <v>100</v>
      </c>
      <c r="V37" s="631" t="s">
        <v>25</v>
      </c>
      <c r="W37" s="632">
        <f t="shared" si="14"/>
        <v>100</v>
      </c>
      <c r="X37" s="1263"/>
      <c r="Y37" s="363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38"/>
      <c r="Q39" s="1262">
        <f t="shared" si="11"/>
        <v>111</v>
      </c>
      <c r="R39" s="631" t="s">
        <v>25</v>
      </c>
      <c r="S39" s="632">
        <f t="shared" si="12"/>
        <v>100</v>
      </c>
      <c r="T39" s="631" t="s">
        <v>25</v>
      </c>
      <c r="U39" s="632">
        <f t="shared" si="13"/>
        <v>100</v>
      </c>
      <c r="V39" s="631" t="s">
        <v>25</v>
      </c>
      <c r="W39" s="632">
        <f t="shared" si="14"/>
        <v>100</v>
      </c>
      <c r="X39" s="1263"/>
      <c r="Y39" s="363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39"/>
      <c r="Q40" s="1262">
        <f t="shared" si="11"/>
        <v>111</v>
      </c>
      <c r="R40" s="631" t="s">
        <v>25</v>
      </c>
      <c r="S40" s="632">
        <f t="shared" si="12"/>
        <v>100</v>
      </c>
      <c r="T40" s="631" t="s">
        <v>25</v>
      </c>
      <c r="U40" s="632">
        <f t="shared" si="13"/>
        <v>100</v>
      </c>
      <c r="V40" s="631" t="s">
        <v>25</v>
      </c>
      <c r="W40" s="632">
        <f t="shared" si="14"/>
        <v>100</v>
      </c>
      <c r="X40" s="1263"/>
      <c r="Y40" s="363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2132</v>
      </c>
      <c r="B42" s="375"/>
      <c r="C42" s="1088" t="e">
        <f>R43</f>
        <v>#DIV/0!</v>
      </c>
      <c r="D42" s="1725" t="s">
        <v>2500</v>
      </c>
      <c r="E42" s="1089" t="e">
        <f>R42</f>
        <v>#DIV/0!</v>
      </c>
      <c r="F42" s="1727"/>
      <c r="G42" s="1088" t="e">
        <f>T42</f>
        <v>#DIV/0!</v>
      </c>
      <c r="H42" s="1727"/>
      <c r="I42" s="1089" t="e">
        <f>V42</f>
        <v>#DIV/0!</v>
      </c>
      <c r="J42" s="1727"/>
      <c r="K42" s="2429">
        <f>F42+H42+J42</f>
        <v>0</v>
      </c>
      <c r="L42" s="2952"/>
      <c r="N42" s="2941"/>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464.13</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0"/>
      <c r="M4" s="2941"/>
      <c r="N4" s="2941"/>
      <c r="O4" s="2941"/>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0"/>
      <c r="M5" s="2941"/>
      <c r="N5" s="2941"/>
      <c r="O5" s="2941"/>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0"/>
      <c r="M6" s="2941"/>
      <c r="N6" s="2941"/>
      <c r="O6" s="2941"/>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44697</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0"/>
      <c r="Q15" s="1262"/>
      <c r="R15" s="631"/>
      <c r="S15" s="632"/>
      <c r="T15" s="631"/>
      <c r="U15" s="632"/>
      <c r="V15" s="631"/>
      <c r="W15" s="632"/>
      <c r="X15" s="1263"/>
      <c r="Y15" s="365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0"/>
      <c r="Q17" s="1262"/>
      <c r="R17" s="631"/>
      <c r="S17" s="632"/>
      <c r="T17" s="631"/>
      <c r="U17" s="632"/>
      <c r="V17" s="631"/>
      <c r="W17" s="632"/>
      <c r="X17" s="1263"/>
      <c r="Y17" s="365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0"/>
      <c r="Q19" s="1262"/>
      <c r="R19" s="631"/>
      <c r="S19" s="632"/>
      <c r="T19" s="631"/>
      <c r="U19" s="632"/>
      <c r="V19" s="631"/>
      <c r="W19" s="632"/>
      <c r="X19" s="1263"/>
      <c r="Y19" s="365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0"/>
      <c r="Q21" s="1262"/>
      <c r="R21" s="631"/>
      <c r="S21" s="632"/>
      <c r="T21" s="631"/>
      <c r="U21" s="632"/>
      <c r="V21" s="631"/>
      <c r="W21" s="632"/>
      <c r="X21" s="1263"/>
      <c r="Y21" s="365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0"/>
      <c r="Q24" s="1262">
        <f t="shared" ref="Q24:Q36"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3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38"/>
      <c r="Q28" s="1262" t="str">
        <f t="shared" si="11"/>
        <v>公共部分装修</v>
      </c>
      <c r="R28" s="631" t="s">
        <v>25</v>
      </c>
      <c r="S28" s="632">
        <f t="shared" si="12"/>
        <v>100</v>
      </c>
      <c r="T28" s="631" t="s">
        <v>25</v>
      </c>
      <c r="U28" s="632">
        <f t="shared" si="13"/>
        <v>100</v>
      </c>
      <c r="V28" s="631" t="s">
        <v>25</v>
      </c>
      <c r="W28" s="632">
        <f t="shared" si="14"/>
        <v>100</v>
      </c>
      <c r="X28" s="1263"/>
      <c r="Y28" s="363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38"/>
      <c r="Q29" s="1262" t="str">
        <f t="shared" si="11"/>
        <v>成新率</v>
      </c>
      <c r="R29" s="631" t="s">
        <v>25</v>
      </c>
      <c r="S29" s="632" t="e">
        <f t="shared" si="12"/>
        <v>#N/A</v>
      </c>
      <c r="T29" s="631" t="s">
        <v>25</v>
      </c>
      <c r="U29" s="632" t="e">
        <f t="shared" si="13"/>
        <v>#N/A</v>
      </c>
      <c r="V29" s="631" t="s">
        <v>25</v>
      </c>
      <c r="W29" s="632" t="e">
        <f t="shared" si="14"/>
        <v>#N/A</v>
      </c>
      <c r="X29" s="1263"/>
      <c r="Y29" s="363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38"/>
      <c r="Q30" s="1262" t="str">
        <f t="shared" si="11"/>
        <v>物业等级</v>
      </c>
      <c r="R30" s="631" t="s">
        <v>25</v>
      </c>
      <c r="S30" s="632">
        <f t="shared" si="12"/>
        <v>100</v>
      </c>
      <c r="T30" s="631" t="s">
        <v>25</v>
      </c>
      <c r="U30" s="632">
        <f t="shared" si="13"/>
        <v>100</v>
      </c>
      <c r="V30" s="631" t="s">
        <v>25</v>
      </c>
      <c r="W30" s="632">
        <f t="shared" si="14"/>
        <v>100</v>
      </c>
      <c r="X30" s="1263"/>
      <c r="Y30" s="363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38"/>
      <c r="Q31" s="1255"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38" t="s">
        <v>2037</v>
      </c>
      <c r="Q32" s="1262" t="str">
        <f t="shared" si="11"/>
        <v>车位类型</v>
      </c>
      <c r="R32" s="631" t="s">
        <v>25</v>
      </c>
      <c r="S32" s="632">
        <f t="shared" si="12"/>
        <v>100</v>
      </c>
      <c r="T32" s="631" t="s">
        <v>25</v>
      </c>
      <c r="U32" s="632">
        <f t="shared" si="13"/>
        <v>100</v>
      </c>
      <c r="V32" s="631" t="s">
        <v>25</v>
      </c>
      <c r="W32" s="632">
        <f t="shared" si="14"/>
        <v>100</v>
      </c>
      <c r="X32" s="1263"/>
      <c r="Y32" s="363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38"/>
      <c r="Q33" s="1262" t="str">
        <f t="shared" si="11"/>
        <v>是否直接入户</v>
      </c>
      <c r="R33" s="631" t="s">
        <v>25</v>
      </c>
      <c r="S33" s="632">
        <f t="shared" si="12"/>
        <v>100</v>
      </c>
      <c r="T33" s="631" t="s">
        <v>25</v>
      </c>
      <c r="U33" s="632">
        <f t="shared" si="13"/>
        <v>100</v>
      </c>
      <c r="V33" s="631" t="s">
        <v>25</v>
      </c>
      <c r="W33" s="632">
        <f t="shared" si="14"/>
        <v>100</v>
      </c>
      <c r="X33" s="1263"/>
      <c r="Y33" s="363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38"/>
      <c r="Q36" s="1262">
        <f t="shared" si="11"/>
        <v>111</v>
      </c>
      <c r="R36" s="631" t="s">
        <v>25</v>
      </c>
      <c r="S36" s="632">
        <f t="shared" si="12"/>
        <v>100</v>
      </c>
      <c r="T36" s="631" t="s">
        <v>25</v>
      </c>
      <c r="U36" s="632">
        <f t="shared" si="13"/>
        <v>100</v>
      </c>
      <c r="V36" s="631" t="s">
        <v>25</v>
      </c>
      <c r="W36" s="632">
        <f t="shared" si="14"/>
        <v>100</v>
      </c>
      <c r="X36" s="1263"/>
      <c r="Y36" s="363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2181</v>
      </c>
      <c r="B38" s="375" t="str">
        <f>B37</f>
        <v>元/平方米</v>
      </c>
      <c r="C38" s="1088" t="e">
        <f>R39</f>
        <v>#DIV/0!</v>
      </c>
      <c r="D38" s="1725" t="s">
        <v>2500</v>
      </c>
      <c r="E38" s="1089" t="e">
        <f>R38</f>
        <v>#DIV/0!</v>
      </c>
      <c r="F38" s="1727"/>
      <c r="G38" s="1088" t="e">
        <f>T38</f>
        <v>#DIV/0!</v>
      </c>
      <c r="H38" s="1727"/>
      <c r="I38" s="1089" t="e">
        <f>V38</f>
        <v>#DIV/0!</v>
      </c>
      <c r="J38" s="1727"/>
      <c r="K38" s="2429">
        <f>F38+H38+J38</f>
        <v>0</v>
      </c>
      <c r="L38" s="2952"/>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464.13</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0"/>
      <c r="M4" s="2941"/>
      <c r="N4" s="2941"/>
      <c r="O4" s="2941"/>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0"/>
      <c r="M5" s="2941"/>
      <c r="N5" s="2941"/>
      <c r="O5" s="2941"/>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0"/>
      <c r="M6" s="2941"/>
      <c r="N6" s="2941"/>
      <c r="O6" s="2941"/>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44697</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0"/>
      <c r="Q15" s="1262"/>
      <c r="R15" s="631"/>
      <c r="S15" s="632"/>
      <c r="T15" s="631"/>
      <c r="U15" s="632"/>
      <c r="V15" s="631"/>
      <c r="W15" s="632"/>
      <c r="X15" s="1263"/>
      <c r="Y15" s="365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0"/>
      <c r="Q17" s="1262"/>
      <c r="R17" s="631"/>
      <c r="S17" s="632"/>
      <c r="T17" s="631"/>
      <c r="U17" s="632"/>
      <c r="V17" s="631"/>
      <c r="W17" s="632"/>
      <c r="X17" s="1263"/>
      <c r="Y17" s="365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0"/>
      <c r="Q19" s="1262"/>
      <c r="R19" s="631"/>
      <c r="S19" s="632"/>
      <c r="T19" s="631"/>
      <c r="U19" s="632"/>
      <c r="V19" s="631"/>
      <c r="W19" s="632"/>
      <c r="X19" s="1263"/>
      <c r="Y19" s="365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0"/>
      <c r="Q21" s="1262"/>
      <c r="R21" s="631"/>
      <c r="S21" s="632"/>
      <c r="T21" s="631"/>
      <c r="U21" s="632"/>
      <c r="V21" s="631"/>
      <c r="W21" s="632"/>
      <c r="X21" s="1263"/>
      <c r="Y21" s="365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0"/>
      <c r="Q24" s="1262">
        <f t="shared" ref="Q24:Q34"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3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38"/>
      <c r="Q28" s="1262" t="str">
        <f t="shared" si="11"/>
        <v>物业等级</v>
      </c>
      <c r="R28" s="631" t="s">
        <v>25</v>
      </c>
      <c r="S28" s="632">
        <f t="shared" si="12"/>
        <v>100</v>
      </c>
      <c r="T28" s="631" t="s">
        <v>25</v>
      </c>
      <c r="U28" s="632">
        <f t="shared" si="13"/>
        <v>100</v>
      </c>
      <c r="V28" s="631" t="s">
        <v>25</v>
      </c>
      <c r="W28" s="632">
        <f t="shared" si="14"/>
        <v>100</v>
      </c>
      <c r="X28" s="1263"/>
      <c r="Y28" s="363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38"/>
      <c r="Q29" s="1262" t="str">
        <f t="shared" si="11"/>
        <v>有无电梯</v>
      </c>
      <c r="R29" s="631" t="s">
        <v>25</v>
      </c>
      <c r="S29" s="632">
        <f t="shared" si="12"/>
        <v>100</v>
      </c>
      <c r="T29" s="631" t="s">
        <v>25</v>
      </c>
      <c r="U29" s="632">
        <f t="shared" si="13"/>
        <v>100</v>
      </c>
      <c r="V29" s="631" t="s">
        <v>25</v>
      </c>
      <c r="W29" s="632">
        <f t="shared" si="14"/>
        <v>100</v>
      </c>
      <c r="X29" s="1263"/>
      <c r="Y29" s="363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38"/>
      <c r="Q30" s="1262" t="str">
        <f t="shared" si="11"/>
        <v>建筑面积</v>
      </c>
      <c r="R30" s="631" t="s">
        <v>25</v>
      </c>
      <c r="S30" s="632" t="e">
        <f t="shared" si="12"/>
        <v>#N/A</v>
      </c>
      <c r="T30" s="631" t="s">
        <v>25</v>
      </c>
      <c r="U30" s="632" t="e">
        <f t="shared" si="13"/>
        <v>#N/A</v>
      </c>
      <c r="V30" s="631" t="s">
        <v>25</v>
      </c>
      <c r="W30" s="632" t="e">
        <f t="shared" si="14"/>
        <v>#N/A</v>
      </c>
      <c r="X30" s="1263"/>
      <c r="Y30" s="363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38"/>
      <c r="Q31" s="1255"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38" t="s">
        <v>2037</v>
      </c>
      <c r="Q32" s="1262">
        <f t="shared" si="11"/>
        <v>111</v>
      </c>
      <c r="R32" s="631" t="s">
        <v>25</v>
      </c>
      <c r="S32" s="632">
        <f t="shared" si="12"/>
        <v>100</v>
      </c>
      <c r="T32" s="631" t="s">
        <v>25</v>
      </c>
      <c r="U32" s="632">
        <f t="shared" si="13"/>
        <v>100</v>
      </c>
      <c r="V32" s="631" t="s">
        <v>25</v>
      </c>
      <c r="W32" s="632">
        <f t="shared" si="14"/>
        <v>100</v>
      </c>
      <c r="X32" s="1263"/>
      <c r="Y32" s="363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38"/>
      <c r="Q33" s="1262">
        <f t="shared" si="11"/>
        <v>111</v>
      </c>
      <c r="R33" s="631" t="s">
        <v>25</v>
      </c>
      <c r="S33" s="632">
        <f t="shared" si="12"/>
        <v>100</v>
      </c>
      <c r="T33" s="631" t="s">
        <v>25</v>
      </c>
      <c r="U33" s="632">
        <f t="shared" si="13"/>
        <v>100</v>
      </c>
      <c r="V33" s="631" t="s">
        <v>25</v>
      </c>
      <c r="W33" s="632">
        <f t="shared" si="14"/>
        <v>100</v>
      </c>
      <c r="X33" s="1263"/>
      <c r="Y33" s="363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2132</v>
      </c>
      <c r="B36" s="375"/>
      <c r="C36" s="1088" t="e">
        <f>R37</f>
        <v>#DIV/0!</v>
      </c>
      <c r="D36" s="1725" t="s">
        <v>2500</v>
      </c>
      <c r="E36" s="1089" t="e">
        <f>R36</f>
        <v>#DIV/0!</v>
      </c>
      <c r="F36" s="1727"/>
      <c r="G36" s="1088" t="e">
        <f>T36</f>
        <v>#DIV/0!</v>
      </c>
      <c r="H36" s="1727"/>
      <c r="I36" s="1089" t="e">
        <f>V36</f>
        <v>#DIV/0!</v>
      </c>
      <c r="J36" s="1727"/>
      <c r="K36" s="2429">
        <f>F36+H36+J36</f>
        <v>0</v>
      </c>
      <c r="L36" s="2952"/>
      <c r="N36" s="2941"/>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7"/>
      <c r="E2" s="2927"/>
      <c r="F2" s="2926"/>
      <c r="G2" s="2927"/>
      <c r="H2" s="2927"/>
      <c r="I2" s="2927"/>
      <c r="J2" s="2927"/>
      <c r="K2" s="2928"/>
      <c r="L2" s="2929"/>
      <c r="M2" s="2927"/>
      <c r="N2" s="2927"/>
      <c r="O2" s="2927"/>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7"/>
      <c r="E3" s="2927"/>
      <c r="F3" s="2926"/>
      <c r="G3" s="2927"/>
      <c r="H3" s="2927"/>
      <c r="I3" s="2927"/>
      <c r="J3" s="2927"/>
      <c r="K3" s="2928"/>
      <c r="L3" s="2929"/>
      <c r="M3" s="2927"/>
      <c r="N3" s="2927"/>
      <c r="O3" s="2927"/>
      <c r="P3" s="1885"/>
      <c r="Q3" s="1885"/>
      <c r="R3" s="1885"/>
      <c r="S3" s="1885"/>
      <c r="T3" s="1885"/>
      <c r="U3" s="1885"/>
      <c r="V3" s="1885"/>
      <c r="W3" s="1885"/>
      <c r="X3" s="1885"/>
      <c r="Y3" s="1885"/>
      <c r="Z3" s="1885"/>
      <c r="AA3" s="1885"/>
      <c r="AB3" s="1892"/>
      <c r="AC3" s="1893"/>
    </row>
    <row r="4" spans="1:30" ht="15">
      <c r="A4" s="1591" t="s">
        <v>2006</v>
      </c>
      <c r="B4" s="1592"/>
      <c r="C4" s="3616" t="s">
        <v>2007</v>
      </c>
      <c r="D4" s="3617"/>
      <c r="E4" s="3618" t="s">
        <v>2008</v>
      </c>
      <c r="F4" s="3619"/>
      <c r="G4" s="3616" t="s">
        <v>2009</v>
      </c>
      <c r="H4" s="3617"/>
      <c r="I4" s="3616" t="s">
        <v>2010</v>
      </c>
      <c r="J4" s="3617"/>
      <c r="K4" s="1894" t="s">
        <v>2011</v>
      </c>
      <c r="L4" s="2912"/>
      <c r="M4" s="2913"/>
      <c r="N4" s="2913"/>
      <c r="O4" s="2913"/>
      <c r="P4" s="3620" t="s">
        <v>2012</v>
      </c>
      <c r="Q4" s="3621"/>
      <c r="R4" s="3605" t="s">
        <v>2008</v>
      </c>
      <c r="S4" s="3606"/>
      <c r="T4" s="3605" t="s">
        <v>2009</v>
      </c>
      <c r="U4" s="3606"/>
      <c r="V4" s="3626" t="s">
        <v>2010</v>
      </c>
      <c r="W4" s="3626"/>
      <c r="X4" s="1594"/>
      <c r="Y4" s="3605" t="s">
        <v>2012</v>
      </c>
      <c r="Z4" s="3606"/>
      <c r="AA4" s="3613" t="s">
        <v>2008</v>
      </c>
      <c r="AB4" s="3614" t="s">
        <v>2009</v>
      </c>
      <c r="AC4" s="3613" t="s">
        <v>2010</v>
      </c>
    </row>
    <row r="5" spans="1:30" ht="15">
      <c r="A5" s="1596"/>
      <c r="B5" s="1597"/>
      <c r="C5" s="3601" t="s">
        <v>2013</v>
      </c>
      <c r="D5" s="3602"/>
      <c r="E5" s="3627" t="s">
        <v>2014</v>
      </c>
      <c r="F5" s="3628"/>
      <c r="G5" s="3601" t="s">
        <v>2015</v>
      </c>
      <c r="H5" s="3602"/>
      <c r="I5" s="3601" t="s">
        <v>2016</v>
      </c>
      <c r="J5" s="3602"/>
      <c r="K5" s="1894"/>
      <c r="L5" s="2912"/>
      <c r="M5" s="2913"/>
      <c r="N5" s="2913"/>
      <c r="O5" s="2913"/>
      <c r="P5" s="3622"/>
      <c r="Q5" s="3623"/>
      <c r="R5" s="3607"/>
      <c r="S5" s="3608"/>
      <c r="T5" s="3607"/>
      <c r="U5" s="3608"/>
      <c r="V5" s="3626"/>
      <c r="W5" s="3626"/>
      <c r="X5" s="1594"/>
      <c r="Y5" s="3607"/>
      <c r="Z5" s="3608"/>
      <c r="AA5" s="3614"/>
      <c r="AB5" s="3614"/>
      <c r="AC5" s="3614"/>
    </row>
    <row r="6" spans="1:30" ht="15.75" thickBot="1">
      <c r="A6" s="1599"/>
      <c r="B6" s="1600"/>
      <c r="C6" s="3599" t="s">
        <v>2017</v>
      </c>
      <c r="D6" s="3600"/>
      <c r="E6" s="3629" t="s">
        <v>2017</v>
      </c>
      <c r="F6" s="3630"/>
      <c r="G6" s="3599" t="s">
        <v>2017</v>
      </c>
      <c r="H6" s="3600"/>
      <c r="I6" s="3599" t="s">
        <v>2017</v>
      </c>
      <c r="J6" s="3600"/>
      <c r="K6" s="1894" t="s">
        <v>2018</v>
      </c>
      <c r="L6" s="2912"/>
      <c r="M6" s="2913"/>
      <c r="N6" s="2913"/>
      <c r="O6" s="2913"/>
      <c r="P6" s="3624"/>
      <c r="Q6" s="3625"/>
      <c r="R6" s="3607"/>
      <c r="S6" s="3608"/>
      <c r="T6" s="3609"/>
      <c r="U6" s="3610"/>
      <c r="V6" s="3626"/>
      <c r="W6" s="3626"/>
      <c r="X6" s="1594"/>
      <c r="Y6" s="3609"/>
      <c r="Z6" s="3610"/>
      <c r="AA6" s="3615"/>
      <c r="AB6" s="3615"/>
      <c r="AC6" s="3615"/>
    </row>
    <row r="7" spans="1:30" s="1613" customFormat="1" ht="15.75" thickBot="1">
      <c r="A7" s="1601" t="s">
        <v>2019</v>
      </c>
      <c r="B7" s="1602"/>
      <c r="C7" s="1603">
        <f>'数据-取费表'!B2</f>
        <v>44697</v>
      </c>
      <c r="D7" s="1604">
        <v>100</v>
      </c>
      <c r="E7" s="1605"/>
      <c r="F7" s="1606">
        <f>SUMIF(69:69,YEAR(E7)&amp;"-"&amp;INT((MONTH(E7)+2)/3),70:70)</f>
        <v>0</v>
      </c>
      <c r="G7" s="1895"/>
      <c r="H7" s="1604">
        <f>SUMIF(69:69,YEAR(G7)&amp;"-"&amp;INT((MONTH(G7)+2)/3),70:70)</f>
        <v>0</v>
      </c>
      <c r="I7" s="1895"/>
      <c r="J7" s="1604">
        <f>SUMIF(69:69,YEAR(I7)&amp;"-"&amp;INT((MONTH(I7)+2)/3),70:70)</f>
        <v>0</v>
      </c>
      <c r="K7" s="1896"/>
      <c r="L7" s="2912"/>
      <c r="M7" s="2885"/>
      <c r="N7" s="2885"/>
      <c r="O7" s="2885"/>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2"/>
      <c r="M8" s="2885"/>
      <c r="N8" s="2885"/>
      <c r="O8" s="2885"/>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2"/>
      <c r="M9" s="2885"/>
      <c r="N9" s="2885"/>
      <c r="O9" s="2959"/>
      <c r="P9" s="3589"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142</v>
      </c>
      <c r="G10" s="1686"/>
      <c r="H10" s="1626">
        <f>ROUND(100/'数据-取费表'!B14,0)</f>
        <v>142</v>
      </c>
      <c r="I10" s="1686"/>
      <c r="J10" s="1626">
        <f>ROUND(100/'数据-取费表'!B14,0)</f>
        <v>142</v>
      </c>
      <c r="K10" s="1898"/>
      <c r="L10" s="2914"/>
      <c r="M10" s="2915"/>
      <c r="N10" s="2915"/>
      <c r="O10" s="2960"/>
      <c r="P10" s="3589"/>
      <c r="Q10" s="1563" t="str">
        <f t="shared" si="6"/>
        <v>土地使用年限（年）</v>
      </c>
      <c r="R10" s="1609" t="s">
        <v>25</v>
      </c>
      <c r="S10" s="1610">
        <f t="shared" si="0"/>
        <v>142</v>
      </c>
      <c r="T10" s="1609" t="s">
        <v>25</v>
      </c>
      <c r="U10" s="1610">
        <f t="shared" si="1"/>
        <v>142</v>
      </c>
      <c r="V10" s="1609" t="s">
        <v>25</v>
      </c>
      <c r="W10" s="1610">
        <f t="shared" si="2"/>
        <v>142</v>
      </c>
      <c r="X10" s="1611"/>
      <c r="Y10" s="3449"/>
      <c r="Z10" s="1622" t="str">
        <f t="shared" si="7"/>
        <v>土地使用年限（年）</v>
      </c>
      <c r="AA10" s="1612">
        <f t="shared" si="3"/>
        <v>0.70422535211267601</v>
      </c>
      <c r="AB10" s="1612">
        <f t="shared" si="4"/>
        <v>0.70422535211267601</v>
      </c>
      <c r="AC10" s="1612">
        <f t="shared" si="5"/>
        <v>0.70422535211267601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6"/>
      <c r="M11" s="2913"/>
      <c r="N11" s="2913"/>
      <c r="O11" s="2961"/>
      <c r="P11" s="3589"/>
      <c r="Q11" s="1563"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2"/>
      <c r="M12" s="2885"/>
      <c r="N12" s="2885"/>
      <c r="O12" s="2959"/>
      <c r="P12" s="3589"/>
      <c r="Q12" s="1563" t="str">
        <f t="shared" si="6"/>
        <v>配建</v>
      </c>
      <c r="R12" s="1609" t="s">
        <v>25</v>
      </c>
      <c r="S12" s="1610">
        <f t="shared" si="0"/>
        <v>100</v>
      </c>
      <c r="T12" s="1609" t="s">
        <v>25</v>
      </c>
      <c r="U12" s="1610">
        <f t="shared" si="1"/>
        <v>100</v>
      </c>
      <c r="V12" s="1609" t="s">
        <v>25</v>
      </c>
      <c r="W12" s="1610">
        <f t="shared" si="2"/>
        <v>100</v>
      </c>
      <c r="X12" s="1611"/>
      <c r="Y12" s="344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7"/>
      <c r="M13" s="2913"/>
      <c r="N13" s="2913"/>
      <c r="O13" s="2961"/>
      <c r="P13" s="3589"/>
      <c r="Q13" s="1563">
        <f t="shared" si="6"/>
        <v>111</v>
      </c>
      <c r="R13" s="1609" t="s">
        <v>25</v>
      </c>
      <c r="S13" s="1610">
        <f t="shared" si="0"/>
        <v>100</v>
      </c>
      <c r="T13" s="1609" t="s">
        <v>25</v>
      </c>
      <c r="U13" s="1610">
        <f t="shared" si="1"/>
        <v>100</v>
      </c>
      <c r="V13" s="1609" t="s">
        <v>25</v>
      </c>
      <c r="W13" s="1610">
        <f t="shared" si="2"/>
        <v>100</v>
      </c>
      <c r="X13" s="1611"/>
      <c r="Y13" s="344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7"/>
      <c r="M14" s="2913"/>
      <c r="N14" s="2913"/>
      <c r="O14" s="2961"/>
      <c r="P14" s="3589"/>
      <c r="Q14" s="1563">
        <f t="shared" si="6"/>
        <v>111</v>
      </c>
      <c r="R14" s="1609" t="s">
        <v>25</v>
      </c>
      <c r="S14" s="1610">
        <f t="shared" si="0"/>
        <v>100</v>
      </c>
      <c r="T14" s="1609" t="s">
        <v>25</v>
      </c>
      <c r="U14" s="1610">
        <f t="shared" si="1"/>
        <v>100</v>
      </c>
      <c r="V14" s="1609" t="s">
        <v>25</v>
      </c>
      <c r="W14" s="1610">
        <f t="shared" si="2"/>
        <v>100</v>
      </c>
      <c r="X14" s="1611"/>
      <c r="Y14" s="344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7"/>
      <c r="M15" s="2913"/>
      <c r="N15" s="2913"/>
      <c r="O15" s="2961"/>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7"/>
      <c r="M16" s="2913"/>
      <c r="N16" s="2913"/>
      <c r="O16" s="2961"/>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7"/>
      <c r="M17" s="2913"/>
      <c r="N17" s="2913"/>
      <c r="O17" s="2961"/>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7"/>
      <c r="M18" s="2913"/>
      <c r="N18" s="2913"/>
      <c r="O18" s="2961"/>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7"/>
      <c r="M19" s="2913"/>
      <c r="N19" s="2913"/>
      <c r="O19" s="2961"/>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7"/>
      <c r="M20" s="2913"/>
      <c r="N20" s="2913"/>
      <c r="O20" s="2961"/>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7"/>
      <c r="M21" s="2913"/>
      <c r="N21" s="2913"/>
      <c r="O21" s="2961"/>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7"/>
      <c r="M22" s="2913"/>
      <c r="N22" s="2913"/>
      <c r="O22" s="2961"/>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7"/>
      <c r="M23" s="2913"/>
      <c r="N23" s="2913"/>
      <c r="O23" s="2961"/>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7"/>
      <c r="M24" s="2913"/>
      <c r="N24" s="2913"/>
      <c r="O24" s="2961"/>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7"/>
      <c r="M25" s="2913"/>
      <c r="N25" s="2913"/>
      <c r="O25" s="2961"/>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7"/>
      <c r="M26" s="2913"/>
      <c r="N26" s="2913"/>
      <c r="O26" s="2961"/>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7"/>
      <c r="M27" s="2913"/>
      <c r="N27" s="2913"/>
      <c r="O27" s="2961"/>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7"/>
      <c r="M28" s="2913"/>
      <c r="N28" s="2913"/>
      <c r="O28" s="2961"/>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2"/>
      <c r="M29" s="2885"/>
      <c r="N29" s="2885"/>
      <c r="O29" s="2959"/>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2"/>
      <c r="M30" s="2885"/>
      <c r="N30" s="2885"/>
      <c r="O30" s="2959"/>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7"/>
      <c r="M31" s="2913"/>
      <c r="N31" s="2913"/>
      <c r="O31" s="2961"/>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7"/>
      <c r="M32" s="2913"/>
      <c r="N32" s="2913"/>
      <c r="O32" s="2961"/>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7"/>
      <c r="M33" s="2913"/>
      <c r="N33" s="2913"/>
      <c r="O33" s="2961"/>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7"/>
      <c r="M34" s="2913"/>
      <c r="N34" s="2913"/>
      <c r="O34" s="2961"/>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7"/>
      <c r="M35" s="2913"/>
      <c r="N35" s="2913"/>
      <c r="O35" s="2961"/>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7"/>
      <c r="M36" s="2913"/>
      <c r="N36" s="2913"/>
      <c r="O36" s="2961"/>
      <c r="P36" s="3631"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6"/>
      <c r="M37" s="1988"/>
      <c r="N37" s="1988"/>
      <c r="O37" s="2962"/>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7"/>
      <c r="M38" s="2913"/>
      <c r="N38" s="2913"/>
      <c r="O38" s="2961"/>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7"/>
      <c r="M39" s="2913"/>
      <c r="N39" s="2913"/>
      <c r="O39" s="2961"/>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7"/>
      <c r="M40" s="2913"/>
      <c r="N40" s="2913"/>
      <c r="O40" s="2961"/>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2"/>
      <c r="M41" s="2885"/>
      <c r="N41" s="2885"/>
      <c r="O41" s="2959"/>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7"/>
      <c r="M42" s="2913"/>
      <c r="N42" s="2913"/>
      <c r="O42" s="2961"/>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7"/>
      <c r="M43" s="2913"/>
      <c r="N43" s="2913"/>
      <c r="O43" s="2961"/>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7"/>
      <c r="M44" s="2913"/>
      <c r="N44" s="2913"/>
      <c r="O44" s="2961"/>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2">
        <v>100</v>
      </c>
      <c r="E45" s="1900"/>
      <c r="F45" s="1644">
        <f>SUMIF(130:130,E45,131:131)-SUMIF(130:130,C45,131:131)+100</f>
        <v>100</v>
      </c>
      <c r="G45" s="1900"/>
      <c r="H45" s="1644">
        <f>SUMIF(130:130,G45,131:131)-SUMIF(130:130,C45,131:131)+100</f>
        <v>100</v>
      </c>
      <c r="I45" s="1900"/>
      <c r="J45" s="1644">
        <f>SUMIF(130:130,I45,131:131)-SUMIF(130:130,C45,131:131)+100</f>
        <v>100</v>
      </c>
      <c r="K45" s="1934"/>
      <c r="L45" s="2916"/>
      <c r="M45" s="1988"/>
      <c r="N45" s="1988"/>
      <c r="O45" s="2962"/>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18"/>
      <c r="N46" s="2913"/>
      <c r="P46" s="3589" t="str">
        <f>A46</f>
        <v>成交单价</v>
      </c>
      <c r="Q46" s="3589"/>
      <c r="R46" s="3626">
        <f>E46</f>
        <v>0</v>
      </c>
      <c r="S46" s="3626"/>
      <c r="T46" s="3626">
        <f>G46</f>
        <v>0</v>
      </c>
      <c r="U46" s="3626"/>
      <c r="V46" s="3626">
        <f>I46</f>
        <v>0</v>
      </c>
      <c r="W46" s="3626"/>
      <c r="X46" s="1720"/>
      <c r="Y46" s="1721"/>
      <c r="Z46" s="1720"/>
      <c r="AA46" s="1720"/>
      <c r="AB46" s="1720"/>
      <c r="AC46" s="1720"/>
    </row>
    <row r="47" spans="1:29" ht="15.75" thickBot="1">
      <c r="A47" s="1722" t="s">
        <v>2132</v>
      </c>
      <c r="B47" s="1943"/>
      <c r="C47" s="1944" t="e">
        <f>R48</f>
        <v>#DIV/0!</v>
      </c>
      <c r="D47" s="1725" t="s">
        <v>2500</v>
      </c>
      <c r="E47" s="1944" t="e">
        <f>R47</f>
        <v>#DIV/0!</v>
      </c>
      <c r="F47" s="1727"/>
      <c r="G47" s="1945" t="e">
        <f>T47</f>
        <v>#DIV/0!</v>
      </c>
      <c r="H47" s="1727"/>
      <c r="I47" s="1944" t="e">
        <f>V47</f>
        <v>#DIV/0!</v>
      </c>
      <c r="J47" s="1727"/>
      <c r="K47" s="2429">
        <f>F47+H47+J47</f>
        <v>0</v>
      </c>
      <c r="L47" s="2918"/>
      <c r="P47" s="3589" t="str">
        <f>A47</f>
        <v>比较价值（元/平方米）</v>
      </c>
      <c r="Q47" s="3589"/>
      <c r="R47" s="3674" t="e">
        <f>ROUND(PRODUCT(R46,AA7:AA45),0)</f>
        <v>#DIV/0!</v>
      </c>
      <c r="S47" s="3674"/>
      <c r="T47" s="3674" t="e">
        <f>ROUND(PRODUCT(T46,AB7:AB45),0)</f>
        <v>#DIV/0!</v>
      </c>
      <c r="U47" s="3674"/>
      <c r="V47" s="3674" t="e">
        <f>ROUND(PRODUCT(V46,AC7:AC45),0)</f>
        <v>#DIV/0!</v>
      </c>
      <c r="W47" s="3674"/>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18"/>
      <c r="P48" s="3586" t="str">
        <f>A48</f>
        <v>估价对象XX用房的比较价值（楼面单价，元/平方米）</v>
      </c>
      <c r="Q48" s="3587"/>
      <c r="R48" s="3675" t="e">
        <f>ROUND(IF(D47="简单平均",AVERAGE(R47:W47),R47*F47+T47*H47+V47*J47),0)</f>
        <v>#DIV/0!</v>
      </c>
      <c r="S48" s="3675"/>
      <c r="T48" s="3675"/>
      <c r="U48" s="3675"/>
      <c r="V48" s="3675"/>
      <c r="W48" s="3675"/>
      <c r="X48" s="1720"/>
      <c r="Y48" s="1720"/>
      <c r="Z48" s="1720"/>
      <c r="AA48" s="1720"/>
      <c r="AB48" s="1720"/>
      <c r="AC48" s="1720"/>
    </row>
    <row r="49" spans="1:14">
      <c r="G49" s="2922"/>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5"/>
      <c r="L53" s="2919"/>
    </row>
    <row r="54" spans="1:14" s="1742" customFormat="1" ht="15" thickBot="1">
      <c r="B54" s="2923"/>
      <c r="C54" s="2924"/>
      <c r="K54" s="2925"/>
      <c r="L54" s="2919"/>
    </row>
    <row r="55" spans="1:14" ht="27">
      <c r="A55" s="564" t="s">
        <v>2217</v>
      </c>
      <c r="B55" s="1948" t="s">
        <v>2218</v>
      </c>
      <c r="C55" s="1949" t="s">
        <v>2219</v>
      </c>
      <c r="D55" s="1950" t="s">
        <v>2220</v>
      </c>
      <c r="E55" s="1951" t="s">
        <v>2221</v>
      </c>
      <c r="F55" s="1952" t="s">
        <v>2222</v>
      </c>
      <c r="G55" s="1847" t="s">
        <v>2223</v>
      </c>
      <c r="H55" s="1847">
        <f>项目基本情况!G8</f>
        <v>606</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5"/>
      <c r="L56" s="2919"/>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5"/>
      <c r="L58" s="2919"/>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5"/>
      <c r="L61" s="2919"/>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5"/>
      <c r="L63" s="2919"/>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3"/>
      <c r="J65" s="2963"/>
      <c r="K65" s="2963"/>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0"/>
      <c r="O72" s="2930"/>
      <c r="P72" s="1985"/>
      <c r="Q72" s="1750"/>
    </row>
    <row r="73" spans="1:17" s="1613" customFormat="1" ht="15.75" thickBot="1">
      <c r="A73" s="1768"/>
      <c r="B73" s="1758"/>
      <c r="C73" s="1759">
        <v>100</v>
      </c>
      <c r="D73" s="1760"/>
      <c r="E73" s="1760"/>
      <c r="F73" s="1760"/>
      <c r="G73" s="1760"/>
      <c r="H73" s="1760"/>
      <c r="I73" s="1760"/>
      <c r="J73" s="1760"/>
      <c r="K73" s="1760"/>
      <c r="L73" s="1760"/>
      <c r="M73" s="1774"/>
      <c r="N73" s="2930"/>
      <c r="O73" s="2930"/>
      <c r="P73" s="1750"/>
      <c r="Q73" s="1750"/>
    </row>
    <row r="74" spans="1:17">
      <c r="A74" s="1775" t="s">
        <v>2060</v>
      </c>
      <c r="B74" s="1776" t="s">
        <v>2025</v>
      </c>
      <c r="C74" s="1778"/>
      <c r="D74" s="1778"/>
      <c r="E74" s="1778"/>
      <c r="F74" s="1778"/>
      <c r="G74" s="1778"/>
      <c r="H74" s="1778"/>
      <c r="I74" s="1778"/>
      <c r="J74" s="1778"/>
      <c r="K74" s="417"/>
      <c r="L74" s="417"/>
      <c r="M74" s="1779"/>
      <c r="N74" s="2931"/>
      <c r="O74" s="2931"/>
      <c r="P74" s="1986"/>
      <c r="Q74" s="1750"/>
    </row>
    <row r="75" spans="1:17" ht="15.75" thickBot="1">
      <c r="A75" s="1782"/>
      <c r="B75" s="1783"/>
      <c r="C75" s="1784"/>
      <c r="D75" s="1784"/>
      <c r="E75" s="1784"/>
      <c r="F75" s="1784"/>
      <c r="G75" s="1784"/>
      <c r="H75" s="1784"/>
      <c r="I75" s="1784"/>
      <c r="J75" s="1784"/>
      <c r="K75" s="1784"/>
      <c r="L75" s="1784"/>
      <c r="M75" s="1785"/>
      <c r="N75" s="2932"/>
      <c r="O75" s="2932"/>
      <c r="P75" s="1986"/>
      <c r="Q75" s="1750"/>
    </row>
    <row r="76" spans="1:17" ht="27.75" thickTop="1">
      <c r="A76" s="1782"/>
      <c r="B76" s="1787" t="s">
        <v>2028</v>
      </c>
      <c r="C76" s="1788"/>
      <c r="D76" s="1788"/>
      <c r="E76" s="1788"/>
      <c r="F76" s="1788"/>
      <c r="G76" s="1788"/>
      <c r="H76" s="1788"/>
      <c r="I76" s="1788"/>
      <c r="J76" s="1788"/>
      <c r="K76" s="428"/>
      <c r="L76" s="428"/>
      <c r="M76" s="1789"/>
      <c r="N76" s="2931"/>
      <c r="O76" s="2931"/>
      <c r="P76" s="1986"/>
      <c r="Q76" s="1750"/>
    </row>
    <row r="77" spans="1:17" ht="15.75" thickBot="1">
      <c r="A77" s="1782"/>
      <c r="B77" s="1790"/>
      <c r="C77" s="1791"/>
      <c r="D77" s="1791"/>
      <c r="E77" s="1791"/>
      <c r="F77" s="1791"/>
      <c r="G77" s="1791"/>
      <c r="H77" s="1791"/>
      <c r="I77" s="1791"/>
      <c r="J77" s="1791"/>
      <c r="K77" s="1791"/>
      <c r="L77" s="1791"/>
      <c r="M77" s="1792"/>
      <c r="N77" s="2932"/>
      <c r="O77" s="2932"/>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2"/>
      <c r="O78" s="2932"/>
      <c r="P78" s="1986"/>
      <c r="Q78" s="1750"/>
    </row>
    <row r="79" spans="1:17" ht="15">
      <c r="A79" s="1782"/>
      <c r="B79" s="1795"/>
      <c r="C79" s="1796"/>
      <c r="D79" s="1796"/>
      <c r="E79" s="1796"/>
      <c r="F79" s="1796"/>
      <c r="G79" s="1796"/>
      <c r="H79" s="1796"/>
      <c r="I79" s="1796"/>
      <c r="J79" s="1796"/>
      <c r="K79" s="438"/>
      <c r="L79" s="438"/>
      <c r="M79" s="1797"/>
      <c r="N79" s="2931"/>
      <c r="O79" s="2931"/>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2"/>
      <c r="O80" s="2932"/>
      <c r="P80" s="1986"/>
      <c r="Q80" s="1750"/>
    </row>
    <row r="81" spans="1:17" s="1700" customFormat="1" ht="15.75" thickTop="1">
      <c r="A81" s="1798"/>
      <c r="B81" s="1787" t="str">
        <f>B12</f>
        <v>配建</v>
      </c>
      <c r="C81" s="468"/>
      <c r="D81" s="468"/>
      <c r="E81" s="468"/>
      <c r="F81" s="468"/>
      <c r="G81" s="468"/>
      <c r="H81" s="443"/>
      <c r="I81" s="443"/>
      <c r="J81" s="443"/>
      <c r="K81" s="443"/>
      <c r="L81" s="443"/>
      <c r="M81" s="1799"/>
      <c r="N81" s="2933"/>
      <c r="O81" s="2933"/>
      <c r="P81" s="1987"/>
      <c r="Q81" s="1802"/>
    </row>
    <row r="82" spans="1:17" s="1700" customFormat="1" ht="15.75" thickBot="1">
      <c r="A82" s="1798"/>
      <c r="B82" s="1790"/>
      <c r="C82" s="1803"/>
      <c r="D82" s="1784"/>
      <c r="E82" s="1784"/>
      <c r="F82" s="1784"/>
      <c r="G82" s="1784"/>
      <c r="H82" s="1784"/>
      <c r="I82" s="1784"/>
      <c r="J82" s="1784"/>
      <c r="K82" s="1784"/>
      <c r="L82" s="1784"/>
      <c r="M82" s="1785"/>
      <c r="N82" s="2932"/>
      <c r="O82" s="2932"/>
      <c r="P82" s="1987"/>
      <c r="Q82" s="1802"/>
    </row>
    <row r="83" spans="1:17" s="1700" customFormat="1" ht="15.75" thickTop="1">
      <c r="A83" s="1798"/>
      <c r="B83" s="1787">
        <f>B13</f>
        <v>111</v>
      </c>
      <c r="C83" s="468"/>
      <c r="D83" s="468"/>
      <c r="E83" s="468"/>
      <c r="F83" s="468"/>
      <c r="G83" s="468"/>
      <c r="H83" s="443"/>
      <c r="I83" s="443"/>
      <c r="J83" s="443"/>
      <c r="K83" s="443"/>
      <c r="L83" s="443"/>
      <c r="M83" s="1799"/>
      <c r="N83" s="2933"/>
      <c r="O83" s="2933"/>
      <c r="P83" s="1988"/>
      <c r="Q83" s="1805"/>
    </row>
    <row r="84" spans="1:17" s="1700" customFormat="1" ht="15.75" thickBot="1">
      <c r="A84" s="1798"/>
      <c r="B84" s="1790"/>
      <c r="C84" s="1803"/>
      <c r="D84" s="1803"/>
      <c r="E84" s="1803"/>
      <c r="F84" s="1803"/>
      <c r="G84" s="1803"/>
      <c r="H84" s="1806"/>
      <c r="I84" s="1806"/>
      <c r="J84" s="1806"/>
      <c r="K84" s="1806"/>
      <c r="L84" s="1806"/>
      <c r="M84" s="1807"/>
      <c r="N84" s="2933"/>
      <c r="O84" s="2933"/>
      <c r="P84" s="1987"/>
      <c r="Q84" s="1802"/>
    </row>
    <row r="85" spans="1:17" s="1700" customFormat="1" ht="15.75" thickTop="1">
      <c r="A85" s="1798"/>
      <c r="B85" s="1793">
        <f>B14</f>
        <v>111</v>
      </c>
      <c r="C85" s="409"/>
      <c r="D85" s="409"/>
      <c r="E85" s="409"/>
      <c r="F85" s="409"/>
      <c r="G85" s="409"/>
      <c r="H85" s="453"/>
      <c r="I85" s="453"/>
      <c r="J85" s="453"/>
      <c r="K85" s="453"/>
      <c r="L85" s="453"/>
      <c r="M85" s="1808"/>
      <c r="N85" s="2933"/>
      <c r="O85" s="2933"/>
      <c r="P85" s="1987"/>
      <c r="Q85" s="1802"/>
    </row>
    <row r="86" spans="1:17" s="1700" customFormat="1" ht="15.75" thickBot="1">
      <c r="A86" s="1809"/>
      <c r="B86" s="1810"/>
      <c r="C86" s="1811"/>
      <c r="D86" s="1811"/>
      <c r="E86" s="1811"/>
      <c r="F86" s="1811"/>
      <c r="G86" s="1811"/>
      <c r="H86" s="1812"/>
      <c r="I86" s="1812"/>
      <c r="J86" s="1812"/>
      <c r="K86" s="1812"/>
      <c r="L86" s="1812"/>
      <c r="M86" s="1813"/>
      <c r="N86" s="2933"/>
      <c r="O86" s="2933"/>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1"/>
      <c r="O87" s="2931"/>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2"/>
      <c r="O88" s="2932"/>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1"/>
      <c r="O89" s="2931"/>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2"/>
      <c r="O90" s="2932"/>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1"/>
      <c r="O91" s="2931"/>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2"/>
      <c r="O92" s="2932"/>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1"/>
      <c r="O93" s="2931"/>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2"/>
      <c r="O94" s="2932"/>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0"/>
      <c r="O95" s="2930"/>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2"/>
      <c r="O96" s="2932"/>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0"/>
      <c r="O97" s="2930"/>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2"/>
      <c r="O98" s="2932"/>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2"/>
      <c r="O99" s="2932"/>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2"/>
      <c r="O100" s="2932"/>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3"/>
      <c r="O101" s="2933"/>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3"/>
      <c r="O102" s="2933"/>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1"/>
      <c r="O103" s="2931"/>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2"/>
      <c r="O104" s="2932"/>
      <c r="P104" s="1986"/>
      <c r="Q104" s="1750"/>
    </row>
    <row r="105" spans="1:17" ht="27.75" thickTop="1">
      <c r="A105" s="1782"/>
      <c r="B105" s="1787" t="s">
        <v>2149</v>
      </c>
      <c r="C105" s="468"/>
      <c r="D105" s="468"/>
      <c r="E105" s="468"/>
      <c r="F105" s="468"/>
      <c r="G105" s="468"/>
      <c r="H105" s="1506"/>
      <c r="I105" s="1506"/>
      <c r="J105" s="1506"/>
      <c r="K105" s="473"/>
      <c r="L105" s="473"/>
      <c r="M105" s="1822"/>
      <c r="N105" s="2931"/>
      <c r="O105" s="2931"/>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2"/>
      <c r="O106" s="2932"/>
      <c r="P106" s="1986"/>
      <c r="Q106" s="1750"/>
    </row>
    <row r="107" spans="1:17" ht="15.75" thickTop="1">
      <c r="A107" s="1782"/>
      <c r="B107" s="1787" t="s">
        <v>2210</v>
      </c>
      <c r="C107" s="1506"/>
      <c r="D107" s="1506"/>
      <c r="E107" s="1506"/>
      <c r="F107" s="1506"/>
      <c r="G107" s="1506"/>
      <c r="H107" s="1506"/>
      <c r="I107" s="1506"/>
      <c r="J107" s="1506"/>
      <c r="K107" s="473"/>
      <c r="L107" s="473"/>
      <c r="M107" s="1822"/>
      <c r="N107" s="2931"/>
      <c r="O107" s="2931"/>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2"/>
      <c r="O108" s="2932"/>
      <c r="P108" s="1986"/>
      <c r="Q108" s="1750"/>
    </row>
    <row r="109" spans="1:17" ht="15.75" thickTop="1">
      <c r="A109" s="1782"/>
      <c r="B109" s="1793">
        <f>B35</f>
        <v>111</v>
      </c>
      <c r="C109" s="468"/>
      <c r="D109" s="468"/>
      <c r="E109" s="468"/>
      <c r="F109" s="468"/>
      <c r="G109" s="1823"/>
      <c r="H109" s="1823"/>
      <c r="I109" s="1823"/>
      <c r="J109" s="1823"/>
      <c r="K109" s="477"/>
      <c r="L109" s="477"/>
      <c r="M109" s="1824"/>
      <c r="N109" s="2931"/>
      <c r="O109" s="2931"/>
      <c r="P109" s="1986"/>
      <c r="Q109" s="1750"/>
    </row>
    <row r="110" spans="1:17" ht="15.75" thickBot="1">
      <c r="A110" s="1782"/>
      <c r="B110" s="1810"/>
      <c r="C110" s="1803"/>
      <c r="D110" s="1803"/>
      <c r="E110" s="1803"/>
      <c r="F110" s="1803"/>
      <c r="G110" s="1826"/>
      <c r="H110" s="1826"/>
      <c r="I110" s="1826"/>
      <c r="J110" s="1826"/>
      <c r="K110" s="1826"/>
      <c r="L110" s="1826"/>
      <c r="M110" s="1827"/>
      <c r="N110" s="2932"/>
      <c r="O110" s="2932"/>
      <c r="P110" s="1986"/>
      <c r="Q110" s="1750"/>
    </row>
    <row r="111" spans="1:17" ht="15" thickTop="1">
      <c r="A111" s="1923"/>
      <c r="B111" s="1787">
        <f>B36</f>
        <v>111</v>
      </c>
      <c r="C111" s="409"/>
      <c r="D111" s="409"/>
      <c r="E111" s="409"/>
      <c r="F111" s="409"/>
      <c r="G111" s="1506"/>
      <c r="H111" s="1506"/>
      <c r="I111" s="1506"/>
      <c r="J111" s="1506"/>
      <c r="K111" s="473"/>
      <c r="L111" s="473"/>
      <c r="M111" s="1822"/>
      <c r="N111" s="2931"/>
      <c r="O111" s="2931"/>
      <c r="P111" s="1986"/>
      <c r="Q111" s="1750"/>
    </row>
    <row r="112" spans="1:17" ht="15.75" thickBot="1">
      <c r="A112" s="1782"/>
      <c r="B112" s="1790"/>
      <c r="C112" s="1811"/>
      <c r="D112" s="1811"/>
      <c r="E112" s="1811"/>
      <c r="F112" s="1811"/>
      <c r="G112" s="1784"/>
      <c r="H112" s="1784"/>
      <c r="I112" s="1784"/>
      <c r="J112" s="1784"/>
      <c r="K112" s="1784"/>
      <c r="L112" s="1784"/>
      <c r="M112" s="1785"/>
      <c r="N112" s="2932"/>
      <c r="O112" s="2932"/>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3"/>
      <c r="O113" s="2933"/>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2"/>
      <c r="O114" s="2932"/>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1"/>
      <c r="O115" s="2931"/>
      <c r="P115" s="1986"/>
      <c r="Q115" s="1750"/>
    </row>
    <row r="116" spans="1:17" ht="15">
      <c r="A116" s="1782"/>
      <c r="B116" s="1793"/>
      <c r="C116" s="1830"/>
      <c r="D116" s="1830"/>
      <c r="E116" s="1830"/>
      <c r="F116" s="1830"/>
      <c r="G116" s="1830"/>
      <c r="H116" s="1830"/>
      <c r="I116" s="1830"/>
      <c r="J116" s="485"/>
      <c r="K116" s="485"/>
      <c r="L116" s="485"/>
      <c r="M116" s="1831"/>
      <c r="N116" s="2931"/>
      <c r="O116" s="2931"/>
      <c r="P116" s="1986"/>
      <c r="Q116" s="1750"/>
    </row>
    <row r="117" spans="1:17" ht="15.75" thickBot="1">
      <c r="A117" s="1782"/>
      <c r="B117" s="1790"/>
      <c r="C117" s="1811"/>
      <c r="D117" s="1826"/>
      <c r="E117" s="1826"/>
      <c r="F117" s="1826"/>
      <c r="G117" s="1826"/>
      <c r="H117" s="1826"/>
      <c r="I117" s="1826"/>
      <c r="J117" s="1826"/>
      <c r="K117" s="1826"/>
      <c r="L117" s="1826"/>
      <c r="M117" s="1827"/>
      <c r="N117" s="2932"/>
      <c r="O117" s="2932"/>
      <c r="P117" s="1986"/>
      <c r="Q117" s="1750"/>
    </row>
    <row r="118" spans="1:17" ht="15" thickTop="1">
      <c r="A118" s="1832"/>
      <c r="B118" s="1787" t="s">
        <v>2245</v>
      </c>
      <c r="C118" s="1506"/>
      <c r="D118" s="1506"/>
      <c r="E118" s="1506"/>
      <c r="F118" s="1506"/>
      <c r="G118" s="1506"/>
      <c r="H118" s="1506"/>
      <c r="I118" s="1506"/>
      <c r="J118" s="1506"/>
      <c r="K118" s="473"/>
      <c r="L118" s="473"/>
      <c r="M118" s="1822"/>
      <c r="N118" s="2931"/>
      <c r="O118" s="2931"/>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2"/>
      <c r="O119" s="2932"/>
      <c r="P119" s="1986"/>
      <c r="Q119" s="1750"/>
    </row>
    <row r="120" spans="1:17" ht="15" thickTop="1">
      <c r="A120" s="1832"/>
      <c r="B120" s="1787" t="s">
        <v>2246</v>
      </c>
      <c r="C120" s="468"/>
      <c r="D120" s="468"/>
      <c r="E120" s="468"/>
      <c r="F120" s="1506"/>
      <c r="G120" s="1506"/>
      <c r="H120" s="1506"/>
      <c r="I120" s="1506"/>
      <c r="J120" s="1506"/>
      <c r="K120" s="473"/>
      <c r="L120" s="473"/>
      <c r="M120" s="1822"/>
      <c r="N120" s="2931"/>
      <c r="O120" s="2931"/>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2"/>
      <c r="O121" s="2932"/>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3"/>
      <c r="O122" s="2933"/>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3"/>
      <c r="O123" s="2933"/>
      <c r="P123" s="1987"/>
      <c r="Q123" s="1802"/>
    </row>
    <row r="124" spans="1:17" ht="15" thickTop="1">
      <c r="A124" s="1832"/>
      <c r="B124" s="1787" t="s">
        <v>2248</v>
      </c>
      <c r="C124" s="468"/>
      <c r="D124" s="468"/>
      <c r="E124" s="1506"/>
      <c r="F124" s="1506"/>
      <c r="G124" s="1506"/>
      <c r="H124" s="1506"/>
      <c r="I124" s="1506"/>
      <c r="J124" s="1506"/>
      <c r="K124" s="473"/>
      <c r="L124" s="473"/>
      <c r="M124" s="1822"/>
      <c r="N124" s="2931"/>
      <c r="O124" s="2931"/>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2"/>
      <c r="O125" s="2932"/>
      <c r="P125" s="1986"/>
      <c r="Q125" s="1750"/>
    </row>
    <row r="126" spans="1:17" ht="15" thickTop="1">
      <c r="A126" s="1832"/>
      <c r="B126" s="1787">
        <f>B43</f>
        <v>111</v>
      </c>
      <c r="C126" s="468"/>
      <c r="D126" s="468"/>
      <c r="E126" s="468"/>
      <c r="F126" s="468"/>
      <c r="G126" s="468"/>
      <c r="H126" s="1506"/>
      <c r="I126" s="1506"/>
      <c r="J126" s="1506"/>
      <c r="K126" s="473"/>
      <c r="L126" s="473"/>
      <c r="M126" s="1822"/>
      <c r="N126" s="2931"/>
      <c r="O126" s="2931"/>
      <c r="P126" s="1986"/>
      <c r="Q126" s="1750"/>
    </row>
    <row r="127" spans="1:17" ht="15.75" thickBot="1">
      <c r="A127" s="1782"/>
      <c r="B127" s="1790"/>
      <c r="C127" s="1803"/>
      <c r="D127" s="1803"/>
      <c r="E127" s="1803"/>
      <c r="F127" s="1803"/>
      <c r="G127" s="1784"/>
      <c r="H127" s="1784"/>
      <c r="I127" s="1784"/>
      <c r="J127" s="1784"/>
      <c r="K127" s="1784"/>
      <c r="L127" s="1784"/>
      <c r="M127" s="1785"/>
      <c r="N127" s="2932"/>
      <c r="O127" s="2932"/>
      <c r="P127" s="1986"/>
      <c r="Q127" s="1750"/>
    </row>
    <row r="128" spans="1:17" ht="15" thickTop="1">
      <c r="A128" s="1832"/>
      <c r="B128" s="1787">
        <f>B44</f>
        <v>111</v>
      </c>
      <c r="C128" s="409"/>
      <c r="D128" s="409"/>
      <c r="E128" s="409"/>
      <c r="F128" s="409"/>
      <c r="G128" s="1506"/>
      <c r="H128" s="1506"/>
      <c r="I128" s="1506"/>
      <c r="J128" s="1506"/>
      <c r="K128" s="473"/>
      <c r="L128" s="473"/>
      <c r="M128" s="1822"/>
      <c r="N128" s="2931"/>
      <c r="O128" s="2931"/>
      <c r="P128" s="1986"/>
      <c r="Q128" s="1750"/>
    </row>
    <row r="129" spans="1:17" ht="15.75" thickBot="1">
      <c r="A129" s="1782"/>
      <c r="B129" s="1790"/>
      <c r="C129" s="1811"/>
      <c r="D129" s="1811"/>
      <c r="E129" s="1811"/>
      <c r="F129" s="1811"/>
      <c r="G129" s="1784"/>
      <c r="H129" s="1784"/>
      <c r="I129" s="1784"/>
      <c r="J129" s="1784"/>
      <c r="K129" s="1784"/>
      <c r="L129" s="1784"/>
      <c r="M129" s="1785"/>
      <c r="N129" s="2932"/>
      <c r="O129" s="2932"/>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3"/>
      <c r="O130" s="2933"/>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3"/>
      <c r="O131" s="2933"/>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0"/>
      <c r="M4" s="2941"/>
      <c r="N4" s="2941"/>
      <c r="O4" s="2941"/>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0"/>
      <c r="M5" s="2941"/>
      <c r="N5" s="2941"/>
      <c r="O5" s="2941"/>
      <c r="P5" s="3661"/>
      <c r="Q5" s="3662"/>
      <c r="R5" s="3644"/>
      <c r="S5" s="3645"/>
      <c r="T5" s="3644"/>
      <c r="U5" s="3645"/>
      <c r="V5" s="3665"/>
      <c r="W5" s="3665"/>
      <c r="X5" s="1263"/>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0"/>
      <c r="M6" s="2941"/>
      <c r="N6" s="2941"/>
      <c r="O6" s="2941"/>
      <c r="P6" s="3663"/>
      <c r="Q6" s="3664"/>
      <c r="R6" s="3644"/>
      <c r="S6" s="3645"/>
      <c r="T6" s="3646"/>
      <c r="U6" s="3647"/>
      <c r="V6" s="3665"/>
      <c r="W6" s="3665"/>
      <c r="X6" s="1263"/>
      <c r="Y6" s="3646"/>
      <c r="Z6" s="3647"/>
      <c r="AA6" s="3654"/>
      <c r="AB6" s="3654"/>
      <c r="AC6" s="3654"/>
    </row>
    <row r="7" spans="1:29" s="25" customFormat="1" ht="15.75" thickBot="1">
      <c r="A7" s="301" t="s">
        <v>2019</v>
      </c>
      <c r="B7" s="302"/>
      <c r="C7" s="303">
        <f>'数据-取费表'!B2</f>
        <v>44697</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142</v>
      </c>
      <c r="G10" s="322"/>
      <c r="H10" s="29">
        <f>ROUND(100/'数据-取费表'!B14,0)</f>
        <v>142</v>
      </c>
      <c r="I10" s="322"/>
      <c r="J10" s="29">
        <f>ROUND(100/'数据-取费表'!B14,0)</f>
        <v>142</v>
      </c>
      <c r="K10" s="553"/>
      <c r="L10" s="2945"/>
      <c r="M10" s="2946"/>
      <c r="N10" s="2946"/>
      <c r="O10" s="2947"/>
      <c r="P10" s="3632"/>
      <c r="Q10" s="1255" t="str">
        <f t="shared" si="6"/>
        <v>土地使用年限（年）</v>
      </c>
      <c r="R10" s="627" t="s">
        <v>25</v>
      </c>
      <c r="S10" s="628">
        <f t="shared" si="0"/>
        <v>142</v>
      </c>
      <c r="T10" s="627" t="s">
        <v>25</v>
      </c>
      <c r="U10" s="628">
        <f t="shared" si="1"/>
        <v>142</v>
      </c>
      <c r="V10" s="627" t="s">
        <v>25</v>
      </c>
      <c r="W10" s="628">
        <f t="shared" si="2"/>
        <v>142</v>
      </c>
      <c r="X10" s="629"/>
      <c r="Y10" s="3651"/>
      <c r="Z10" s="19" t="str">
        <f t="shared" si="7"/>
        <v>土地使用年限（年）</v>
      </c>
      <c r="AA10" s="630">
        <f t="shared" si="3"/>
        <v>0.70422535211267601</v>
      </c>
      <c r="AB10" s="630">
        <f t="shared" si="4"/>
        <v>0.70422535211267601</v>
      </c>
      <c r="AC10" s="630">
        <f t="shared" si="5"/>
        <v>0.70422535211267601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0"/>
      <c r="Q16" s="1262"/>
      <c r="R16" s="631"/>
      <c r="S16" s="632"/>
      <c r="T16" s="631"/>
      <c r="U16" s="632"/>
      <c r="V16" s="631"/>
      <c r="W16" s="632"/>
      <c r="X16" s="1263"/>
      <c r="Y16" s="365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0"/>
      <c r="Q18" s="1262"/>
      <c r="R18" s="631"/>
      <c r="S18" s="632"/>
      <c r="T18" s="631"/>
      <c r="U18" s="632"/>
      <c r="V18" s="631"/>
      <c r="W18" s="632"/>
      <c r="X18" s="1263"/>
      <c r="Y18" s="365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0"/>
      <c r="Q19" s="1262" t="str">
        <f t="shared" ref="Q19:Q33" si="8">B19</f>
        <v>区域土地利用方向</v>
      </c>
      <c r="R19" s="631" t="s">
        <v>25</v>
      </c>
      <c r="S19" s="632">
        <f>F19</f>
        <v>100</v>
      </c>
      <c r="T19" s="631" t="s">
        <v>25</v>
      </c>
      <c r="U19" s="632">
        <f>H19</f>
        <v>100</v>
      </c>
      <c r="V19" s="631" t="s">
        <v>25</v>
      </c>
      <c r="W19" s="632">
        <f>J19</f>
        <v>100</v>
      </c>
      <c r="X19" s="1263"/>
      <c r="Y19" s="365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0"/>
      <c r="Q20" s="1262"/>
      <c r="R20" s="631"/>
      <c r="S20" s="632"/>
      <c r="T20" s="631"/>
      <c r="U20" s="632"/>
      <c r="V20" s="631"/>
      <c r="W20" s="632"/>
      <c r="X20" s="1263"/>
      <c r="Y20" s="365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0"/>
      <c r="Q21" s="1262" t="str">
        <f t="shared" si="8"/>
        <v>环境状况</v>
      </c>
      <c r="R21" s="631" t="s">
        <v>25</v>
      </c>
      <c r="S21" s="632">
        <f>F21</f>
        <v>100</v>
      </c>
      <c r="T21" s="631" t="s">
        <v>25</v>
      </c>
      <c r="U21" s="632">
        <f>H21</f>
        <v>100</v>
      </c>
      <c r="V21" s="631" t="s">
        <v>25</v>
      </c>
      <c r="W21" s="632">
        <f>J21</f>
        <v>100</v>
      </c>
      <c r="X21" s="1263"/>
      <c r="Y21" s="365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0"/>
      <c r="Q22" s="1262"/>
      <c r="R22" s="631"/>
      <c r="S22" s="632"/>
      <c r="T22" s="631"/>
      <c r="U22" s="632"/>
      <c r="V22" s="631"/>
      <c r="W22" s="632"/>
      <c r="X22" s="1263"/>
      <c r="Y22" s="365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0"/>
      <c r="Q23" s="1255" t="str">
        <f t="shared" si="8"/>
        <v>公共配套设施</v>
      </c>
      <c r="R23" s="627" t="s">
        <v>25</v>
      </c>
      <c r="S23" s="628">
        <f>F23</f>
        <v>100</v>
      </c>
      <c r="T23" s="627" t="s">
        <v>25</v>
      </c>
      <c r="U23" s="628">
        <f>H23</f>
        <v>100</v>
      </c>
      <c r="V23" s="627" t="s">
        <v>25</v>
      </c>
      <c r="W23" s="628">
        <f>J23</f>
        <v>100</v>
      </c>
      <c r="X23" s="629"/>
      <c r="Y23" s="365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0"/>
      <c r="Q24" s="1255"/>
      <c r="R24" s="627"/>
      <c r="S24" s="628"/>
      <c r="T24" s="627"/>
      <c r="U24" s="628"/>
      <c r="V24" s="627"/>
      <c r="W24" s="628"/>
      <c r="X24" s="629"/>
      <c r="Y24" s="365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0"/>
      <c r="Q25" s="1255"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0"/>
      <c r="Q26" s="1255"/>
      <c r="R26" s="627"/>
      <c r="S26" s="628"/>
      <c r="T26" s="627"/>
      <c r="U26" s="628"/>
      <c r="V26" s="627"/>
      <c r="W26" s="628"/>
      <c r="X26" s="629"/>
      <c r="Y26" s="365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0"/>
      <c r="Q28" s="1262" t="str">
        <f t="shared" si="8"/>
        <v>毗邻道路的类型与等级</v>
      </c>
      <c r="R28" s="631" t="s">
        <v>25</v>
      </c>
      <c r="S28" s="632">
        <f t="shared" si="10"/>
        <v>100</v>
      </c>
      <c r="T28" s="631" t="s">
        <v>25</v>
      </c>
      <c r="U28" s="632">
        <f t="shared" si="11"/>
        <v>100</v>
      </c>
      <c r="V28" s="631" t="s">
        <v>25</v>
      </c>
      <c r="W28" s="632">
        <f t="shared" si="12"/>
        <v>100</v>
      </c>
      <c r="X28" s="1263"/>
      <c r="Y28" s="365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0"/>
      <c r="Q29" s="1262"/>
      <c r="R29" s="631"/>
      <c r="S29" s="632"/>
      <c r="T29" s="631"/>
      <c r="U29" s="632"/>
      <c r="V29" s="631"/>
      <c r="W29" s="632"/>
      <c r="X29" s="1263"/>
      <c r="Y29" s="365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0"/>
      <c r="Q30" s="1262" t="str">
        <f t="shared" si="8"/>
        <v>土地级别</v>
      </c>
      <c r="R30" s="631" t="s">
        <v>25</v>
      </c>
      <c r="S30" s="632">
        <f t="shared" si="10"/>
        <v>100</v>
      </c>
      <c r="T30" s="631" t="s">
        <v>25</v>
      </c>
      <c r="U30" s="632">
        <f t="shared" si="11"/>
        <v>100</v>
      </c>
      <c r="V30" s="631" t="s">
        <v>25</v>
      </c>
      <c r="W30" s="632">
        <f t="shared" si="12"/>
        <v>100</v>
      </c>
      <c r="X30" s="1263"/>
      <c r="Y30" s="365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0"/>
      <c r="Q31" s="1262">
        <f t="shared" si="8"/>
        <v>111</v>
      </c>
      <c r="R31" s="631" t="s">
        <v>25</v>
      </c>
      <c r="S31" s="632">
        <f t="shared" si="10"/>
        <v>100</v>
      </c>
      <c r="T31" s="631" t="s">
        <v>25</v>
      </c>
      <c r="U31" s="632">
        <f t="shared" si="11"/>
        <v>100</v>
      </c>
      <c r="V31" s="631" t="s">
        <v>25</v>
      </c>
      <c r="W31" s="632">
        <f t="shared" si="12"/>
        <v>100</v>
      </c>
      <c r="X31" s="1263"/>
      <c r="Y31" s="365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37" t="s">
        <v>2037</v>
      </c>
      <c r="Q32" s="1262">
        <f t="shared" si="8"/>
        <v>111</v>
      </c>
      <c r="R32" s="631" t="s">
        <v>25</v>
      </c>
      <c r="S32" s="632">
        <f t="shared" si="10"/>
        <v>100</v>
      </c>
      <c r="T32" s="631" t="s">
        <v>25</v>
      </c>
      <c r="U32" s="632">
        <f t="shared" si="11"/>
        <v>100</v>
      </c>
      <c r="V32" s="631" t="s">
        <v>25</v>
      </c>
      <c r="W32" s="632">
        <f t="shared" si="12"/>
        <v>100</v>
      </c>
      <c r="X32" s="1263"/>
      <c r="Y32" s="363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38"/>
      <c r="Q33" s="1262">
        <f t="shared" si="8"/>
        <v>111</v>
      </c>
      <c r="R33" s="634" t="s">
        <v>25</v>
      </c>
      <c r="S33" s="635">
        <f t="shared" si="10"/>
        <v>100</v>
      </c>
      <c r="T33" s="634" t="s">
        <v>25</v>
      </c>
      <c r="U33" s="635">
        <f t="shared" si="11"/>
        <v>100</v>
      </c>
      <c r="V33" s="634" t="s">
        <v>25</v>
      </c>
      <c r="W33" s="635">
        <f t="shared" si="12"/>
        <v>100</v>
      </c>
      <c r="X33" s="636"/>
      <c r="Y33" s="3638"/>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38"/>
      <c r="Q34" s="1262" t="str">
        <f>B34</f>
        <v>宗地面积</v>
      </c>
      <c r="R34" s="631" t="s">
        <v>25</v>
      </c>
      <c r="S34" s="632" t="e">
        <f t="shared" si="10"/>
        <v>#N/A</v>
      </c>
      <c r="T34" s="631" t="s">
        <v>25</v>
      </c>
      <c r="U34" s="632" t="e">
        <f t="shared" si="11"/>
        <v>#N/A</v>
      </c>
      <c r="V34" s="631" t="s">
        <v>25</v>
      </c>
      <c r="W34" s="632" t="e">
        <f t="shared" si="12"/>
        <v>#N/A</v>
      </c>
      <c r="X34" s="1263"/>
      <c r="Y34" s="363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38"/>
      <c r="Q35" s="1262" t="str">
        <f t="shared" ref="Q35:Q40" si="14">B35</f>
        <v>宗地形状</v>
      </c>
      <c r="R35" s="631" t="s">
        <v>25</v>
      </c>
      <c r="S35" s="632">
        <f t="shared" si="10"/>
        <v>100</v>
      </c>
      <c r="T35" s="631" t="s">
        <v>25</v>
      </c>
      <c r="U35" s="632">
        <f t="shared" si="11"/>
        <v>100</v>
      </c>
      <c r="V35" s="631" t="s">
        <v>25</v>
      </c>
      <c r="W35" s="632">
        <f t="shared" si="12"/>
        <v>100</v>
      </c>
      <c r="X35" s="1263"/>
      <c r="Y35" s="363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38"/>
      <c r="Q36" s="1262"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38" t="s">
        <v>2037</v>
      </c>
      <c r="Q37" s="1262" t="str">
        <f t="shared" si="14"/>
        <v>工程地质条件</v>
      </c>
      <c r="R37" s="631" t="s">
        <v>25</v>
      </c>
      <c r="S37" s="632">
        <f t="shared" si="10"/>
        <v>100</v>
      </c>
      <c r="T37" s="631" t="s">
        <v>25</v>
      </c>
      <c r="U37" s="632">
        <f t="shared" si="11"/>
        <v>100</v>
      </c>
      <c r="V37" s="631" t="s">
        <v>25</v>
      </c>
      <c r="W37" s="632">
        <f t="shared" si="12"/>
        <v>100</v>
      </c>
      <c r="X37" s="1263"/>
      <c r="Y37" s="363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38"/>
      <c r="Q38" s="1262">
        <f t="shared" si="14"/>
        <v>111</v>
      </c>
      <c r="R38" s="631" t="s">
        <v>25</v>
      </c>
      <c r="S38" s="632">
        <f t="shared" si="10"/>
        <v>100</v>
      </c>
      <c r="T38" s="631" t="s">
        <v>25</v>
      </c>
      <c r="U38" s="632">
        <f t="shared" si="11"/>
        <v>100</v>
      </c>
      <c r="V38" s="631" t="s">
        <v>25</v>
      </c>
      <c r="W38" s="632">
        <f t="shared" si="12"/>
        <v>100</v>
      </c>
      <c r="X38" s="1263"/>
      <c r="Y38" s="363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38"/>
      <c r="Q39" s="1262">
        <f t="shared" si="14"/>
        <v>111</v>
      </c>
      <c r="R39" s="631" t="s">
        <v>25</v>
      </c>
      <c r="S39" s="632">
        <f t="shared" si="10"/>
        <v>100</v>
      </c>
      <c r="T39" s="631" t="s">
        <v>25</v>
      </c>
      <c r="U39" s="632">
        <f t="shared" si="11"/>
        <v>100</v>
      </c>
      <c r="V39" s="631" t="s">
        <v>25</v>
      </c>
      <c r="W39" s="632">
        <f t="shared" si="12"/>
        <v>100</v>
      </c>
      <c r="X39" s="1263"/>
      <c r="Y39" s="363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38"/>
      <c r="Q40" s="1262">
        <f t="shared" si="14"/>
        <v>111</v>
      </c>
      <c r="R40" s="634" t="s">
        <v>25</v>
      </c>
      <c r="S40" s="635">
        <f t="shared" si="10"/>
        <v>100</v>
      </c>
      <c r="T40" s="634" t="s">
        <v>25</v>
      </c>
      <c r="U40" s="635">
        <f t="shared" si="11"/>
        <v>100</v>
      </c>
      <c r="V40" s="634" t="s">
        <v>25</v>
      </c>
      <c r="W40" s="635">
        <f t="shared" si="12"/>
        <v>100</v>
      </c>
      <c r="X40" s="636"/>
      <c r="Y40" s="363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5" t="s">
        <v>2500</v>
      </c>
      <c r="E42" s="377" t="e">
        <f>R42</f>
        <v>#DIV/0!</v>
      </c>
      <c r="F42" s="1727"/>
      <c r="G42" s="376" t="e">
        <f>T42</f>
        <v>#DIV/0!</v>
      </c>
      <c r="H42" s="1727"/>
      <c r="I42" s="377" t="e">
        <f>V42</f>
        <v>#DIV/0!</v>
      </c>
      <c r="J42" s="1727"/>
      <c r="K42" s="2429">
        <f>F42+H42+J42</f>
        <v>0</v>
      </c>
      <c r="L42" s="2952"/>
      <c r="M42" s="2941"/>
      <c r="N42" s="2941"/>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f>项目基本情况!G8</f>
        <v>606</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估价对象为北京市房地产，为XX所有。根据《》[]，估价对象建筑面积为464.13平方米。根据《》[]，估价对象（分摊）出让国有建设用地使用权面积为平方米。估价对象用途为。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2022年5月16日（评估专业人员实地查勘之日）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464.13</v>
      </c>
      <c r="E1" s="2028"/>
      <c r="F1" s="2028"/>
      <c r="G1" s="2028"/>
      <c r="H1" s="2028"/>
      <c r="I1" s="2028"/>
      <c r="J1" s="2028"/>
      <c r="K1" s="2965"/>
      <c r="L1" s="2029" t="s">
        <v>2258</v>
      </c>
      <c r="M1" s="2030">
        <f>SUMPRODUCT((区片价!B5:B9=I2)*(区片价!C3:F3=E2)*(区片价!C5:F9))</f>
        <v>0</v>
      </c>
      <c r="N1" s="2031">
        <f>SUMPRODUCT((因素修正幅度!B5:B9=I2)*(因素修正幅度!C3:F3=E2)*(因素修正幅度!C5:F9))</f>
        <v>0</v>
      </c>
      <c r="O1" s="2965"/>
      <c r="P1" s="2965"/>
      <c r="Q1" s="2965"/>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2640</v>
      </c>
      <c r="F2" s="1530" t="s">
        <v>2267</v>
      </c>
      <c r="G2" s="2038">
        <f>项目基本情况!F9</f>
        <v>0</v>
      </c>
      <c r="H2" s="1531" t="s">
        <v>2268</v>
      </c>
      <c r="I2" s="2038">
        <f>项目基本情况!F10</f>
        <v>0</v>
      </c>
      <c r="J2" s="2039"/>
      <c r="K2" s="2965"/>
      <c r="L2" s="2040" t="s">
        <v>2269</v>
      </c>
      <c r="M2" s="2041">
        <f>SUMPRODUCT((区片价!B10:B28=I2)*(区片价!C3:F3=E2)*(区片价!C10:F28))</f>
        <v>0</v>
      </c>
      <c r="N2" s="2042">
        <f>SUMPRODUCT((因素修正幅度!B10:B28=I2)*(因素修正幅度!C3:F3=E2)*(因素修正幅度!C10:F28))</f>
        <v>0</v>
      </c>
      <c r="O2" s="2965"/>
      <c r="P2" s="2965"/>
      <c r="Q2" s="2965"/>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2642</v>
      </c>
      <c r="F3" s="1532" t="s">
        <v>2273</v>
      </c>
      <c r="G3" s="2044">
        <f>项目基本情况!C15</f>
        <v>0</v>
      </c>
      <c r="H3" s="50" t="s">
        <v>2274</v>
      </c>
      <c r="I3" s="2045"/>
      <c r="J3" s="2039" t="s">
        <v>2275</v>
      </c>
      <c r="K3" s="2965"/>
      <c r="L3" s="2040" t="s">
        <v>2276</v>
      </c>
      <c r="M3" s="2041">
        <f>SUMPRODUCT((区片价!B29:B48=I2)*(区片价!C3:F3=E2)*(区片价!C29:F48))</f>
        <v>0</v>
      </c>
      <c r="N3" s="2042">
        <f>SUMPRODUCT((因素修正幅度!B29:B48=I2)*(因素修正幅度!C3:F3=E2)*(因素修正幅度!C29:F48))</f>
        <v>0</v>
      </c>
      <c r="O3" s="2965"/>
      <c r="P3" s="2965"/>
      <c r="Q3" s="2965"/>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0"/>
      <c r="B4" s="3681"/>
      <c r="C4" s="3681"/>
      <c r="D4" s="3682"/>
      <c r="E4" s="3682"/>
      <c r="F4" s="3682"/>
      <c r="G4" s="3682"/>
      <c r="H4" s="3682"/>
      <c r="I4" s="3682"/>
      <c r="J4" s="3683"/>
      <c r="K4" s="2965"/>
      <c r="L4" s="2040" t="s">
        <v>2277</v>
      </c>
      <c r="M4" s="2041">
        <f>SUMPRODUCT((区片价!B49:B75=I2)*(区片价!C3:F3=E2)*(区片价!C49:F75))</f>
        <v>0</v>
      </c>
      <c r="N4" s="2042">
        <f>SUMPRODUCT((因素修正幅度!B49:B75=I2)*(因素修正幅度!C3:F3=E2)*(因素修正幅度!C49:F75))</f>
        <v>0</v>
      </c>
      <c r="O4" s="2965"/>
      <c r="P4" s="2965"/>
      <c r="Q4" s="2965"/>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5"/>
      <c r="P5" s="2965"/>
      <c r="Q5" s="2965"/>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6"/>
      <c r="L6" s="2040" t="s">
        <v>2283</v>
      </c>
      <c r="M6" s="2041">
        <f>SUMPRODUCT((区片价!B110:B157=I2)*(区片价!C3:F3=E2)*(区片价!C110:F157))</f>
        <v>0</v>
      </c>
      <c r="N6" s="2042">
        <f>SUMPRODUCT((因素修正幅度!B110:B157=I2)*(因素修正幅度!C3:F3=E2)*(因素修正幅度!C110:F157))</f>
        <v>0</v>
      </c>
      <c r="O6" s="2965"/>
      <c r="P6" s="2965"/>
      <c r="Q6" s="2965"/>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4" t="str">
        <f>IF(E2="商业",IF(C8="不临58条商业街","",2),"")</f>
        <v/>
      </c>
      <c r="B7" s="1535" t="s">
        <v>2284</v>
      </c>
      <c r="C7" s="2059" t="e">
        <f>IF(C8="不临58条商业街",1,ROUND(1+(1.6*E8+1.2*E9+0.8*E10+0.4*E11)*C9,4))</f>
        <v>#DIV/0!</v>
      </c>
      <c r="D7" s="2060" t="s">
        <v>2285</v>
      </c>
      <c r="E7" s="2061"/>
      <c r="F7" s="2062"/>
      <c r="G7" s="2062"/>
      <c r="H7" s="2062"/>
      <c r="I7" s="2062"/>
      <c r="J7" s="2063"/>
      <c r="K7" s="2966"/>
      <c r="L7" s="2040" t="s">
        <v>2286</v>
      </c>
      <c r="M7" s="2041">
        <f>SUMPRODUCT((区片价!B158:B205=I2)*(区片价!C3:F3=E2)*(区片价!C158:F205))</f>
        <v>0</v>
      </c>
      <c r="N7" s="2042">
        <f>SUMPRODUCT((因素修正幅度!B158:B205=I2)*(因素修正幅度!C3:F3=E2)*(因素修正幅度!C158:F205))</f>
        <v>0</v>
      </c>
      <c r="O7" s="2965"/>
      <c r="P7" s="2965"/>
      <c r="Q7" s="2965"/>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5"/>
      <c r="B8" s="50" t="s">
        <v>2289</v>
      </c>
      <c r="C8" s="2067"/>
      <c r="D8" s="65" t="s">
        <v>89</v>
      </c>
      <c r="E8" s="2068" t="e">
        <f>ROUND(C11/E7,4)</f>
        <v>#DIV/0!</v>
      </c>
      <c r="F8" s="2069" t="s">
        <v>2290</v>
      </c>
      <c r="G8" s="2070"/>
      <c r="H8" s="2070"/>
      <c r="I8" s="2070"/>
      <c r="J8" s="2071"/>
      <c r="K8" s="2965"/>
      <c r="L8" s="2040" t="s">
        <v>2291</v>
      </c>
      <c r="M8" s="2041">
        <f>SUMPRODUCT((区片价!B206:B244=I2)*(区片价!C3:F3=E2)*(区片价!C206:F244))</f>
        <v>0</v>
      </c>
      <c r="N8" s="2042">
        <f>SUMPRODUCT((因素修正幅度!B206:B244=I2)*(因素修正幅度!C3:F3=E2)*(因素修正幅度!C206:F244))</f>
        <v>0</v>
      </c>
      <c r="O8" s="2965"/>
      <c r="P8" s="2965"/>
      <c r="Q8" s="2965"/>
      <c r="R8" s="2032">
        <v>7</v>
      </c>
      <c r="S8" s="2043"/>
      <c r="T8" s="2032">
        <f t="shared" si="1"/>
        <v>0</v>
      </c>
      <c r="U8" s="2043"/>
      <c r="V8" s="2032">
        <f t="shared" si="0"/>
        <v>0</v>
      </c>
      <c r="W8" s="3678" t="s">
        <v>2292</v>
      </c>
      <c r="X8" s="367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5"/>
      <c r="B9" s="50" t="s">
        <v>2305</v>
      </c>
      <c r="C9" s="2073">
        <f>SUMIF(修正!C71:C138,C8,修正!E71:E138)</f>
        <v>0</v>
      </c>
      <c r="D9" s="50" t="s">
        <v>90</v>
      </c>
      <c r="E9" s="50" t="e">
        <f>ROUND(C11/E7,4)</f>
        <v>#DIV/0!</v>
      </c>
      <c r="F9" s="2069" t="s">
        <v>2306</v>
      </c>
      <c r="G9" s="2070"/>
      <c r="H9" s="2070"/>
      <c r="I9" s="2070"/>
      <c r="J9" s="2071"/>
      <c r="K9" s="2965"/>
      <c r="L9" s="2040" t="s">
        <v>2307</v>
      </c>
      <c r="M9" s="2041">
        <f>SUMPRODUCT((区片价!B245:B289=I2)*(区片价!C3:F3=E2)*(区片价!C245:F289))</f>
        <v>0</v>
      </c>
      <c r="N9" s="2042">
        <f>SUMPRODUCT((因素修正幅度!B245:B289=I2)*(因素修正幅度!C3:F3=E2)*(因素修正幅度!C245:F289))</f>
        <v>0</v>
      </c>
      <c r="O9" s="2965"/>
      <c r="P9" s="2965"/>
      <c r="Q9" s="2965"/>
      <c r="R9" s="2032">
        <v>8</v>
      </c>
      <c r="S9" s="2043"/>
      <c r="T9" s="2032">
        <f t="shared" si="1"/>
        <v>0</v>
      </c>
      <c r="U9" s="2043"/>
      <c r="V9" s="2032">
        <f t="shared" ref="V9:V16" si="2">ROUND(T9*U9,0)</f>
        <v>0</v>
      </c>
      <c r="W9" s="367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5"/>
      <c r="B10" s="50" t="s">
        <v>2310</v>
      </c>
      <c r="C10" s="50">
        <f>SUMIF(修正!C71:C138,C8,修正!F71:F138)</f>
        <v>0</v>
      </c>
      <c r="D10" s="50" t="s">
        <v>91</v>
      </c>
      <c r="E10" s="50" t="e">
        <f>ROUND(C11/E7,4)</f>
        <v>#DIV/0!</v>
      </c>
      <c r="F10" s="2069" t="s">
        <v>2311</v>
      </c>
      <c r="G10" s="2070"/>
      <c r="H10" s="2070"/>
      <c r="I10" s="2070"/>
      <c r="J10" s="2071"/>
      <c r="K10" s="2965"/>
      <c r="L10" s="2040" t="s">
        <v>2312</v>
      </c>
      <c r="M10" s="2041">
        <f>SUMPRODUCT((区片价!B290:B316=I2)*(区片价!C3:F3=E2)*(区片价!C290:F316))</f>
        <v>0</v>
      </c>
      <c r="N10" s="2042">
        <f>SUMPRODUCT((因素修正幅度!B290:B316=I2)*(因素修正幅度!C3:F3=E2)*(因素修正幅度!C290:F316))</f>
        <v>0</v>
      </c>
      <c r="O10" s="2965"/>
      <c r="P10" s="2965"/>
      <c r="Q10" s="2965"/>
      <c r="R10" s="2032">
        <v>9</v>
      </c>
      <c r="S10" s="2043"/>
      <c r="T10" s="2032">
        <f t="shared" si="1"/>
        <v>0</v>
      </c>
      <c r="U10" s="2043"/>
      <c r="V10" s="2032">
        <f t="shared" si="2"/>
        <v>0</v>
      </c>
      <c r="W10" s="367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5"/>
      <c r="B11" s="1536" t="s">
        <v>2313</v>
      </c>
      <c r="C11" s="1536">
        <f>C10/4</f>
        <v>0</v>
      </c>
      <c r="D11" s="1536" t="s">
        <v>92</v>
      </c>
      <c r="E11" s="1536" t="e">
        <f>ROUND(C11/E7,4)</f>
        <v>#DIV/0!</v>
      </c>
      <c r="F11" s="2078" t="s">
        <v>2314</v>
      </c>
      <c r="G11" s="2079"/>
      <c r="H11" s="2079"/>
      <c r="I11" s="2079"/>
      <c r="J11" s="2080"/>
      <c r="K11" s="2965"/>
      <c r="L11" s="2040" t="s">
        <v>2315</v>
      </c>
      <c r="M11" s="2041">
        <f>SUMPRODUCT((区片价!B317:B337=I2)*(区片价!C3:F3=E2)*(区片价!C317:F337))</f>
        <v>0</v>
      </c>
      <c r="N11" s="2042">
        <f>SUMPRODUCT((因素修正幅度!B317:B337=I2)*(因素修正幅度!C3:F3=E2)*(因素修正幅度!C317:F337))</f>
        <v>0</v>
      </c>
      <c r="O11" s="2965"/>
      <c r="P11" s="2965"/>
      <c r="Q11" s="2965"/>
      <c r="R11" s="2032">
        <v>10</v>
      </c>
      <c r="S11" s="2043"/>
      <c r="T11" s="2032">
        <f t="shared" si="1"/>
        <v>0</v>
      </c>
      <c r="U11" s="2043"/>
      <c r="V11" s="2032">
        <f t="shared" si="2"/>
        <v>0</v>
      </c>
      <c r="W11" s="367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4">
        <f>IF(E2="住宅",2,"")</f>
        <v>2</v>
      </c>
      <c r="B12" s="1537" t="s">
        <v>2318</v>
      </c>
      <c r="C12" s="2059">
        <f>ROUND(C15*D15*E15*F15*G15*H15*I15*J15,4)</f>
        <v>1.32</v>
      </c>
      <c r="D12" s="2083" t="s">
        <v>2319</v>
      </c>
      <c r="E12" s="2084"/>
      <c r="F12" s="2084"/>
      <c r="G12" s="2084"/>
      <c r="H12" s="2084"/>
      <c r="I12" s="2084"/>
      <c r="J12" s="2085"/>
      <c r="K12" s="2965"/>
      <c r="L12" s="2086" t="s">
        <v>2320</v>
      </c>
      <c r="M12" s="2087">
        <f>SUMPRODUCT((区片价!B338:B344=I2)*(区片价!C3:F3=E2)*(区片价!C338:F344))</f>
        <v>0</v>
      </c>
      <c r="N12" s="2088">
        <f>SUMPRODUCT((因素修正幅度!B338:B344=I2)*(因素修正幅度!C3:F3=E2)*(因素修正幅度!C338:F344))</f>
        <v>0</v>
      </c>
      <c r="O12" s="2965"/>
      <c r="P12" s="2965"/>
      <c r="Q12" s="2965"/>
      <c r="R12" s="2032">
        <v>11</v>
      </c>
      <c r="S12" s="2043"/>
      <c r="T12" s="2032">
        <f t="shared" si="1"/>
        <v>0</v>
      </c>
      <c r="U12" s="2043"/>
      <c r="V12" s="2032">
        <f t="shared" si="2"/>
        <v>0</v>
      </c>
      <c r="W12" s="367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6"/>
      <c r="B13" s="1538" t="s">
        <v>2322</v>
      </c>
      <c r="C13" s="2090" t="s">
        <v>2323</v>
      </c>
      <c r="D13" s="1539" t="s">
        <v>2324</v>
      </c>
      <c r="E13" s="1539" t="s">
        <v>2325</v>
      </c>
      <c r="F13" s="264" t="s">
        <v>2326</v>
      </c>
      <c r="G13" s="2091" t="s">
        <v>2327</v>
      </c>
      <c r="H13" s="2091" t="s">
        <v>2327</v>
      </c>
      <c r="I13" s="2091" t="s">
        <v>2327</v>
      </c>
      <c r="J13" s="2092" t="s">
        <v>2327</v>
      </c>
      <c r="K13" s="2965"/>
      <c r="L13" s="2965"/>
      <c r="M13" s="2965"/>
      <c r="N13" s="2965"/>
      <c r="O13" s="2965"/>
      <c r="P13" s="2965"/>
      <c r="Q13" s="2965"/>
      <c r="R13" s="2032">
        <v>12</v>
      </c>
      <c r="S13" s="2043"/>
      <c r="T13" s="2032">
        <f t="shared" si="1"/>
        <v>0</v>
      </c>
      <c r="U13" s="2043"/>
      <c r="V13" s="2032">
        <f t="shared" si="2"/>
        <v>0</v>
      </c>
      <c r="W13" s="367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6"/>
      <c r="B14" s="1539"/>
      <c r="C14" s="2093" t="s">
        <v>2328</v>
      </c>
      <c r="D14" s="2094" t="s">
        <v>2329</v>
      </c>
      <c r="E14" s="2094" t="s">
        <v>2329</v>
      </c>
      <c r="F14" s="2095" t="s">
        <v>2330</v>
      </c>
      <c r="G14" s="2096" t="s">
        <v>2331</v>
      </c>
      <c r="H14" s="2097"/>
      <c r="I14" s="2098"/>
      <c r="J14" s="2099"/>
      <c r="K14" s="2965"/>
      <c r="L14" s="2965"/>
      <c r="M14" s="2965"/>
      <c r="N14" s="2965"/>
      <c r="O14" s="2965"/>
      <c r="P14" s="2965"/>
      <c r="Q14" s="2965"/>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5"/>
      <c r="L15" s="2965"/>
      <c r="M15" s="2965"/>
      <c r="N15" s="2965"/>
      <c r="O15" s="2965"/>
      <c r="P15" s="2965"/>
      <c r="Q15" s="2965"/>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8">
        <f>IF(E2="办公",2,IF(E2="工业",2,IF(E2="住宅",3,IF(E2="商业",IF(C8="不临58条商业街",2,3)))))</f>
        <v>3</v>
      </c>
      <c r="B16" s="1559" t="s">
        <v>2338</v>
      </c>
      <c r="C16" s="1535">
        <f>ROUND(IF(F17="与级别开发程度一致",0,(G17-E17)/C17),0)</f>
        <v>0</v>
      </c>
      <c r="D16" s="3701" t="s">
        <v>2342</v>
      </c>
      <c r="E16" s="3702"/>
      <c r="F16" s="3701" t="s">
        <v>2339</v>
      </c>
      <c r="G16" s="3702"/>
      <c r="H16" s="2103"/>
      <c r="I16" s="2103"/>
      <c r="J16" s="2104"/>
      <c r="K16" s="2103"/>
      <c r="L16" s="2103"/>
      <c r="M16" s="2103"/>
      <c r="N16" s="2103"/>
      <c r="O16" s="2105"/>
      <c r="P16" s="2965"/>
      <c r="Q16" s="2965"/>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9"/>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2643</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44697</v>
      </c>
      <c r="H19" s="2121" t="s">
        <v>2482</v>
      </c>
      <c r="I19" s="2122" t="str">
        <f>IF(H19="季度增幅（自定义）",SUMIF(N21:N24,E2,O21:O24),"")</f>
        <v/>
      </c>
      <c r="J19" s="2123"/>
      <c r="K19" s="2967"/>
      <c r="L19" s="2004" t="s">
        <v>2350</v>
      </c>
      <c r="M19" s="2124">
        <f>ROUND(SUMIF(地价!B2:F2,E2,地价!B41:F41),0)</f>
        <v>423</v>
      </c>
      <c r="N19" s="2125" t="s">
        <v>2351</v>
      </c>
      <c r="O19" s="2126">
        <f>ROUNDDOWN(DATEDIF(E19,G19,"M")/3,0)</f>
        <v>33</v>
      </c>
      <c r="P19" s="2965"/>
      <c r="Q19" s="2967"/>
      <c r="R19" s="2965"/>
      <c r="S19" s="2965"/>
      <c r="T19" s="2965"/>
      <c r="U19" s="2965"/>
      <c r="V19" s="2965"/>
      <c r="W19" s="2965"/>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0.68579999999999997</v>
      </c>
      <c r="D20" s="2130" t="s">
        <v>2354</v>
      </c>
      <c r="E20" s="3069">
        <f>存贷款利率!E20/100</f>
        <v>4.3499999999999997E-2</v>
      </c>
      <c r="F20" s="2130" t="s">
        <v>2343</v>
      </c>
      <c r="G20" s="3070">
        <f>SUMIF(M26:P26,E2,M28:P28)</f>
        <v>0.05</v>
      </c>
      <c r="H20" s="2130" t="s">
        <v>2355</v>
      </c>
      <c r="I20" s="2131">
        <f>'数据-取费表'!B13</f>
        <v>22.31</v>
      </c>
      <c r="J20" s="2132">
        <f>IF(E2="住宅",70,IF(E2="商业",40,50))</f>
        <v>70</v>
      </c>
      <c r="K20" s="2967"/>
      <c r="L20" s="2133" t="s">
        <v>2356</v>
      </c>
      <c r="M20" s="2134">
        <f>ROUND(SUMPRODUCT((地价!A4:A41=YEAR(G19)&amp;"-"&amp;ROUNDUP(MONTH(G19)/3,0))*(地价!B2:F2=E2)*(地价!B4:F41)),0)</f>
        <v>737</v>
      </c>
      <c r="N20" s="2135" t="s">
        <v>2357</v>
      </c>
      <c r="O20" s="2136" t="s">
        <v>2358</v>
      </c>
      <c r="P20" s="2137" t="s">
        <v>2359</v>
      </c>
      <c r="Q20" s="2967"/>
      <c r="R20" s="2965"/>
      <c r="S20" s="2965"/>
      <c r="T20" s="2965"/>
      <c r="U20" s="2965"/>
      <c r="V20" s="2965"/>
      <c r="W20" s="2965"/>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7"/>
      <c r="L21" s="2967"/>
      <c r="M21" s="2967"/>
      <c r="N21" s="2141" t="s">
        <v>2362</v>
      </c>
      <c r="O21" s="2142"/>
      <c r="P21" s="2143">
        <f>SUMPRODUCT((地价!A3:A41=YEAR(G19)&amp;"-"&amp;ROUNDUP(MONTH(G19)/3,0))*(地价!AD2:AH2=N21)*(地价!AD3:AH41))</f>
        <v>0.01</v>
      </c>
      <c r="Q21" s="2967"/>
      <c r="R21" s="2965"/>
      <c r="S21" s="2965"/>
      <c r="T21" s="2965"/>
      <c r="U21" s="2965"/>
      <c r="V21" s="2965"/>
      <c r="W21" s="2965"/>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7"/>
      <c r="L22" s="2967"/>
      <c r="M22" s="2967"/>
      <c r="N22" s="2141" t="s">
        <v>2365</v>
      </c>
      <c r="O22" s="2142"/>
      <c r="P22" s="2143">
        <f>SUMPRODUCT((地价!A3:A41=YEAR(G19)&amp;"-"&amp;ROUNDUP(MONTH(G19)/3,0))*(地价!AD2:AH2=N22)*(地价!AD3:AH41))</f>
        <v>0.01</v>
      </c>
      <c r="Q22" s="2967"/>
      <c r="R22" s="2965"/>
      <c r="S22" s="2965"/>
      <c r="T22" s="2965"/>
      <c r="U22" s="2965"/>
      <c r="V22" s="2965"/>
      <c r="W22" s="2965"/>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5"/>
      <c r="L23" s="2965"/>
      <c r="M23" s="2965"/>
      <c r="N23" s="2141" t="s">
        <v>2367</v>
      </c>
      <c r="O23" s="2142"/>
      <c r="P23" s="2143">
        <f>SUMPRODUCT((地价!A3:A41=YEAR(G19)&amp;"-"&amp;ROUNDUP(MONTH(G19)/3,0))*(地价!AD2:AH2=N23)*(地价!AD3:AH41))</f>
        <v>1.7600000000000001E-2</v>
      </c>
      <c r="Q23" s="2965"/>
      <c r="R23" s="2965"/>
      <c r="S23" s="2965"/>
      <c r="T23" s="2965"/>
      <c r="U23" s="2965"/>
      <c r="V23" s="2965"/>
      <c r="W23" s="2965"/>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7"/>
      <c r="L24" s="2967"/>
      <c r="M24" s="2967"/>
      <c r="N24" s="2153" t="s">
        <v>2370</v>
      </c>
      <c r="O24" s="2154"/>
      <c r="P24" s="2155">
        <f>SUMPRODUCT((地价!A3:A41=YEAR(G19)&amp;"-"&amp;ROUNDUP(MONTH(G19)/3,0))*(地价!AD2:AH2=N24)*(地价!AD3:AH41))</f>
        <v>1.1599999999999999E-2</v>
      </c>
      <c r="Q24" s="2967"/>
      <c r="R24" s="2965"/>
      <c r="S24" s="2965"/>
      <c r="T24" s="2965"/>
      <c r="U24" s="2965"/>
      <c r="V24" s="2965"/>
      <c r="W24" s="2965"/>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5"/>
      <c r="L25" s="2965"/>
      <c r="M25" s="2965"/>
      <c r="N25" s="2968" t="s">
        <v>2373</v>
      </c>
      <c r="O25" s="2969"/>
      <c r="P25" s="2970">
        <f>SUMPRODUCT((地价!A3:A41=YEAR(G19)&amp;"-"&amp;ROUNDUP(MONTH(G19)/3,0))*(地价!AD2:AH2=N25)*(地价!AD3:AH41))</f>
        <v>1.6E-2</v>
      </c>
      <c r="Q25" s="2965"/>
      <c r="R25" s="2965"/>
      <c r="S25" s="2965"/>
      <c r="T25" s="2965"/>
      <c r="U25" s="2965"/>
      <c r="V25" s="2965"/>
      <c r="W25" s="2965"/>
      <c r="X25" s="1551"/>
      <c r="Y25" s="1551"/>
      <c r="Z25" s="1551"/>
      <c r="AA25" s="1551"/>
      <c r="AB25" s="1551"/>
      <c r="AC25" s="1551"/>
      <c r="AD25" s="1551"/>
      <c r="AE25" s="1551"/>
      <c r="AF25" s="1551"/>
    </row>
    <row r="26" spans="1:35" ht="15">
      <c r="A26" s="1631"/>
      <c r="B26" s="2000" t="s">
        <v>2374</v>
      </c>
      <c r="C26" s="2805" t="e">
        <f>IF(B21="容积率修正",E29+SUM(E33:E39),SUM(V2:V16)+SUM(E33:E39))</f>
        <v>#REF!</v>
      </c>
      <c r="D26" s="2158"/>
      <c r="E26" s="2097"/>
      <c r="F26" s="1406"/>
      <c r="G26" s="2097"/>
      <c r="H26" s="2097"/>
      <c r="I26" s="2097"/>
      <c r="J26" s="2159"/>
      <c r="K26" s="2965"/>
      <c r="L26" s="2971" t="s">
        <v>2333</v>
      </c>
      <c r="M26" s="2060" t="s">
        <v>2334</v>
      </c>
      <c r="N26" s="2060" t="s">
        <v>2335</v>
      </c>
      <c r="O26" s="2060"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5"/>
      <c r="L27" s="2164" t="s">
        <v>2340</v>
      </c>
      <c r="M27" s="2073">
        <v>0.25</v>
      </c>
      <c r="N27" s="2073">
        <v>0.2</v>
      </c>
      <c r="O27" s="2073">
        <v>0.15</v>
      </c>
      <c r="P27" s="2165">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5"/>
      <c r="L28" s="2169" t="s">
        <v>2343</v>
      </c>
      <c r="M28" s="2170">
        <f>ROUND($E$20*(1+M27),3)</f>
        <v>5.3999999999999999E-2</v>
      </c>
      <c r="N28" s="2170">
        <f>ROUND($E$20*(1+N27),3)</f>
        <v>5.1999999999999998E-2</v>
      </c>
      <c r="O28" s="2170">
        <f>ROUND($E$20*(1+O27),3)</f>
        <v>0.05</v>
      </c>
      <c r="P28" s="2088">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71"/>
      <c r="B29" s="1548" t="s">
        <v>2380</v>
      </c>
      <c r="C29" s="54">
        <f>ROUND(C5*C18*C19*C20*C21*C24,0)</f>
        <v>0</v>
      </c>
      <c r="D29" s="2172">
        <f>项目基本情况!C12</f>
        <v>464.13</v>
      </c>
      <c r="E29" s="1959">
        <f>ROUND(C29*D29,0)</f>
        <v>0</v>
      </c>
      <c r="F29" s="2173" t="s">
        <v>2381</v>
      </c>
      <c r="G29" s="2174"/>
      <c r="H29" s="2174"/>
      <c r="I29" s="2174"/>
      <c r="J29" s="2175"/>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698"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699"/>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699"/>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0"/>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5"/>
      <c r="L37" s="2187" t="s">
        <v>2394</v>
      </c>
      <c r="M37" s="2063"/>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5"/>
      <c r="L38" s="2188" t="s">
        <v>2396</v>
      </c>
      <c r="M38" s="2189">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5"/>
      <c r="L39" s="2191" t="s">
        <v>2337</v>
      </c>
      <c r="M39" s="2192">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3"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3"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3"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5"/>
      <c r="R45" s="2965"/>
      <c r="S45" s="2965"/>
      <c r="T45" s="2965"/>
      <c r="U45" s="2965"/>
      <c r="V45" s="2965"/>
      <c r="W45" s="2965"/>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5"/>
      <c r="R46" s="2965"/>
      <c r="S46" s="2965"/>
      <c r="T46" s="2965"/>
      <c r="U46" s="2965"/>
      <c r="V46" s="2965"/>
      <c r="W46" s="2965"/>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3"/>
      <c r="R76" s="2973"/>
      <c r="S76" s="2973"/>
      <c r="T76" s="2973"/>
      <c r="U76" s="2973"/>
      <c r="V76" s="2973"/>
      <c r="W76" s="2973"/>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3"/>
      <c r="R77" s="2973"/>
      <c r="S77" s="2973"/>
      <c r="T77" s="2973"/>
      <c r="U77" s="2973"/>
      <c r="V77" s="2973"/>
      <c r="W77" s="2973"/>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3"/>
      <c r="R78" s="2973"/>
      <c r="S78" s="2973"/>
      <c r="T78" s="2973"/>
      <c r="U78" s="2973"/>
      <c r="V78" s="2973"/>
      <c r="W78" s="2973"/>
      <c r="AA78" s="1552"/>
      <c r="AG78" s="2193"/>
    </row>
    <row r="79" spans="1:33" ht="15">
      <c r="A79" s="2199" t="s">
        <v>2434</v>
      </c>
      <c r="B79" s="2228">
        <f>1+E81</f>
        <v>1</v>
      </c>
      <c r="C79" s="2202"/>
      <c r="D79" s="2202"/>
      <c r="E79" s="2203"/>
      <c r="F79" s="2204"/>
      <c r="G79" s="608"/>
      <c r="H79" s="608"/>
      <c r="I79" s="608"/>
      <c r="J79" s="608"/>
      <c r="K79" s="608"/>
      <c r="L79" s="608"/>
      <c r="M79" s="608"/>
      <c r="N79" s="608"/>
      <c r="Q79" s="2973"/>
      <c r="R79" s="2973"/>
      <c r="S79" s="2973"/>
      <c r="T79" s="2973"/>
      <c r="U79" s="2973"/>
      <c r="V79" s="2973"/>
      <c r="W79" s="2973"/>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3"/>
      <c r="R80" s="2973"/>
      <c r="S80" s="2973"/>
      <c r="T80" s="2973"/>
      <c r="U80" s="2973"/>
      <c r="V80" s="2973"/>
      <c r="W80" s="2973"/>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3"/>
      <c r="R81" s="2973"/>
      <c r="S81" s="2973"/>
      <c r="T81" s="2973"/>
      <c r="U81" s="2973"/>
      <c r="V81" s="2973"/>
      <c r="W81" s="2973"/>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3"/>
      <c r="R82" s="2973"/>
      <c r="S82" s="2973"/>
      <c r="T82" s="2973"/>
      <c r="U82" s="2973"/>
      <c r="V82" s="2973"/>
      <c r="W82" s="2973"/>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3"/>
      <c r="R83" s="2973"/>
      <c r="S83" s="2973"/>
      <c r="T83" s="2973"/>
      <c r="U83" s="2973"/>
      <c r="V83" s="2973"/>
      <c r="W83" s="2973"/>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3"/>
      <c r="R84" s="2973"/>
      <c r="S84" s="2973"/>
      <c r="T84" s="2973"/>
      <c r="U84" s="2973"/>
      <c r="V84" s="2973"/>
      <c r="W84" s="2973"/>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3"/>
      <c r="R85" s="2973"/>
      <c r="S85" s="2973"/>
      <c r="T85" s="2973"/>
      <c r="U85" s="2973"/>
      <c r="V85" s="2973"/>
      <c r="W85" s="2973"/>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3"/>
      <c r="R86" s="2973"/>
      <c r="S86" s="2973"/>
      <c r="T86" s="2973"/>
      <c r="U86" s="2973"/>
      <c r="V86" s="2973"/>
      <c r="W86" s="2973"/>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3"/>
      <c r="R87" s="2973"/>
      <c r="S87" s="2973"/>
      <c r="T87" s="2973"/>
      <c r="U87" s="2973"/>
      <c r="V87" s="2973"/>
      <c r="W87" s="2973"/>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3"/>
      <c r="R88" s="2973"/>
      <c r="S88" s="2973"/>
      <c r="T88" s="2973"/>
      <c r="U88" s="2973"/>
      <c r="V88" s="2973"/>
      <c r="W88" s="2973"/>
      <c r="AA88" s="1552"/>
      <c r="AG88" s="2193"/>
    </row>
    <row r="89" spans="1:33">
      <c r="Q89" s="2973"/>
      <c r="R89" s="2973"/>
      <c r="S89" s="2973"/>
      <c r="T89" s="2973"/>
      <c r="U89" s="2973"/>
      <c r="V89" s="2973"/>
      <c r="W89" s="2973"/>
    </row>
    <row r="90" spans="1:33">
      <c r="A90" s="3690" t="s">
        <v>2437</v>
      </c>
      <c r="B90" s="3690"/>
      <c r="C90" s="3690"/>
      <c r="D90" s="3690"/>
      <c r="E90" s="3690"/>
      <c r="F90" s="3690"/>
      <c r="G90" s="3690"/>
      <c r="H90" s="3690"/>
      <c r="I90" s="3690"/>
      <c r="J90" s="3690"/>
      <c r="K90" s="2234"/>
      <c r="L90" s="2234"/>
      <c r="M90" s="2234"/>
      <c r="N90" s="2234"/>
      <c r="Q90" s="2973"/>
      <c r="R90" s="2973"/>
      <c r="S90" s="2973"/>
      <c r="T90" s="2973"/>
      <c r="U90" s="2973"/>
      <c r="V90" s="2973"/>
      <c r="W90" s="2973"/>
    </row>
    <row r="91" spans="1:33">
      <c r="A91" s="3692" t="s">
        <v>2438</v>
      </c>
      <c r="B91" s="3692" t="s">
        <v>2439</v>
      </c>
      <c r="C91" s="2173" t="s">
        <v>2440</v>
      </c>
      <c r="D91" s="2174"/>
      <c r="E91" s="2174"/>
      <c r="F91" s="2174"/>
      <c r="G91" s="2174"/>
      <c r="H91" s="2174"/>
      <c r="I91" s="2174"/>
      <c r="J91" s="2236"/>
      <c r="K91" s="1996"/>
      <c r="L91" s="1996"/>
      <c r="M91" s="1996"/>
      <c r="N91" s="1996"/>
      <c r="Q91" s="2973"/>
      <c r="R91" s="2973"/>
      <c r="S91" s="2973"/>
      <c r="T91" s="2973"/>
      <c r="U91" s="2973"/>
      <c r="V91" s="2973"/>
      <c r="W91" s="2973"/>
    </row>
    <row r="92" spans="1:33">
      <c r="A92" s="3692"/>
      <c r="B92" s="3692"/>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3"/>
      <c r="R92" s="2973"/>
      <c r="S92" s="2973"/>
      <c r="T92" s="2973"/>
      <c r="U92" s="2973"/>
      <c r="V92" s="2973"/>
      <c r="W92" s="2973"/>
    </row>
    <row r="93" spans="1:33">
      <c r="A93" s="3693"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3"/>
      <c r="R93" s="2973"/>
      <c r="S93" s="2973"/>
      <c r="T93" s="2973"/>
      <c r="U93" s="2973"/>
      <c r="V93" s="2973"/>
      <c r="W93" s="2973"/>
    </row>
    <row r="94" spans="1:33">
      <c r="A94" s="369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3"/>
      <c r="R94" s="2973"/>
      <c r="S94" s="2973"/>
      <c r="T94" s="2973"/>
      <c r="U94" s="2973"/>
      <c r="V94" s="2973"/>
      <c r="W94" s="2973"/>
    </row>
    <row r="95" spans="1:33">
      <c r="A95" s="369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3"/>
      <c r="R95" s="2973"/>
      <c r="S95" s="2973"/>
      <c r="T95" s="2973"/>
      <c r="U95" s="2973"/>
      <c r="V95" s="2973"/>
      <c r="W95" s="2973"/>
    </row>
    <row r="96" spans="1:33">
      <c r="A96" s="369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3"/>
      <c r="R96" s="2973"/>
      <c r="S96" s="2973"/>
      <c r="T96" s="2973"/>
      <c r="U96" s="2973"/>
      <c r="V96" s="2973"/>
      <c r="W96" s="2973"/>
    </row>
    <row r="97" spans="1:23">
      <c r="A97" s="369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3"/>
      <c r="R97" s="2973"/>
      <c r="S97" s="2973"/>
      <c r="T97" s="2973"/>
      <c r="U97" s="2973"/>
      <c r="V97" s="2973"/>
      <c r="W97" s="2973"/>
    </row>
    <row r="98" spans="1:23">
      <c r="A98" s="369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3"/>
      <c r="R98" s="2973"/>
      <c r="S98" s="2973"/>
      <c r="T98" s="2973"/>
      <c r="U98" s="2973"/>
      <c r="V98" s="2973"/>
      <c r="W98" s="2973"/>
    </row>
    <row r="99" spans="1:23">
      <c r="A99" s="3694"/>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3"/>
      <c r="R99" s="2973"/>
      <c r="S99" s="2973"/>
      <c r="T99" s="2973"/>
      <c r="U99" s="2973"/>
      <c r="V99" s="2973"/>
      <c r="W99" s="2973"/>
    </row>
    <row r="100" spans="1:23">
      <c r="A100" s="369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3"/>
      <c r="R100" s="2973"/>
      <c r="S100" s="2973"/>
      <c r="T100" s="2973"/>
      <c r="U100" s="2973"/>
      <c r="V100" s="2973"/>
      <c r="W100" s="2973"/>
    </row>
    <row r="101" spans="1:23">
      <c r="A101" s="3693"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3"/>
      <c r="R101" s="2973"/>
      <c r="S101" s="2973"/>
      <c r="T101" s="2973"/>
      <c r="U101" s="2973"/>
      <c r="V101" s="2973"/>
      <c r="W101" s="2973"/>
    </row>
    <row r="102" spans="1:23">
      <c r="A102" s="369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3"/>
      <c r="R102" s="2973"/>
      <c r="S102" s="2973"/>
      <c r="T102" s="2973"/>
      <c r="U102" s="2973"/>
      <c r="V102" s="2973"/>
      <c r="W102" s="2973"/>
    </row>
    <row r="103" spans="1:23">
      <c r="A103" s="369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3"/>
      <c r="R103" s="2973"/>
      <c r="S103" s="2973"/>
      <c r="T103" s="2973"/>
      <c r="U103" s="2973"/>
      <c r="V103" s="2973"/>
      <c r="W103" s="2973"/>
    </row>
    <row r="104" spans="1:23">
      <c r="A104" s="369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3"/>
      <c r="R104" s="2973"/>
      <c r="S104" s="2973"/>
      <c r="T104" s="2973"/>
      <c r="U104" s="2973"/>
      <c r="V104" s="2973"/>
      <c r="W104" s="2973"/>
    </row>
    <row r="105" spans="1:23">
      <c r="A105" s="369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3"/>
      <c r="R105" s="2973"/>
      <c r="S105" s="2973"/>
      <c r="T105" s="2973"/>
      <c r="U105" s="2973"/>
      <c r="V105" s="2973"/>
      <c r="W105" s="2973"/>
    </row>
    <row r="106" spans="1:23">
      <c r="A106" s="369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3"/>
      <c r="R106" s="2973"/>
      <c r="S106" s="2973"/>
      <c r="T106" s="2973"/>
      <c r="U106" s="2973"/>
      <c r="V106" s="2973"/>
      <c r="W106" s="2973"/>
    </row>
    <row r="107" spans="1:23">
      <c r="A107" s="369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3"/>
      <c r="R107" s="2973"/>
      <c r="S107" s="2973"/>
      <c r="T107" s="2973"/>
      <c r="U107" s="2973"/>
      <c r="V107" s="2973"/>
      <c r="W107" s="2973"/>
    </row>
    <row r="108" spans="1:23">
      <c r="A108" s="3694"/>
      <c r="B108" s="3696"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3"/>
      <c r="R108" s="2973"/>
      <c r="S108" s="2973"/>
      <c r="T108" s="2973"/>
      <c r="U108" s="2973"/>
      <c r="V108" s="2973"/>
      <c r="W108" s="2973"/>
    </row>
    <row r="109" spans="1:23">
      <c r="A109" s="3695"/>
      <c r="B109" s="369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3"/>
      <c r="R109" s="2973"/>
      <c r="S109" s="2973"/>
      <c r="T109" s="2973"/>
      <c r="U109" s="2973"/>
      <c r="V109" s="2973"/>
      <c r="W109" s="2973"/>
    </row>
    <row r="110" spans="1:23">
      <c r="A110" s="3691" t="s">
        <v>2445</v>
      </c>
      <c r="B110" s="3691"/>
      <c r="C110" s="3691"/>
      <c r="D110" s="3691"/>
      <c r="E110" s="3691"/>
      <c r="F110" s="3691"/>
      <c r="G110" s="3691"/>
      <c r="H110" s="3691"/>
      <c r="I110" s="3691"/>
      <c r="J110" s="3691"/>
      <c r="K110" s="2008"/>
      <c r="L110" s="2008"/>
      <c r="M110" s="2008"/>
      <c r="N110" s="2008"/>
      <c r="Q110" s="2973"/>
      <c r="R110" s="2973"/>
      <c r="S110" s="2973"/>
      <c r="T110" s="2973"/>
      <c r="U110" s="2973"/>
      <c r="V110" s="2973"/>
      <c r="W110" s="2973"/>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2800</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2801</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2802</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2803</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2804</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2805</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2477</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2806</v>
      </c>
      <c r="B19" s="3286" t="s">
        <v>2807</v>
      </c>
      <c r="C19" s="3313" t="s">
        <v>561</v>
      </c>
      <c r="D19" s="3285"/>
      <c r="E19" s="3281" t="s">
        <v>3024</v>
      </c>
      <c r="F19" s="3314"/>
      <c r="G19" s="3314"/>
    </row>
    <row r="20" spans="1:13" ht="19.5" customHeight="1">
      <c r="A20" s="3710" t="s">
        <v>2800</v>
      </c>
      <c r="B20" s="3713" t="s">
        <v>2808</v>
      </c>
      <c r="C20" s="3287" t="s">
        <v>2809</v>
      </c>
      <c r="D20" s="3288"/>
      <c r="E20" s="3289">
        <v>1</v>
      </c>
      <c r="F20" s="3290" t="s">
        <v>2810</v>
      </c>
      <c r="G20" s="3290"/>
    </row>
    <row r="21" spans="1:13" ht="19.5" customHeight="1">
      <c r="A21" s="3711"/>
      <c r="B21" s="3708"/>
      <c r="C21" s="740" t="s">
        <v>2811</v>
      </c>
      <c r="D21" s="741"/>
      <c r="E21" s="3291">
        <v>1</v>
      </c>
      <c r="F21" s="3290" t="s">
        <v>2812</v>
      </c>
      <c r="G21" s="3290"/>
    </row>
    <row r="22" spans="1:13" ht="19.5" customHeight="1">
      <c r="A22" s="3711"/>
      <c r="B22" s="3708"/>
      <c r="C22" s="740" t="s">
        <v>2813</v>
      </c>
      <c r="D22" s="741"/>
      <c r="E22" s="3291">
        <v>0.9</v>
      </c>
      <c r="F22" s="3290" t="s">
        <v>2814</v>
      </c>
      <c r="G22" s="3290"/>
    </row>
    <row r="23" spans="1:13" ht="19.5" customHeight="1">
      <c r="A23" s="3711"/>
      <c r="B23" s="3708"/>
      <c r="C23" s="740" t="s">
        <v>2815</v>
      </c>
      <c r="D23" s="741"/>
      <c r="E23" s="3291">
        <v>0.9</v>
      </c>
      <c r="F23" s="3290" t="s">
        <v>2816</v>
      </c>
      <c r="G23" s="3290"/>
    </row>
    <row r="24" spans="1:13" ht="19.5" customHeight="1">
      <c r="A24" s="3711"/>
      <c r="B24" s="3708"/>
      <c r="C24" s="740" t="s">
        <v>2817</v>
      </c>
      <c r="D24" s="741"/>
      <c r="E24" s="3291">
        <v>0.8</v>
      </c>
      <c r="F24" s="3290" t="s">
        <v>2818</v>
      </c>
      <c r="G24" s="3290"/>
    </row>
    <row r="25" spans="1:13" ht="19.5" customHeight="1" thickBot="1">
      <c r="A25" s="3712"/>
      <c r="B25" s="3714"/>
      <c r="C25" s="3292" t="s">
        <v>2819</v>
      </c>
      <c r="D25" s="3293"/>
      <c r="E25" s="3294">
        <v>0.8</v>
      </c>
      <c r="F25" s="3290" t="s">
        <v>2820</v>
      </c>
      <c r="G25" s="3290"/>
    </row>
    <row r="26" spans="1:13" ht="19.5" customHeight="1" thickBot="1">
      <c r="A26" s="3295" t="s">
        <v>2801</v>
      </c>
      <c r="B26" s="3296" t="s">
        <v>2808</v>
      </c>
      <c r="C26" s="3297" t="s">
        <v>2821</v>
      </c>
      <c r="D26" s="3298"/>
      <c r="E26" s="3299">
        <v>1</v>
      </c>
      <c r="F26" s="3290" t="s">
        <v>2862</v>
      </c>
      <c r="G26" s="3290"/>
    </row>
    <row r="27" spans="1:13" ht="19.5" customHeight="1">
      <c r="A27" s="3715" t="s">
        <v>2805</v>
      </c>
      <c r="B27" s="3713" t="s">
        <v>2805</v>
      </c>
      <c r="C27" s="3287" t="s">
        <v>2822</v>
      </c>
      <c r="D27" s="3288"/>
      <c r="E27" s="3289">
        <v>1</v>
      </c>
      <c r="F27" s="3290" t="s">
        <v>2863</v>
      </c>
      <c r="G27" s="3290"/>
    </row>
    <row r="28" spans="1:13" ht="19.5" customHeight="1">
      <c r="A28" s="3716"/>
      <c r="B28" s="3708"/>
      <c r="C28" s="740" t="s">
        <v>2823</v>
      </c>
      <c r="D28" s="741"/>
      <c r="E28" s="3291">
        <v>1</v>
      </c>
      <c r="F28" s="3290" t="s">
        <v>2864</v>
      </c>
      <c r="G28" s="3290"/>
    </row>
    <row r="29" spans="1:13" ht="19.5" customHeight="1">
      <c r="A29" s="3716"/>
      <c r="B29" s="3708"/>
      <c r="C29" s="740" t="s">
        <v>2824</v>
      </c>
      <c r="D29" s="741"/>
      <c r="E29" s="3291">
        <v>0.8</v>
      </c>
      <c r="F29" s="3290" t="s">
        <v>2865</v>
      </c>
      <c r="G29" s="3290"/>
    </row>
    <row r="30" spans="1:13" ht="19.5" customHeight="1">
      <c r="A30" s="3716"/>
      <c r="B30" s="3708"/>
      <c r="C30" s="740" t="s">
        <v>2825</v>
      </c>
      <c r="D30" s="741"/>
      <c r="E30" s="3291">
        <v>0.8</v>
      </c>
      <c r="F30" s="3290" t="s">
        <v>2866</v>
      </c>
      <c r="G30" s="3290"/>
    </row>
    <row r="31" spans="1:13" ht="19.5" customHeight="1">
      <c r="A31" s="3716"/>
      <c r="B31" s="3708"/>
      <c r="C31" s="740" t="s">
        <v>2826</v>
      </c>
      <c r="D31" s="741"/>
      <c r="E31" s="3291">
        <v>0.8</v>
      </c>
      <c r="F31" s="3290" t="s">
        <v>2867</v>
      </c>
      <c r="G31" s="3290"/>
    </row>
    <row r="32" spans="1:13" ht="19.5" customHeight="1">
      <c r="A32" s="3716"/>
      <c r="B32" s="3708"/>
      <c r="C32" s="740" t="s">
        <v>2827</v>
      </c>
      <c r="D32" s="741"/>
      <c r="E32" s="3291">
        <v>0.7</v>
      </c>
      <c r="F32" s="3290" t="s">
        <v>2868</v>
      </c>
      <c r="G32" s="3290"/>
    </row>
    <row r="33" spans="1:7" ht="19.5" customHeight="1">
      <c r="A33" s="3716"/>
      <c r="B33" s="3708"/>
      <c r="C33" s="740" t="s">
        <v>2828</v>
      </c>
      <c r="D33" s="741"/>
      <c r="E33" s="3291">
        <v>0.8</v>
      </c>
      <c r="F33" s="3290" t="s">
        <v>2869</v>
      </c>
      <c r="G33" s="3290"/>
    </row>
    <row r="34" spans="1:7" ht="19.5" customHeight="1">
      <c r="A34" s="3716"/>
      <c r="B34" s="3708"/>
      <c r="C34" s="740" t="s">
        <v>2829</v>
      </c>
      <c r="D34" s="741"/>
      <c r="E34" s="3291">
        <v>0.6</v>
      </c>
      <c r="F34" s="3290" t="s">
        <v>2870</v>
      </c>
      <c r="G34" s="3290"/>
    </row>
    <row r="35" spans="1:7" ht="19.5" customHeight="1">
      <c r="A35" s="3716"/>
      <c r="B35" s="3708"/>
      <c r="C35" s="740" t="s">
        <v>2830</v>
      </c>
      <c r="D35" s="741"/>
      <c r="E35" s="3291">
        <v>0.2</v>
      </c>
      <c r="F35" s="3290" t="s">
        <v>2871</v>
      </c>
      <c r="G35" s="3290"/>
    </row>
    <row r="36" spans="1:7" ht="19.5" customHeight="1">
      <c r="A36" s="3716"/>
      <c r="B36" s="3708"/>
      <c r="C36" s="740" t="s">
        <v>2831</v>
      </c>
      <c r="D36" s="741"/>
      <c r="E36" s="3291">
        <v>0.2</v>
      </c>
      <c r="F36" s="3290" t="s">
        <v>2872</v>
      </c>
      <c r="G36" s="3290"/>
    </row>
    <row r="37" spans="1:7" ht="19.5" customHeight="1">
      <c r="A37" s="3716"/>
      <c r="B37" s="3707" t="s">
        <v>2832</v>
      </c>
      <c r="C37" s="740" t="s">
        <v>2833</v>
      </c>
      <c r="D37" s="741"/>
      <c r="E37" s="3291">
        <v>0.6</v>
      </c>
      <c r="F37" s="3290" t="s">
        <v>2873</v>
      </c>
      <c r="G37" s="3290"/>
    </row>
    <row r="38" spans="1:7" ht="19.5" customHeight="1">
      <c r="A38" s="3716"/>
      <c r="B38" s="3708"/>
      <c r="C38" s="740" t="s">
        <v>2834</v>
      </c>
      <c r="D38" s="741"/>
      <c r="E38" s="3291">
        <v>0.6</v>
      </c>
      <c r="F38" s="3290" t="s">
        <v>2874</v>
      </c>
      <c r="G38" s="3290"/>
    </row>
    <row r="39" spans="1:7" ht="19.5" customHeight="1" thickBot="1">
      <c r="A39" s="3717"/>
      <c r="B39" s="3714"/>
      <c r="C39" s="3292" t="s">
        <v>2835</v>
      </c>
      <c r="D39" s="3293"/>
      <c r="E39" s="3294">
        <v>0.6</v>
      </c>
      <c r="F39" s="3290" t="s">
        <v>2875</v>
      </c>
      <c r="G39" s="3290"/>
    </row>
    <row r="40" spans="1:7" ht="19.5" customHeight="1" thickBot="1">
      <c r="A40" s="3295" t="s">
        <v>2836</v>
      </c>
      <c r="B40" s="3296" t="s">
        <v>2836</v>
      </c>
      <c r="C40" s="3297" t="s">
        <v>2837</v>
      </c>
      <c r="D40" s="3298"/>
      <c r="E40" s="3299">
        <v>1</v>
      </c>
      <c r="F40" s="3290" t="s">
        <v>2876</v>
      </c>
      <c r="G40" s="3290"/>
    </row>
    <row r="41" spans="1:7" ht="19.5" customHeight="1">
      <c r="A41" s="3710" t="s">
        <v>2838</v>
      </c>
      <c r="B41" s="3713" t="s">
        <v>2839</v>
      </c>
      <c r="C41" s="3287" t="s">
        <v>2840</v>
      </c>
      <c r="D41" s="3288"/>
      <c r="E41" s="3289">
        <v>1</v>
      </c>
      <c r="F41" s="3290" t="s">
        <v>2841</v>
      </c>
      <c r="G41" s="3290"/>
    </row>
    <row r="42" spans="1:7" ht="19.5" customHeight="1">
      <c r="A42" s="3711"/>
      <c r="B42" s="3708"/>
      <c r="C42" s="740" t="s">
        <v>2842</v>
      </c>
      <c r="D42" s="741"/>
      <c r="E42" s="3291">
        <v>1</v>
      </c>
      <c r="F42" s="3290" t="s">
        <v>2843</v>
      </c>
      <c r="G42" s="3290"/>
    </row>
    <row r="43" spans="1:7" ht="19.5" customHeight="1">
      <c r="A43" s="3711"/>
      <c r="B43" s="3709"/>
      <c r="C43" s="740" t="s">
        <v>2844</v>
      </c>
      <c r="D43" s="741"/>
      <c r="E43" s="3291">
        <v>1.5</v>
      </c>
      <c r="F43" s="3290" t="s">
        <v>2845</v>
      </c>
      <c r="G43" s="3290"/>
    </row>
    <row r="44" spans="1:7" ht="19.5" customHeight="1">
      <c r="A44" s="3711"/>
      <c r="B44" s="3300" t="s">
        <v>2805</v>
      </c>
      <c r="C44" s="740" t="s">
        <v>2804</v>
      </c>
      <c r="D44" s="741"/>
      <c r="E44" s="3291">
        <v>2</v>
      </c>
      <c r="F44" s="3290" t="s">
        <v>2846</v>
      </c>
      <c r="G44" s="3290"/>
    </row>
    <row r="45" spans="1:7" ht="19.5" customHeight="1">
      <c r="A45" s="3711"/>
      <c r="B45" s="3707" t="s">
        <v>2847</v>
      </c>
      <c r="C45" s="740" t="s">
        <v>2848</v>
      </c>
      <c r="D45" s="741"/>
      <c r="E45" s="3291">
        <v>1</v>
      </c>
      <c r="F45" s="3290" t="s">
        <v>2849</v>
      </c>
      <c r="G45" s="3290"/>
    </row>
    <row r="46" spans="1:7" ht="19.5" customHeight="1">
      <c r="A46" s="3711"/>
      <c r="B46" s="3708"/>
      <c r="C46" s="740" t="s">
        <v>2850</v>
      </c>
      <c r="D46" s="741"/>
      <c r="E46" s="3291">
        <v>1</v>
      </c>
      <c r="F46" s="3290" t="s">
        <v>2851</v>
      </c>
      <c r="G46" s="3290"/>
    </row>
    <row r="47" spans="1:7" ht="19.5" customHeight="1">
      <c r="A47" s="3711"/>
      <c r="B47" s="3708"/>
      <c r="C47" s="740" t="s">
        <v>2852</v>
      </c>
      <c r="D47" s="741"/>
      <c r="E47" s="3291">
        <v>1</v>
      </c>
      <c r="F47" s="3290" t="s">
        <v>2853</v>
      </c>
      <c r="G47" s="3290"/>
    </row>
    <row r="48" spans="1:7" ht="19.5" customHeight="1">
      <c r="A48" s="3711"/>
      <c r="B48" s="3708"/>
      <c r="C48" s="740" t="s">
        <v>2854</v>
      </c>
      <c r="D48" s="741"/>
      <c r="E48" s="3291">
        <v>1</v>
      </c>
      <c r="F48" s="3290" t="s">
        <v>2855</v>
      </c>
      <c r="G48" s="3290"/>
    </row>
    <row r="49" spans="1:7" ht="19.5" customHeight="1">
      <c r="A49" s="3711"/>
      <c r="B49" s="3708"/>
      <c r="C49" s="740" t="s">
        <v>2856</v>
      </c>
      <c r="D49" s="741"/>
      <c r="E49" s="3291">
        <v>1</v>
      </c>
      <c r="F49" s="3290" t="s">
        <v>2857</v>
      </c>
      <c r="G49" s="3290"/>
    </row>
    <row r="50" spans="1:7" ht="19.5" customHeight="1">
      <c r="A50" s="3711"/>
      <c r="B50" s="3708"/>
      <c r="C50" s="740" t="s">
        <v>2858</v>
      </c>
      <c r="D50" s="741"/>
      <c r="E50" s="3291">
        <v>1</v>
      </c>
      <c r="F50" s="3290" t="s">
        <v>2859</v>
      </c>
      <c r="G50" s="3290"/>
    </row>
    <row r="51" spans="1:7" ht="19.5" customHeight="1" thickBot="1">
      <c r="A51" s="3712"/>
      <c r="B51" s="3714"/>
      <c r="C51" s="3292" t="s">
        <v>2860</v>
      </c>
      <c r="D51" s="3293"/>
      <c r="E51" s="3294">
        <v>1</v>
      </c>
      <c r="F51" s="3290" t="s">
        <v>2861</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2877</v>
      </c>
      <c r="D72" s="3300"/>
      <c r="E72" s="3306" t="s">
        <v>1</v>
      </c>
      <c r="F72" s="3300" t="s">
        <v>1</v>
      </c>
    </row>
    <row r="73" spans="1:7" ht="13.5">
      <c r="A73" s="3300">
        <v>1</v>
      </c>
      <c r="B73" s="3707" t="s">
        <v>2878</v>
      </c>
      <c r="C73" s="3281" t="s">
        <v>2879</v>
      </c>
      <c r="D73" s="3281" t="s">
        <v>2880</v>
      </c>
      <c r="E73" s="3306">
        <v>0.2</v>
      </c>
      <c r="F73" s="3300">
        <v>25</v>
      </c>
    </row>
    <row r="74" spans="1:7" ht="24">
      <c r="A74" s="3300">
        <v>2</v>
      </c>
      <c r="B74" s="3708"/>
      <c r="C74" s="3281" t="s">
        <v>2881</v>
      </c>
      <c r="D74" s="3281" t="s">
        <v>2882</v>
      </c>
      <c r="E74" s="3306">
        <v>0.2</v>
      </c>
      <c r="F74" s="3300">
        <v>25</v>
      </c>
    </row>
    <row r="75" spans="1:7" ht="24">
      <c r="A75" s="3300">
        <v>3</v>
      </c>
      <c r="B75" s="3708"/>
      <c r="C75" s="3281" t="s">
        <v>2883</v>
      </c>
      <c r="D75" s="3281" t="s">
        <v>2884</v>
      </c>
      <c r="E75" s="3306">
        <v>0.2</v>
      </c>
      <c r="F75" s="3300">
        <v>25</v>
      </c>
    </row>
    <row r="76" spans="1:7" ht="13.5">
      <c r="A76" s="3300">
        <v>4</v>
      </c>
      <c r="B76" s="3708"/>
      <c r="C76" s="3281" t="s">
        <v>2885</v>
      </c>
      <c r="D76" s="3281" t="s">
        <v>2886</v>
      </c>
      <c r="E76" s="3306">
        <v>0.15</v>
      </c>
      <c r="F76" s="3300">
        <v>20</v>
      </c>
    </row>
    <row r="77" spans="1:7" ht="24">
      <c r="A77" s="3300">
        <v>5</v>
      </c>
      <c r="B77" s="3708"/>
      <c r="C77" s="3281" t="s">
        <v>2887</v>
      </c>
      <c r="D77" s="3281" t="s">
        <v>2888</v>
      </c>
      <c r="E77" s="3306">
        <v>0.15</v>
      </c>
      <c r="F77" s="3300">
        <v>20</v>
      </c>
    </row>
    <row r="78" spans="1:7" ht="24">
      <c r="A78" s="3300">
        <v>6</v>
      </c>
      <c r="B78" s="3708"/>
      <c r="C78" s="3281" t="s">
        <v>2889</v>
      </c>
      <c r="D78" s="3281" t="s">
        <v>2890</v>
      </c>
      <c r="E78" s="3306">
        <v>0.15</v>
      </c>
      <c r="F78" s="3300">
        <v>20</v>
      </c>
    </row>
    <row r="79" spans="1:7" ht="24">
      <c r="A79" s="3300">
        <v>7</v>
      </c>
      <c r="B79" s="3708"/>
      <c r="C79" s="3281" t="s">
        <v>2891</v>
      </c>
      <c r="D79" s="3281" t="s">
        <v>2892</v>
      </c>
      <c r="E79" s="3306">
        <v>0.15</v>
      </c>
      <c r="F79" s="3300">
        <v>20</v>
      </c>
    </row>
    <row r="80" spans="1:7" ht="24">
      <c r="A80" s="3300">
        <v>8</v>
      </c>
      <c r="B80" s="3708"/>
      <c r="C80" s="3281" t="s">
        <v>2893</v>
      </c>
      <c r="D80" s="3281" t="s">
        <v>2894</v>
      </c>
      <c r="E80" s="3306">
        <v>0.1</v>
      </c>
      <c r="F80" s="3300">
        <v>15</v>
      </c>
    </row>
    <row r="81" spans="1:6" ht="24">
      <c r="A81" s="3300">
        <v>9</v>
      </c>
      <c r="B81" s="3708"/>
      <c r="C81" s="3281" t="s">
        <v>2895</v>
      </c>
      <c r="D81" s="3281" t="s">
        <v>2896</v>
      </c>
      <c r="E81" s="3306">
        <v>0.1</v>
      </c>
      <c r="F81" s="3300">
        <v>15</v>
      </c>
    </row>
    <row r="82" spans="1:6" ht="24">
      <c r="A82" s="3300">
        <v>10</v>
      </c>
      <c r="B82" s="3708"/>
      <c r="C82" s="3281" t="s">
        <v>2897</v>
      </c>
      <c r="D82" s="3281" t="s">
        <v>2898</v>
      </c>
      <c r="E82" s="3306">
        <v>0.1</v>
      </c>
      <c r="F82" s="3300">
        <v>15</v>
      </c>
    </row>
    <row r="83" spans="1:6" ht="24">
      <c r="A83" s="3300">
        <v>11</v>
      </c>
      <c r="B83" s="3708"/>
      <c r="C83" s="3281" t="s">
        <v>2899</v>
      </c>
      <c r="D83" s="3281" t="s">
        <v>2900</v>
      </c>
      <c r="E83" s="3306">
        <v>0.1</v>
      </c>
      <c r="F83" s="3300">
        <v>15</v>
      </c>
    </row>
    <row r="84" spans="1:6" ht="24">
      <c r="A84" s="3300">
        <v>12</v>
      </c>
      <c r="B84" s="3708"/>
      <c r="C84" s="3281" t="s">
        <v>2901</v>
      </c>
      <c r="D84" s="3281" t="s">
        <v>2902</v>
      </c>
      <c r="E84" s="3306">
        <v>0.1</v>
      </c>
      <c r="F84" s="3300">
        <v>15</v>
      </c>
    </row>
    <row r="85" spans="1:6" ht="13.5">
      <c r="A85" s="3300">
        <v>13</v>
      </c>
      <c r="B85" s="3708"/>
      <c r="C85" s="3281" t="s">
        <v>2903</v>
      </c>
      <c r="D85" s="3281" t="s">
        <v>2904</v>
      </c>
      <c r="E85" s="3306">
        <v>0.1</v>
      </c>
      <c r="F85" s="3300">
        <v>15</v>
      </c>
    </row>
    <row r="86" spans="1:6" ht="13.5">
      <c r="A86" s="3300">
        <v>14</v>
      </c>
      <c r="B86" s="3708"/>
      <c r="C86" s="3281" t="s">
        <v>2905</v>
      </c>
      <c r="D86" s="3281" t="s">
        <v>2906</v>
      </c>
      <c r="E86" s="3306">
        <v>0.1</v>
      </c>
      <c r="F86" s="3300">
        <v>15</v>
      </c>
    </row>
    <row r="87" spans="1:6" ht="13.5">
      <c r="A87" s="3300">
        <v>15</v>
      </c>
      <c r="B87" s="3708"/>
      <c r="C87" s="3281" t="s">
        <v>2907</v>
      </c>
      <c r="D87" s="3281" t="s">
        <v>2908</v>
      </c>
      <c r="E87" s="3306">
        <v>0.1</v>
      </c>
      <c r="F87" s="3300">
        <v>15</v>
      </c>
    </row>
    <row r="88" spans="1:6" ht="24">
      <c r="A88" s="3300">
        <v>16</v>
      </c>
      <c r="B88" s="3708"/>
      <c r="C88" s="3281" t="s">
        <v>2909</v>
      </c>
      <c r="D88" s="3281" t="s">
        <v>2910</v>
      </c>
      <c r="E88" s="3306">
        <v>0.1</v>
      </c>
      <c r="F88" s="3300">
        <v>15</v>
      </c>
    </row>
    <row r="89" spans="1:6" ht="24">
      <c r="A89" s="3300">
        <v>17</v>
      </c>
      <c r="B89" s="3709"/>
      <c r="C89" s="3281" t="s">
        <v>2911</v>
      </c>
      <c r="D89" s="3281" t="s">
        <v>2912</v>
      </c>
      <c r="E89" s="3306">
        <v>0.1</v>
      </c>
      <c r="F89" s="3300">
        <v>15</v>
      </c>
    </row>
    <row r="90" spans="1:6" ht="13.5">
      <c r="A90" s="3300">
        <v>18</v>
      </c>
      <c r="B90" s="3707" t="s">
        <v>2913</v>
      </c>
      <c r="C90" s="3281" t="s">
        <v>2914</v>
      </c>
      <c r="D90" s="3281" t="s">
        <v>2915</v>
      </c>
      <c r="E90" s="3306">
        <v>0.2</v>
      </c>
      <c r="F90" s="3300">
        <v>25</v>
      </c>
    </row>
    <row r="91" spans="1:6" ht="24">
      <c r="A91" s="3300">
        <v>19</v>
      </c>
      <c r="B91" s="3708"/>
      <c r="C91" s="3281" t="s">
        <v>2916</v>
      </c>
      <c r="D91" s="3281" t="s">
        <v>2917</v>
      </c>
      <c r="E91" s="3306">
        <v>0.2</v>
      </c>
      <c r="F91" s="3300">
        <v>25</v>
      </c>
    </row>
    <row r="92" spans="1:6" ht="13.5">
      <c r="A92" s="3300">
        <v>20</v>
      </c>
      <c r="B92" s="3708"/>
      <c r="C92" s="3281" t="s">
        <v>2918</v>
      </c>
      <c r="D92" s="3281" t="s">
        <v>2919</v>
      </c>
      <c r="E92" s="3306">
        <v>0.15</v>
      </c>
      <c r="F92" s="3300">
        <v>20</v>
      </c>
    </row>
    <row r="93" spans="1:6" ht="24">
      <c r="A93" s="3300">
        <v>21</v>
      </c>
      <c r="B93" s="3708"/>
      <c r="C93" s="3281" t="s">
        <v>2920</v>
      </c>
      <c r="D93" s="3281" t="s">
        <v>2921</v>
      </c>
      <c r="E93" s="3306">
        <v>0.15</v>
      </c>
      <c r="F93" s="3300">
        <v>20</v>
      </c>
    </row>
    <row r="94" spans="1:6" ht="24">
      <c r="A94" s="3300">
        <v>22</v>
      </c>
      <c r="B94" s="3708"/>
      <c r="C94" s="3281" t="s">
        <v>2922</v>
      </c>
      <c r="D94" s="3281" t="s">
        <v>2923</v>
      </c>
      <c r="E94" s="3306">
        <v>0.15</v>
      </c>
      <c r="F94" s="3300">
        <v>20</v>
      </c>
    </row>
    <row r="95" spans="1:6" ht="36">
      <c r="A95" s="3300">
        <v>23</v>
      </c>
      <c r="B95" s="3708"/>
      <c r="C95" s="3281" t="s">
        <v>2924</v>
      </c>
      <c r="D95" s="3281" t="s">
        <v>2925</v>
      </c>
      <c r="E95" s="3306">
        <v>0.15</v>
      </c>
      <c r="F95" s="3300">
        <v>20</v>
      </c>
    </row>
    <row r="96" spans="1:6" ht="13.5">
      <c r="A96" s="3300">
        <v>24</v>
      </c>
      <c r="B96" s="3708"/>
      <c r="C96" s="3281" t="s">
        <v>2926</v>
      </c>
      <c r="D96" s="3281" t="s">
        <v>2927</v>
      </c>
      <c r="E96" s="3306">
        <v>0.1</v>
      </c>
      <c r="F96" s="3300">
        <v>15</v>
      </c>
    </row>
    <row r="97" spans="1:6" ht="24">
      <c r="A97" s="3300">
        <v>25</v>
      </c>
      <c r="B97" s="3708"/>
      <c r="C97" s="3281" t="s">
        <v>2928</v>
      </c>
      <c r="D97" s="3281" t="s">
        <v>2929</v>
      </c>
      <c r="E97" s="3306">
        <v>0.1</v>
      </c>
      <c r="F97" s="3300">
        <v>15</v>
      </c>
    </row>
    <row r="98" spans="1:6" ht="24">
      <c r="A98" s="3300">
        <v>26</v>
      </c>
      <c r="B98" s="3708"/>
      <c r="C98" s="3281" t="s">
        <v>2930</v>
      </c>
      <c r="D98" s="3281" t="s">
        <v>2931</v>
      </c>
      <c r="E98" s="3306">
        <v>0.1</v>
      </c>
      <c r="F98" s="3300">
        <v>15</v>
      </c>
    </row>
    <row r="99" spans="1:6" ht="24">
      <c r="A99" s="3300">
        <v>27</v>
      </c>
      <c r="B99" s="3708"/>
      <c r="C99" s="3281" t="s">
        <v>2932</v>
      </c>
      <c r="D99" s="3281" t="s">
        <v>2933</v>
      </c>
      <c r="E99" s="3306">
        <v>0.1</v>
      </c>
      <c r="F99" s="3300">
        <v>15</v>
      </c>
    </row>
    <row r="100" spans="1:6" ht="24">
      <c r="A100" s="3300">
        <v>28</v>
      </c>
      <c r="B100" s="3708"/>
      <c r="C100" s="3281" t="s">
        <v>2934</v>
      </c>
      <c r="D100" s="3281" t="s">
        <v>2935</v>
      </c>
      <c r="E100" s="3306">
        <v>0.1</v>
      </c>
      <c r="F100" s="3300">
        <v>15</v>
      </c>
    </row>
    <row r="101" spans="1:6" ht="24">
      <c r="A101" s="3300">
        <v>29</v>
      </c>
      <c r="B101" s="3708"/>
      <c r="C101" s="3281" t="s">
        <v>2936</v>
      </c>
      <c r="D101" s="3281" t="s">
        <v>2937</v>
      </c>
      <c r="E101" s="3306">
        <v>0.1</v>
      </c>
      <c r="F101" s="3300">
        <v>15</v>
      </c>
    </row>
    <row r="102" spans="1:6" ht="24">
      <c r="A102" s="3300">
        <v>30</v>
      </c>
      <c r="B102" s="3708"/>
      <c r="C102" s="3281" t="s">
        <v>2938</v>
      </c>
      <c r="D102" s="3281" t="s">
        <v>2939</v>
      </c>
      <c r="E102" s="3306">
        <v>0.1</v>
      </c>
      <c r="F102" s="3300">
        <v>15</v>
      </c>
    </row>
    <row r="103" spans="1:6" ht="24">
      <c r="A103" s="3300">
        <v>31</v>
      </c>
      <c r="B103" s="3708"/>
      <c r="C103" s="3281" t="s">
        <v>2940</v>
      </c>
      <c r="D103" s="3281" t="s">
        <v>2941</v>
      </c>
      <c r="E103" s="3306">
        <v>0.1</v>
      </c>
      <c r="F103" s="3300">
        <v>15</v>
      </c>
    </row>
    <row r="104" spans="1:6" ht="24">
      <c r="A104" s="3300">
        <v>32</v>
      </c>
      <c r="B104" s="3708"/>
      <c r="C104" s="3281" t="s">
        <v>2942</v>
      </c>
      <c r="D104" s="3281" t="s">
        <v>2943</v>
      </c>
      <c r="E104" s="3306">
        <v>0.1</v>
      </c>
      <c r="F104" s="3300">
        <v>15</v>
      </c>
    </row>
    <row r="105" spans="1:6" ht="24">
      <c r="A105" s="3300">
        <v>33</v>
      </c>
      <c r="B105" s="3708"/>
      <c r="C105" s="3281" t="s">
        <v>2944</v>
      </c>
      <c r="D105" s="3281" t="s">
        <v>2945</v>
      </c>
      <c r="E105" s="3306">
        <v>0.1</v>
      </c>
      <c r="F105" s="3300">
        <v>15</v>
      </c>
    </row>
    <row r="106" spans="1:6" ht="24">
      <c r="A106" s="3300">
        <v>34</v>
      </c>
      <c r="B106" s="3709"/>
      <c r="C106" s="3281" t="s">
        <v>2946</v>
      </c>
      <c r="D106" s="3281" t="s">
        <v>2947</v>
      </c>
      <c r="E106" s="3306">
        <v>0.1</v>
      </c>
      <c r="F106" s="3300">
        <v>15</v>
      </c>
    </row>
    <row r="107" spans="1:6" ht="24">
      <c r="A107" s="3300">
        <v>35</v>
      </c>
      <c r="B107" s="3707" t="s">
        <v>2948</v>
      </c>
      <c r="C107" s="3300" t="s">
        <v>2949</v>
      </c>
      <c r="D107" s="3281" t="s">
        <v>2950</v>
      </c>
      <c r="E107" s="3306">
        <v>0.15</v>
      </c>
      <c r="F107" s="3300">
        <v>20</v>
      </c>
    </row>
    <row r="108" spans="1:6" ht="24">
      <c r="A108" s="3300">
        <v>36</v>
      </c>
      <c r="B108" s="3708"/>
      <c r="C108" s="3300" t="s">
        <v>2951</v>
      </c>
      <c r="D108" s="3281" t="s">
        <v>2952</v>
      </c>
      <c r="E108" s="3306">
        <v>0.15</v>
      </c>
      <c r="F108" s="3300">
        <v>20</v>
      </c>
    </row>
    <row r="109" spans="1:6" ht="24">
      <c r="A109" s="3300">
        <v>37</v>
      </c>
      <c r="B109" s="3708"/>
      <c r="C109" s="3300" t="s">
        <v>2953</v>
      </c>
      <c r="D109" s="3281" t="s">
        <v>2954</v>
      </c>
      <c r="E109" s="3306">
        <v>0.15</v>
      </c>
      <c r="F109" s="3300">
        <v>20</v>
      </c>
    </row>
    <row r="110" spans="1:6" ht="13.5">
      <c r="A110" s="3300">
        <v>38</v>
      </c>
      <c r="B110" s="3708"/>
      <c r="C110" s="3300" t="s">
        <v>2955</v>
      </c>
      <c r="D110" s="3281" t="s">
        <v>2956</v>
      </c>
      <c r="E110" s="3306">
        <v>0.1</v>
      </c>
      <c r="F110" s="3300">
        <v>15</v>
      </c>
    </row>
    <row r="111" spans="1:6" ht="24">
      <c r="A111" s="3300">
        <v>39</v>
      </c>
      <c r="B111" s="3708"/>
      <c r="C111" s="3300" t="s">
        <v>2957</v>
      </c>
      <c r="D111" s="3281" t="s">
        <v>2958</v>
      </c>
      <c r="E111" s="3306">
        <v>0.1</v>
      </c>
      <c r="F111" s="3300">
        <v>15</v>
      </c>
    </row>
    <row r="112" spans="1:6" ht="24">
      <c r="A112" s="3300">
        <v>40</v>
      </c>
      <c r="B112" s="3709"/>
      <c r="C112" s="3300" t="s">
        <v>2959</v>
      </c>
      <c r="D112" s="3281" t="s">
        <v>2960</v>
      </c>
      <c r="E112" s="3306">
        <v>0.1</v>
      </c>
      <c r="F112" s="3300">
        <v>15</v>
      </c>
    </row>
    <row r="113" spans="1:6" ht="24">
      <c r="A113" s="3300">
        <v>41</v>
      </c>
      <c r="B113" s="3718" t="s">
        <v>2961</v>
      </c>
      <c r="C113" s="3300" t="s">
        <v>2962</v>
      </c>
      <c r="D113" s="3281" t="s">
        <v>2963</v>
      </c>
      <c r="E113" s="3306">
        <v>0.1</v>
      </c>
      <c r="F113" s="3300">
        <v>15</v>
      </c>
    </row>
    <row r="114" spans="1:6" ht="13.5">
      <c r="A114" s="3300">
        <v>42</v>
      </c>
      <c r="B114" s="3718"/>
      <c r="C114" s="3300" t="s">
        <v>2964</v>
      </c>
      <c r="D114" s="3281" t="s">
        <v>2965</v>
      </c>
      <c r="E114" s="3306">
        <v>0.1</v>
      </c>
      <c r="F114" s="3300">
        <v>15</v>
      </c>
    </row>
    <row r="115" spans="1:6" ht="24">
      <c r="A115" s="3300">
        <v>43</v>
      </c>
      <c r="B115" s="3718"/>
      <c r="C115" s="3300" t="s">
        <v>2966</v>
      </c>
      <c r="D115" s="3281" t="s">
        <v>2967</v>
      </c>
      <c r="E115" s="3306">
        <v>0.1</v>
      </c>
      <c r="F115" s="3300">
        <v>15</v>
      </c>
    </row>
    <row r="116" spans="1:6" ht="24">
      <c r="A116" s="3300">
        <v>44</v>
      </c>
      <c r="B116" s="3707" t="s">
        <v>2968</v>
      </c>
      <c r="C116" s="3300" t="s">
        <v>2969</v>
      </c>
      <c r="D116" s="3281" t="s">
        <v>2970</v>
      </c>
      <c r="E116" s="3306">
        <v>0.1</v>
      </c>
      <c r="F116" s="3300">
        <v>15</v>
      </c>
    </row>
    <row r="117" spans="1:6" ht="24">
      <c r="A117" s="3300">
        <v>45</v>
      </c>
      <c r="B117" s="3709"/>
      <c r="C117" s="3281" t="s">
        <v>2971</v>
      </c>
      <c r="D117" s="3281" t="s">
        <v>2972</v>
      </c>
      <c r="E117" s="3306">
        <v>0.1</v>
      </c>
      <c r="F117" s="3300">
        <v>15</v>
      </c>
    </row>
    <row r="118" spans="1:6" ht="24">
      <c r="A118" s="3300">
        <v>46</v>
      </c>
      <c r="B118" s="3707" t="s">
        <v>2973</v>
      </c>
      <c r="C118" s="3300" t="s">
        <v>2974</v>
      </c>
      <c r="D118" s="3281" t="s">
        <v>2975</v>
      </c>
      <c r="E118" s="3306">
        <v>0.1</v>
      </c>
      <c r="F118" s="3300">
        <v>15</v>
      </c>
    </row>
    <row r="119" spans="1:6" ht="24">
      <c r="A119" s="3300">
        <v>47</v>
      </c>
      <c r="B119" s="3709"/>
      <c r="C119" s="3300" t="s">
        <v>2976</v>
      </c>
      <c r="D119" s="3281" t="s">
        <v>2977</v>
      </c>
      <c r="E119" s="3306">
        <v>0.1</v>
      </c>
      <c r="F119" s="3300">
        <v>15</v>
      </c>
    </row>
    <row r="120" spans="1:6" ht="24">
      <c r="A120" s="3300">
        <v>48</v>
      </c>
      <c r="B120" s="3707" t="s">
        <v>2978</v>
      </c>
      <c r="C120" s="3300" t="s">
        <v>2979</v>
      </c>
      <c r="D120" s="3281" t="s">
        <v>2980</v>
      </c>
      <c r="E120" s="3306">
        <v>0.1</v>
      </c>
      <c r="F120" s="3300">
        <v>15</v>
      </c>
    </row>
    <row r="121" spans="1:6" ht="13.5">
      <c r="A121" s="3300">
        <v>49</v>
      </c>
      <c r="B121" s="3709"/>
      <c r="C121" s="3300" t="s">
        <v>2981</v>
      </c>
      <c r="D121" s="3281" t="s">
        <v>2982</v>
      </c>
      <c r="E121" s="3306">
        <v>0.1</v>
      </c>
      <c r="F121" s="3300">
        <v>15</v>
      </c>
    </row>
    <row r="122" spans="1:6" ht="24">
      <c r="A122" s="3300">
        <v>50</v>
      </c>
      <c r="B122" s="3718" t="s">
        <v>2983</v>
      </c>
      <c r="C122" s="3300" t="s">
        <v>2984</v>
      </c>
      <c r="D122" s="3281" t="s">
        <v>2985</v>
      </c>
      <c r="E122" s="3306">
        <v>0.1</v>
      </c>
      <c r="F122" s="3300">
        <v>15</v>
      </c>
    </row>
    <row r="123" spans="1:6" ht="24">
      <c r="A123" s="3300">
        <v>51</v>
      </c>
      <c r="B123" s="3718"/>
      <c r="C123" s="3300" t="s">
        <v>2986</v>
      </c>
      <c r="D123" s="3281" t="s">
        <v>2987</v>
      </c>
      <c r="E123" s="3306">
        <v>0.1</v>
      </c>
      <c r="F123" s="3300">
        <v>15</v>
      </c>
    </row>
    <row r="124" spans="1:6" ht="24">
      <c r="A124" s="3300">
        <v>52</v>
      </c>
      <c r="B124" s="3718" t="s">
        <v>2988</v>
      </c>
      <c r="C124" s="3300" t="s">
        <v>2989</v>
      </c>
      <c r="D124" s="3281" t="s">
        <v>2990</v>
      </c>
      <c r="E124" s="3306">
        <v>0.1</v>
      </c>
      <c r="F124" s="3300">
        <v>15</v>
      </c>
    </row>
    <row r="125" spans="1:6" ht="24">
      <c r="A125" s="3300">
        <v>53</v>
      </c>
      <c r="B125" s="3718"/>
      <c r="C125" s="3300" t="s">
        <v>2991</v>
      </c>
      <c r="D125" s="3281" t="s">
        <v>2992</v>
      </c>
      <c r="E125" s="3306">
        <v>0.1</v>
      </c>
      <c r="F125" s="3300">
        <v>15</v>
      </c>
    </row>
    <row r="126" spans="1:6" ht="24">
      <c r="A126" s="3300">
        <v>54</v>
      </c>
      <c r="B126" s="3300" t="s">
        <v>2993</v>
      </c>
      <c r="C126" s="3300" t="s">
        <v>2994</v>
      </c>
      <c r="D126" s="3281" t="s">
        <v>2995</v>
      </c>
      <c r="E126" s="3306">
        <v>0.1</v>
      </c>
      <c r="F126" s="3300">
        <v>15</v>
      </c>
    </row>
    <row r="127" spans="1:6" ht="13.5">
      <c r="A127" s="3300">
        <v>55</v>
      </c>
      <c r="B127" s="3718" t="s">
        <v>2996</v>
      </c>
      <c r="C127" s="3300" t="s">
        <v>2997</v>
      </c>
      <c r="D127" s="3281" t="s">
        <v>2998</v>
      </c>
      <c r="E127" s="3306">
        <v>0.1</v>
      </c>
      <c r="F127" s="3300">
        <v>15</v>
      </c>
    </row>
    <row r="128" spans="1:6" ht="13.5">
      <c r="A128" s="3300">
        <v>56</v>
      </c>
      <c r="B128" s="3718"/>
      <c r="C128" s="3300" t="s">
        <v>2999</v>
      </c>
      <c r="D128" s="3281" t="s">
        <v>3000</v>
      </c>
      <c r="E128" s="3306">
        <v>0.1</v>
      </c>
      <c r="F128" s="3300">
        <v>15</v>
      </c>
    </row>
    <row r="129" spans="1:6" ht="24">
      <c r="A129" s="3300">
        <v>57</v>
      </c>
      <c r="B129" s="3718"/>
      <c r="C129" s="3300" t="s">
        <v>3001</v>
      </c>
      <c r="D129" s="3281" t="s">
        <v>3002</v>
      </c>
      <c r="E129" s="3306">
        <v>0.1</v>
      </c>
      <c r="F129" s="3300">
        <v>15</v>
      </c>
    </row>
    <row r="130" spans="1:6" ht="24">
      <c r="A130" s="3300">
        <v>58</v>
      </c>
      <c r="B130" s="3718" t="s">
        <v>3003</v>
      </c>
      <c r="C130" s="3300" t="s">
        <v>3004</v>
      </c>
      <c r="D130" s="3281" t="s">
        <v>3005</v>
      </c>
      <c r="E130" s="3306">
        <v>0.1</v>
      </c>
      <c r="F130" s="3300">
        <v>15</v>
      </c>
    </row>
    <row r="131" spans="1:6" ht="24">
      <c r="A131" s="3300">
        <v>59</v>
      </c>
      <c r="B131" s="3718"/>
      <c r="C131" s="3300" t="s">
        <v>3006</v>
      </c>
      <c r="D131" s="3281" t="s">
        <v>3007</v>
      </c>
      <c r="E131" s="3306">
        <v>0.1</v>
      </c>
      <c r="F131" s="3300">
        <v>15</v>
      </c>
    </row>
    <row r="132" spans="1:6" ht="24">
      <c r="A132" s="3300">
        <v>60</v>
      </c>
      <c r="B132" s="3707" t="s">
        <v>3008</v>
      </c>
      <c r="C132" s="3300" t="s">
        <v>3009</v>
      </c>
      <c r="D132" s="3281" t="s">
        <v>3010</v>
      </c>
      <c r="E132" s="3306">
        <v>0.1</v>
      </c>
      <c r="F132" s="3300">
        <v>15</v>
      </c>
    </row>
    <row r="133" spans="1:6" ht="24">
      <c r="A133" s="3300">
        <v>61</v>
      </c>
      <c r="B133" s="3709"/>
      <c r="C133" s="3300" t="s">
        <v>3011</v>
      </c>
      <c r="D133" s="3281" t="s">
        <v>3012</v>
      </c>
      <c r="E133" s="3306">
        <v>0.1</v>
      </c>
      <c r="F133" s="3300">
        <v>15</v>
      </c>
    </row>
    <row r="134" spans="1:6" ht="24">
      <c r="A134" s="3300">
        <v>62</v>
      </c>
      <c r="B134" s="3300" t="s">
        <v>3013</v>
      </c>
      <c r="C134" s="3300" t="s">
        <v>3014</v>
      </c>
      <c r="D134" s="3281" t="s">
        <v>3015</v>
      </c>
      <c r="E134" s="3306">
        <v>0.1</v>
      </c>
      <c r="F134" s="3300">
        <v>15</v>
      </c>
    </row>
    <row r="135" spans="1:6" ht="24">
      <c r="A135" s="3300">
        <v>63</v>
      </c>
      <c r="B135" s="3718" t="s">
        <v>3016</v>
      </c>
      <c r="C135" s="3300" t="s">
        <v>3017</v>
      </c>
      <c r="D135" s="3281" t="s">
        <v>3018</v>
      </c>
      <c r="E135" s="3306">
        <v>0.1</v>
      </c>
      <c r="F135" s="3300">
        <v>15</v>
      </c>
    </row>
    <row r="136" spans="1:6" ht="13.5">
      <c r="A136" s="3300">
        <v>64</v>
      </c>
      <c r="B136" s="3718"/>
      <c r="C136" s="3300" t="s">
        <v>3019</v>
      </c>
      <c r="D136" s="3281" t="s">
        <v>3020</v>
      </c>
      <c r="E136" s="3306">
        <v>0.1</v>
      </c>
      <c r="F136" s="3300">
        <v>15</v>
      </c>
    </row>
    <row r="137" spans="1:6" ht="24">
      <c r="A137" s="3300">
        <v>65</v>
      </c>
      <c r="B137" s="3300" t="s">
        <v>3021</v>
      </c>
      <c r="C137" s="3300" t="s">
        <v>3022</v>
      </c>
      <c r="D137" s="3281" t="s">
        <v>3023</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2797</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1">
        <v>2023</v>
      </c>
      <c r="H5" s="2289">
        <v>1</v>
      </c>
      <c r="I5" s="3075">
        <v>0</v>
      </c>
      <c r="J5" s="3075">
        <v>0</v>
      </c>
      <c r="K5" s="3075">
        <v>0</v>
      </c>
      <c r="L5" s="3076">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2796</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1">
        <v>2022</v>
      </c>
      <c r="H6" s="2289">
        <v>4</v>
      </c>
      <c r="I6" s="3075">
        <v>0</v>
      </c>
      <c r="J6" s="3075">
        <v>0</v>
      </c>
      <c r="K6" s="3075">
        <v>0</v>
      </c>
      <c r="L6" s="3076">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2795</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1">
        <v>2022</v>
      </c>
      <c r="H7" s="2289">
        <v>3</v>
      </c>
      <c r="I7" s="3075">
        <v>0</v>
      </c>
      <c r="J7" s="3075">
        <v>0</v>
      </c>
      <c r="K7" s="3075">
        <v>0</v>
      </c>
      <c r="L7" s="3076">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2794</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1">
        <v>2022</v>
      </c>
      <c r="H8" s="2289">
        <v>2</v>
      </c>
      <c r="I8" s="3075">
        <v>0</v>
      </c>
      <c r="J8" s="3075">
        <v>0</v>
      </c>
      <c r="K8" s="3075">
        <v>0</v>
      </c>
      <c r="L8" s="3076">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2793</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1">
        <v>2022</v>
      </c>
      <c r="H9" s="2289">
        <v>1</v>
      </c>
      <c r="I9" s="3075">
        <v>0</v>
      </c>
      <c r="J9" s="3075">
        <v>0</v>
      </c>
      <c r="K9" s="3075">
        <v>0</v>
      </c>
      <c r="L9" s="3076">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2792</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0">
        <v>2021</v>
      </c>
      <c r="H10" s="2289">
        <v>4</v>
      </c>
      <c r="I10" s="3075">
        <v>1.03</v>
      </c>
      <c r="J10" s="3075">
        <v>0.24</v>
      </c>
      <c r="K10" s="3075">
        <v>1.17</v>
      </c>
      <c r="L10" s="3076">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2646</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7">
        <v>2021</v>
      </c>
      <c r="H11" s="2289">
        <v>3</v>
      </c>
      <c r="I11" s="3075">
        <v>0.47</v>
      </c>
      <c r="J11" s="3075">
        <v>0.41</v>
      </c>
      <c r="K11" s="3075">
        <v>0.48</v>
      </c>
      <c r="L11" s="3076">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2645</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4">
        <v>2021</v>
      </c>
      <c r="H12" s="2289">
        <v>2</v>
      </c>
      <c r="I12" s="3075">
        <v>0.92</v>
      </c>
      <c r="J12" s="3075">
        <v>0.72</v>
      </c>
      <c r="K12" s="3075">
        <v>0.95</v>
      </c>
      <c r="L12" s="3076">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2644</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3">
        <v>2021</v>
      </c>
      <c r="H13" s="2289">
        <v>1</v>
      </c>
      <c r="I13" s="3075">
        <v>0.97</v>
      </c>
      <c r="J13" s="3075">
        <v>0.16</v>
      </c>
      <c r="K13" s="3075">
        <v>1.1100000000000001</v>
      </c>
      <c r="L13" s="3076">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2638</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4">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2637</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3">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2493</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2490</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2488</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2486</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2480</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2481</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ht="14.25">
      <c r="A19" s="3065"/>
      <c r="B19" s="1209" t="s">
        <v>2639</v>
      </c>
      <c r="C19" s="1218">
        <v>43697</v>
      </c>
      <c r="D19" s="3066">
        <v>4.25</v>
      </c>
      <c r="E19" s="3066">
        <f t="shared" si="0"/>
        <v>4.25</v>
      </c>
      <c r="F19" s="3066">
        <f t="shared" si="1"/>
        <v>4.25</v>
      </c>
      <c r="G19" s="3066">
        <f t="shared" si="2"/>
        <v>4.25</v>
      </c>
      <c r="H19" s="3066">
        <v>4.8499999999999996</v>
      </c>
      <c r="I19" s="3066"/>
      <c r="J19" s="3066"/>
      <c r="K19" s="306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workbookViewId="0">
      <selection activeCell="J6" sqref="J6"/>
    </sheetView>
  </sheetViews>
  <sheetFormatPr defaultRowHeight="13.5"/>
  <sheetData>
    <row r="2" spans="1:10">
      <c r="A2" s="1269" t="s">
        <v>3028</v>
      </c>
      <c r="B2" s="1269" t="s">
        <v>3029</v>
      </c>
      <c r="C2" s="1269" t="s">
        <v>3030</v>
      </c>
      <c r="D2" s="1269" t="s">
        <v>3031</v>
      </c>
      <c r="E2" s="1269" t="s">
        <v>3032</v>
      </c>
      <c r="F2" s="1269" t="s">
        <v>3033</v>
      </c>
      <c r="I2" s="3322" t="s">
        <v>3034</v>
      </c>
    </row>
    <row r="3" spans="1:10">
      <c r="A3">
        <v>1</v>
      </c>
      <c r="B3" s="1269" t="s">
        <v>3035</v>
      </c>
      <c r="C3" s="1269" t="s">
        <v>3036</v>
      </c>
      <c r="D3">
        <v>464.13</v>
      </c>
      <c r="E3">
        <v>5</v>
      </c>
      <c r="F3" s="1269" t="s">
        <v>3037</v>
      </c>
      <c r="G3" s="1269" t="s">
        <v>3038</v>
      </c>
      <c r="H3" s="1269" t="s">
        <v>3039</v>
      </c>
      <c r="I3" s="3323">
        <v>13146482.25</v>
      </c>
      <c r="J3">
        <v>2013</v>
      </c>
    </row>
    <row r="4" spans="1:10">
      <c r="A4">
        <v>2</v>
      </c>
      <c r="B4" s="1269" t="s">
        <v>3040</v>
      </c>
      <c r="C4" s="1269" t="s">
        <v>3041</v>
      </c>
      <c r="D4">
        <v>398.43</v>
      </c>
      <c r="E4">
        <v>5</v>
      </c>
      <c r="F4" s="1269" t="s">
        <v>3037</v>
      </c>
      <c r="G4" s="1269" t="s">
        <v>3042</v>
      </c>
      <c r="H4" s="1269" t="s">
        <v>3043</v>
      </c>
      <c r="I4" s="3323">
        <v>11285529.75</v>
      </c>
      <c r="J4">
        <v>2013</v>
      </c>
    </row>
    <row r="5" spans="1:10">
      <c r="A5">
        <v>3</v>
      </c>
      <c r="B5" s="1269" t="s">
        <v>3044</v>
      </c>
      <c r="C5" s="1269" t="s">
        <v>3045</v>
      </c>
      <c r="D5">
        <v>285.95</v>
      </c>
      <c r="E5">
        <v>5</v>
      </c>
      <c r="F5" s="1269" t="s">
        <v>3037</v>
      </c>
      <c r="G5" s="1269" t="s">
        <v>3046</v>
      </c>
      <c r="H5" s="1269" t="s">
        <v>3043</v>
      </c>
      <c r="I5" s="3323">
        <v>8099533.75</v>
      </c>
      <c r="J5">
        <v>2013</v>
      </c>
    </row>
    <row r="6" spans="1:10">
      <c r="A6" s="3730" t="s">
        <v>3047</v>
      </c>
      <c r="B6" s="3731"/>
      <c r="C6" s="3731"/>
      <c r="D6">
        <f>SUM(D3:D5)</f>
        <v>1148.51</v>
      </c>
      <c r="I6" s="3323">
        <f>SUM(I3:I5)</f>
        <v>32531545.75</v>
      </c>
    </row>
  </sheetData>
  <mergeCells count="1">
    <mergeCell ref="A6:C6"/>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90"/>
      <c r="B3" s="1290"/>
      <c r="C3" s="1290"/>
      <c r="D3" s="1290"/>
      <c r="E3" s="1290"/>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7"/>
      <c r="B5" s="1291" t="s">
        <v>562</v>
      </c>
      <c r="C5" s="3343" t="s">
        <v>593</v>
      </c>
      <c r="D5" s="3344"/>
      <c r="E5" s="1287"/>
    </row>
    <row r="6" spans="1:5" ht="14.25">
      <c r="A6" s="1287"/>
      <c r="B6" s="1292" t="str">
        <f>项目基本情况!I1</f>
        <v>北京市房地产</v>
      </c>
      <c r="C6" s="3345">
        <f>项目基本情况!C12</f>
        <v>464.13</v>
      </c>
      <c r="D6" s="3345"/>
      <c r="E6" s="1287"/>
    </row>
    <row r="7" spans="1:5" ht="14.25">
      <c r="A7" s="1287"/>
      <c r="B7" s="3339" t="s">
        <v>594</v>
      </c>
      <c r="C7" s="1293" t="str">
        <f>IF('数据-取费表'!B3="万元","总价（万元）","总价（元）")</f>
        <v>总价（万元）</v>
      </c>
      <c r="D7" s="1294">
        <f ca="1">IF('数据-取费表'!E3="否",结果表!I102,'结果表 (1修多)'!I104)</f>
        <v>2007</v>
      </c>
      <c r="E7" s="1287"/>
    </row>
    <row r="8" spans="1:5" ht="14.25">
      <c r="A8" s="1287"/>
      <c r="B8" s="3339"/>
      <c r="C8" s="1295" t="s">
        <v>924</v>
      </c>
      <c r="D8" s="1296" t="str">
        <f ca="1">IF('数据-取费表'!B3="万元",NUMBERSTRING(INT(D7*10000),2)&amp;"元整",NUMBERSTRING(INT(D7),2)&amp;"元整")</f>
        <v>贰仟零柒万元整</v>
      </c>
      <c r="E8" s="1287"/>
    </row>
    <row r="9" spans="1:5" ht="14.25">
      <c r="A9" s="1287"/>
      <c r="B9" s="3339"/>
      <c r="C9" s="1297" t="s">
        <v>1020</v>
      </c>
      <c r="D9" s="1294">
        <f ca="1">IF('数据-取费表'!E3="否",结果表!I103,'结果表 (1修多)'!I105)</f>
        <v>43241</v>
      </c>
      <c r="E9" s="1287"/>
    </row>
    <row r="10" spans="1:5" ht="14.25">
      <c r="A10" s="1287"/>
      <c r="B10" s="334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6" t="str">
        <f>IF('数据-取费表'!E3="否",结果表!F110,'结果表 (1修多)'!F112)</f>
        <v>3.房地产抵押价值</v>
      </c>
      <c r="C15" s="1288" t="str">
        <f>C7</f>
        <v>总价（万元）</v>
      </c>
      <c r="D15" s="1294">
        <f ca="1">IF('数据-取费表'!E3="否",结果表!I110,'结果表 (1修多)'!I112)</f>
        <v>2007</v>
      </c>
      <c r="E15" s="1287"/>
    </row>
    <row r="16" spans="1:5" ht="14.25">
      <c r="A16" s="1287"/>
      <c r="B16" s="3346"/>
      <c r="C16" s="1295" t="s">
        <v>924</v>
      </c>
      <c r="D16" s="1294" t="str">
        <f ca="1">IF('数据-取费表'!B3="万元",NUMBERSTRING(INT(D15*10000),2)&amp;"元整",NUMBERSTRING(INT(D15),2)&amp;"元整")</f>
        <v>贰仟零柒万元整</v>
      </c>
      <c r="E16" s="1287"/>
    </row>
    <row r="17" spans="1:5" ht="14.25">
      <c r="A17" s="1287"/>
      <c r="B17" s="3346"/>
      <c r="C17" s="1297" t="s">
        <v>1020</v>
      </c>
      <c r="D17" s="1294">
        <f ca="1">IF('数据-取费表'!E3="否",结果表!I111,'结果表 (1修多)'!I113)</f>
        <v>43241</v>
      </c>
      <c r="E17" s="1287"/>
    </row>
    <row r="18" spans="1:5" ht="14.25">
      <c r="A18" s="1287"/>
      <c r="B18" s="3346" t="str">
        <f>IF('数据-取费表'!E3="否",结果表!F112,'结果表 (1修多)'!F114)</f>
        <v>——</v>
      </c>
      <c r="C18" s="1288" t="str">
        <f>C7</f>
        <v>总价（万元）</v>
      </c>
      <c r="D18" s="1294" t="str">
        <f>IF('数据-取费表'!E3="否",结果表!I112,'结果表 (1修多)'!I114)</f>
        <v>——</v>
      </c>
      <c r="E18" s="1287"/>
    </row>
    <row r="19" spans="1:5" ht="14.25">
      <c r="A19" s="1287"/>
      <c r="B19" s="3346"/>
      <c r="C19" s="1295" t="s">
        <v>924</v>
      </c>
      <c r="D19" s="1294" t="e">
        <f>IF('数据-取费表'!B3="万元",NUMBERSTRING(INT(D18*10000),2)&amp;"元整",NUMBERSTRING(INT(D18),2)&amp;"元整")</f>
        <v>#VALUE!</v>
      </c>
      <c r="E19" s="1287"/>
    </row>
    <row r="20" spans="1:5" ht="14.25">
      <c r="A20" s="1287"/>
      <c r="B20" s="3346"/>
      <c r="C20" s="1297" t="s">
        <v>1020</v>
      </c>
      <c r="D20" s="1294" t="str">
        <f>IF('数据-取费表'!E3="否",结果表!I113,'结果表 (1修多)'!I115)</f>
        <v>——</v>
      </c>
      <c r="E20" s="1287"/>
    </row>
    <row r="21" spans="1:5" ht="14.25">
      <c r="A21" s="1287"/>
      <c r="B21" s="3339" t="str">
        <f>IF('数据-取费表'!E3="否",结果表!F114,'结果表 (1修多)'!F116)</f>
        <v>4.抵押净值</v>
      </c>
      <c r="C21" s="1293" t="str">
        <f>C7</f>
        <v>总价（万元）</v>
      </c>
      <c r="D21" s="1294">
        <f ca="1">IF('数据-取费表'!E3="否",结果表!I114,'结果表 (1修多)'!I116)</f>
        <v>1809</v>
      </c>
      <c r="E21" s="1287"/>
    </row>
    <row r="22" spans="1:5" ht="14.25">
      <c r="A22" s="1287"/>
      <c r="B22" s="3339"/>
      <c r="C22" s="1295" t="s">
        <v>924</v>
      </c>
      <c r="D22" s="1296" t="str">
        <f ca="1">IF('数据-取费表'!B3="万元",NUMBERSTRING(INT(D21*10000),2)&amp;"元整",NUMBERSTRING(INT(D21),2)&amp;"元整")</f>
        <v>壹仟捌佰零玖万元整</v>
      </c>
      <c r="E22" s="1287"/>
    </row>
    <row r="23" spans="1:5" ht="15" thickBot="1">
      <c r="A23" s="1287"/>
      <c r="B23" s="3340"/>
      <c r="C23" s="1302" t="s">
        <v>1020</v>
      </c>
      <c r="D23" s="1303">
        <f ca="1">IF('数据-取费表'!E3="否",结果表!I115,'结果表 (1修多)'!I117)</f>
        <v>38976</v>
      </c>
      <c r="E23" s="1287"/>
    </row>
    <row r="24" spans="1:5" ht="14.25" thickTop="1">
      <c r="A24" s="1287"/>
      <c r="B24" s="1287"/>
      <c r="C24" s="1287"/>
      <c r="D24" s="1287"/>
      <c r="E24" s="1287"/>
    </row>
    <row r="25" spans="1:5" ht="18.75" customHeight="1" thickBot="1">
      <c r="A25" s="1287"/>
      <c r="B25" s="3331" t="s">
        <v>1021</v>
      </c>
      <c r="C25" s="3331"/>
      <c r="D25" s="3331"/>
      <c r="E25" s="1287"/>
    </row>
    <row r="26" spans="1:5" ht="18.75" customHeight="1" thickTop="1">
      <c r="A26" s="1287"/>
      <c r="B26" s="3334" t="s">
        <v>923</v>
      </c>
      <c r="C26" s="3335"/>
      <c r="D26" s="3332" t="s">
        <v>922</v>
      </c>
      <c r="E26" s="1287"/>
    </row>
    <row r="27" spans="1:5" ht="18.75" customHeight="1">
      <c r="A27" s="1287"/>
      <c r="B27" s="3336"/>
      <c r="C27" s="3337"/>
      <c r="D27" s="3333"/>
      <c r="E27" s="1287"/>
    </row>
    <row r="28" spans="1:5" ht="14.25">
      <c r="A28" s="1287"/>
      <c r="B28" s="3324" t="s">
        <v>594</v>
      </c>
      <c r="C28" s="1304" t="s">
        <v>925</v>
      </c>
      <c r="D28" s="1305">
        <f ca="1">IF('数据-取费表'!E3="否",结果表!I102,'结果表 (1修多)'!I104)</f>
        <v>2007</v>
      </c>
      <c r="E28" s="1287"/>
    </row>
    <row r="29" spans="1:5" ht="14.25">
      <c r="A29" s="1287"/>
      <c r="B29" s="3325"/>
      <c r="C29" s="1306" t="s">
        <v>924</v>
      </c>
      <c r="D29" s="1307" t="str">
        <f ca="1">IF('数据-取费表'!B3="万元",NUMBERSTRING(INT(D28*10000),2)&amp;"元整",NUMBERSTRING(INT(D28),2)&amp;"元整")</f>
        <v>贰仟零柒万元整</v>
      </c>
      <c r="E29" s="1287"/>
    </row>
    <row r="30" spans="1:5" ht="14.25">
      <c r="A30" s="1287"/>
      <c r="B30" s="3326"/>
      <c r="C30" s="1297" t="s">
        <v>927</v>
      </c>
      <c r="D30" s="1308">
        <f ca="1">IF('数据-取费表'!E3="否",结果表!I103,'结果表 (1修多)'!I105)</f>
        <v>43241</v>
      </c>
      <c r="E30" s="1287"/>
    </row>
    <row r="31" spans="1:5" ht="14.25">
      <c r="A31" s="1287"/>
      <c r="B31" s="3329" t="str">
        <f>B10</f>
        <v>2.估价师所知悉的法定优先受偿款</v>
      </c>
      <c r="C31" s="1309" t="s">
        <v>926</v>
      </c>
      <c r="D31" s="1310">
        <f>IF('数据-取费表'!E3="否",结果表!I105,'结果表 (1修多)'!I107)</f>
        <v>0</v>
      </c>
      <c r="E31" s="1287"/>
    </row>
    <row r="32" spans="1:5" ht="14.25">
      <c r="A32" s="1287"/>
      <c r="B32" s="333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7" t="str">
        <f>B15</f>
        <v>3.房地产抵押价值</v>
      </c>
      <c r="C36" s="1309" t="str">
        <f>C28</f>
        <v>总价</v>
      </c>
      <c r="D36" s="1310">
        <f ca="1">IF('数据-取费表'!E3="否",结果表!I110,'结果表 (1修多)'!I112)</f>
        <v>2007</v>
      </c>
      <c r="E36" s="1287"/>
    </row>
    <row r="37" spans="1:5" ht="14.25">
      <c r="A37" s="1287"/>
      <c r="B37" s="3327"/>
      <c r="C37" s="1306" t="s">
        <v>924</v>
      </c>
      <c r="D37" s="1311" t="str">
        <f ca="1">IF('数据-取费表'!B3="万元",NUMBERSTRING(INT(D36*10000),2)&amp;"元整",NUMBERSTRING(INT(D36),2)&amp;"元整")</f>
        <v>贰仟零柒万元整</v>
      </c>
      <c r="E37" s="1287"/>
    </row>
    <row r="38" spans="1:5" ht="14.25">
      <c r="A38" s="1287"/>
      <c r="B38" s="3327"/>
      <c r="C38" s="1297" t="s">
        <v>928</v>
      </c>
      <c r="D38" s="1308">
        <f ca="1">IF('数据-取费表'!E3="否",结果表!D113,'结果表 (1修多)'!D117)</f>
        <v>43241</v>
      </c>
      <c r="E38" s="1287"/>
    </row>
    <row r="39" spans="1:5" ht="14.25">
      <c r="A39" s="1287"/>
      <c r="B39" s="3328" t="str">
        <f>B18</f>
        <v>——</v>
      </c>
      <c r="C39" s="1309" t="str">
        <f>C28</f>
        <v>总价</v>
      </c>
      <c r="D39" s="1310" t="str">
        <f>IF('数据-取费表'!E3="否",结果表!I112,'结果表 (1修多)'!I114)</f>
        <v>——</v>
      </c>
      <c r="E39" s="1287"/>
    </row>
    <row r="40" spans="1:5" ht="14.25">
      <c r="A40" s="1287"/>
      <c r="B40" s="3328"/>
      <c r="C40" s="1306" t="s">
        <v>924</v>
      </c>
      <c r="D40" s="1311" t="e">
        <f>IF('数据-取费表'!B3="万元",NUMBERSTRING(INT(D39*10000),2)&amp;"元整",NUMBERSTRING(INT(D39),2)&amp;"元整")</f>
        <v>#VALUE!</v>
      </c>
      <c r="E40" s="1287"/>
    </row>
    <row r="41" spans="1:5" ht="14.25">
      <c r="A41" s="1287"/>
      <c r="B41" s="3328"/>
      <c r="C41" s="1297" t="s">
        <v>928</v>
      </c>
      <c r="D41" s="1308" t="str">
        <f>IF('数据-取费表'!E3="否",结果表!D115,'结果表 (1修多)'!D119)</f>
        <v>——</v>
      </c>
      <c r="E41" s="1287"/>
    </row>
    <row r="42" spans="1:5" ht="14.25">
      <c r="A42" s="1287"/>
      <c r="B42" s="3327" t="str">
        <f>B21</f>
        <v>4.抵押净值</v>
      </c>
      <c r="C42" s="1309" t="str">
        <f>C28</f>
        <v>总价</v>
      </c>
      <c r="D42" s="1310">
        <f ca="1">IF('数据-取费表'!E3="否",结果表!I114,'结果表 (1修多)'!I116)</f>
        <v>1809</v>
      </c>
      <c r="E42" s="1287"/>
    </row>
    <row r="43" spans="1:5" ht="14.25">
      <c r="A43" s="1287"/>
      <c r="B43" s="3329"/>
      <c r="C43" s="1306" t="s">
        <v>924</v>
      </c>
      <c r="D43" s="1312" t="str">
        <f ca="1">IF('数据-取费表'!B3="万元",NUMBERSTRING(INT(D42*10000),2)&amp;"元整",NUMBERSTRING(INT(D42),2)&amp;"元整")</f>
        <v>壹仟捌佰零玖万元整</v>
      </c>
      <c r="E43" s="1287"/>
    </row>
    <row r="44" spans="1:5" ht="15" thickBot="1">
      <c r="A44" s="1287"/>
      <c r="B44" s="3330"/>
      <c r="C44" s="1302" t="s">
        <v>928</v>
      </c>
      <c r="D44" s="1313">
        <f ca="1">IF('数据-取费表'!E3="否",结果表!D117,'结果表 (1修多)'!D121)</f>
        <v>38976</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464.13</v>
      </c>
      <c r="C4" s="776">
        <f>结果表!C121</f>
        <v>0</v>
      </c>
      <c r="D4" s="776">
        <f ca="1">IF('数据-取费表'!E3="否",结果表!D121,'结果表 (1修多)'!D125)</f>
        <v>1786</v>
      </c>
      <c r="E4" s="776">
        <f ca="1">IF('数据-取费表'!E3="否",结果表!E121,'结果表 (1修多)'!E125)</f>
        <v>38484</v>
      </c>
      <c r="F4" s="776">
        <f ca="1">IF('数据-取费表'!E3="否",结果表!F121,'结果表 (1修多)'!F125)</f>
        <v>221</v>
      </c>
      <c r="G4" s="776">
        <f ca="1">IF('数据-取费表'!E3="否",结果表!G121,'结果表 (1修多)'!G125)</f>
        <v>4757</v>
      </c>
      <c r="H4" s="776">
        <f ca="1">IF('数据-取费表'!E3="否",结果表!H121,'结果表 (1修多)'!H125)</f>
        <v>2007</v>
      </c>
      <c r="I4" s="776">
        <f ca="1">IF('数据-取费表'!E3="否",结果表!I121,'结果表 (1修多)'!I125)</f>
        <v>43241</v>
      </c>
    </row>
    <row r="5" spans="1:9" ht="15">
      <c r="A5" s="3347" t="s">
        <v>1030</v>
      </c>
      <c r="B5" s="3347"/>
      <c r="C5" s="3347"/>
      <c r="D5" s="3348" t="str">
        <f ca="1">IF('数据-取费表'!E3="否",结果表!D122,'结果表 (1修多)'!D126)</f>
        <v>壹仟柒佰捌拾陆万元整</v>
      </c>
      <c r="E5" s="3348"/>
      <c r="F5" s="3348" t="str">
        <f ca="1">IF('数据-取费表'!E3="否",结果表!F122,'结果表 (1修多)'!F126)</f>
        <v>贰佰贰拾壹万元整</v>
      </c>
      <c r="G5" s="3348"/>
      <c r="H5" s="3348" t="str">
        <f ca="1">IF('数据-取费表'!E3="否",结果表!H122,'结果表 (1修多)'!H126)</f>
        <v>贰仟零柒万元整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1030</v>
      </c>
      <c r="B7" s="3347"/>
      <c r="C7" s="3347"/>
      <c r="D7" s="3355">
        <f>IF('数据-取费表'!E3="否",结果表!D124,'结果表 (1修多)'!D128)</f>
        <v>0</v>
      </c>
      <c r="E7" s="3356"/>
      <c r="F7" s="3356"/>
      <c r="G7" s="3356"/>
      <c r="H7" s="3356"/>
      <c r="I7" s="3357"/>
    </row>
    <row r="8" spans="1:9" ht="15.75">
      <c r="A8" s="3349" t="str">
        <f>IF('数据-取费表'!E3="否",结果表!A125,'结果表 (1修多)'!A129)</f>
        <v>房地产抵押价值</v>
      </c>
      <c r="B8" s="3349"/>
      <c r="C8" s="3349"/>
      <c r="D8" s="3349">
        <f ca="1">IF('数据-取费表'!E3="否",结果表!D125,'结果表 (1修多)'!D129)</f>
        <v>2007</v>
      </c>
      <c r="E8" s="3349"/>
      <c r="F8" s="3349"/>
      <c r="G8" s="3349"/>
      <c r="H8" s="3349"/>
      <c r="I8" s="3349"/>
    </row>
    <row r="9" spans="1:9" ht="15">
      <c r="A9" s="3347" t="s">
        <v>1030</v>
      </c>
      <c r="B9" s="3347"/>
      <c r="C9" s="3347"/>
      <c r="D9" s="3348">
        <f ca="1">IF('数据-取费表'!E3="否",结果表!D126,'结果表 (1修多)'!D130)</f>
        <v>43241</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47" t="s">
        <v>1030</v>
      </c>
      <c r="B11" s="3347"/>
      <c r="C11" s="3347"/>
      <c r="D11" s="3348" t="str">
        <f>IF('数据-取费表'!E3="否",结果表!D128,'结果表 (1修多)'!D132)</f>
        <v>——</v>
      </c>
      <c r="E11" s="3348"/>
      <c r="F11" s="3348"/>
      <c r="G11" s="3348"/>
      <c r="H11" s="3348"/>
      <c r="I11" s="3348"/>
    </row>
    <row r="12" spans="1:9" ht="15.75">
      <c r="A12" s="3349" t="str">
        <f>IF('数据-取费表'!E3="否",结果表!A129,'结果表 (1修多)'!A133)</f>
        <v>抵押净值</v>
      </c>
      <c r="B12" s="3349"/>
      <c r="C12" s="3349"/>
      <c r="D12" s="3349">
        <f ca="1">IF('数据-取费表'!E3="否",结果表!D129,'结果表 (1修多)'!D133)</f>
        <v>1809</v>
      </c>
      <c r="E12" s="3349"/>
      <c r="F12" s="3349"/>
      <c r="G12" s="3349"/>
      <c r="H12" s="3349"/>
      <c r="I12" s="3349"/>
    </row>
    <row r="13" spans="1:9" ht="15.75" thickBot="1">
      <c r="A13" s="3350" t="s">
        <v>1030</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59" t="s">
        <v>1043</v>
      </c>
      <c r="B1" s="3359"/>
      <c r="C1" s="3359"/>
      <c r="D1" s="3359"/>
    </row>
    <row r="2" spans="1:4" ht="18">
      <c r="A2" s="3358" t="s">
        <v>1032</v>
      </c>
      <c r="B2" s="3358"/>
      <c r="C2" s="3358"/>
      <c r="D2" s="335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8" t="s">
        <v>1037</v>
      </c>
      <c r="B7" s="3358"/>
      <c r="C7" s="3358"/>
      <c r="D7" s="335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2494</v>
      </c>
      <c r="B12" s="3361"/>
      <c r="C12" s="3361"/>
      <c r="D12" s="3361"/>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60" t="str">
        <f>IF(项目基本情况!D4="抵押","4.本次评估估价师所知悉的法定优先受偿款情况说明如下：","——")</f>
        <v>4.本次评估估价师所知悉的法定优先受偿款情况说明如下：</v>
      </c>
      <c r="B15" s="3361"/>
      <c r="C15" s="3361"/>
      <c r="D15" s="3361"/>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2" t="s">
        <v>1045</v>
      </c>
      <c r="B17" s="3362"/>
      <c r="C17" s="3362"/>
      <c r="D17" s="3362"/>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2495</v>
      </c>
      <c r="B20" s="3362"/>
      <c r="C20" s="3362"/>
      <c r="D20" s="336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40" t="s">
        <v>1129</v>
      </c>
      <c r="B19" s="1341"/>
      <c r="C19" s="1342"/>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3" t="s">
        <v>1135</v>
      </c>
    </row>
    <row r="24" spans="1:3" ht="14.25">
      <c r="A24" s="3366"/>
      <c r="B24" s="3367"/>
      <c r="C24" s="1343" t="s">
        <v>1136</v>
      </c>
    </row>
    <row r="25" spans="1:3" ht="14.25">
      <c r="A25" s="3366"/>
      <c r="B25" s="3367"/>
      <c r="C25" s="1343" t="s">
        <v>1137</v>
      </c>
    </row>
    <row r="26" spans="1:3" ht="14.25">
      <c r="A26" s="3366"/>
      <c r="B26" s="3367"/>
      <c r="C26" s="1343" t="s">
        <v>1138</v>
      </c>
    </row>
    <row r="27" spans="1:3" ht="14.25">
      <c r="A27" s="3366"/>
      <c r="B27" s="3367"/>
      <c r="C27" s="1343" t="s">
        <v>1139</v>
      </c>
    </row>
    <row r="28" spans="1:3" ht="14.25">
      <c r="A28" s="3366"/>
      <c r="B28" s="3367"/>
      <c r="C28" s="1343" t="s">
        <v>1140</v>
      </c>
    </row>
    <row r="29" spans="1:3" ht="14.25">
      <c r="A29" s="3366"/>
      <c r="B29" s="3367"/>
      <c r="C29" s="1343" t="s">
        <v>1141</v>
      </c>
    </row>
    <row r="30" spans="1:3" ht="14.25">
      <c r="A30" s="3366"/>
      <c r="B30" s="3367"/>
      <c r="C30" s="1343" t="s">
        <v>1142</v>
      </c>
    </row>
    <row r="31" spans="1:3" ht="14.25">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44697</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f ca="1">IF(C11&lt;B2,"已过期",1120070131)</f>
        <v>1120070131</v>
      </c>
      <c r="C11" s="2985">
        <v>44849</v>
      </c>
      <c r="D11" s="2995" t="str">
        <f t="shared" ca="1" si="0"/>
        <v>郑燚（注册号：1120070131）</v>
      </c>
      <c r="E11" s="2997" t="s">
        <v>580</v>
      </c>
      <c r="F11" s="1230">
        <f ca="1">IF(G11&lt;B2,"已过期",2014110011)</f>
        <v>2014110011</v>
      </c>
      <c r="G11" s="2986">
        <v>49302</v>
      </c>
      <c r="H11" s="2987" t="str">
        <f t="shared" ca="1" si="1"/>
        <v>郑燚（注册号：2014110011）</v>
      </c>
    </row>
    <row r="12" spans="1:8" ht="24" customHeight="1">
      <c r="A12" s="1230" t="s">
        <v>2472</v>
      </c>
      <c r="B12" s="1230">
        <f ca="1">IF(C12&lt;B2,"已过期",1120040230)</f>
        <v>1120040230</v>
      </c>
      <c r="C12" s="2988">
        <v>44864</v>
      </c>
      <c r="D12" s="2995" t="str">
        <f t="shared" ca="1" si="0"/>
        <v>苏海（注册号：1120040230）</v>
      </c>
      <c r="E12" s="2997" t="s">
        <v>2472</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2487</v>
      </c>
      <c r="B14" s="1230">
        <f ca="1">IF(C14&lt;B2,"已过期",1119980106)</f>
        <v>1119980106</v>
      </c>
      <c r="C14" s="2988">
        <v>44969</v>
      </c>
      <c r="D14" s="2995" t="str">
        <f t="shared" ca="1" si="0"/>
        <v>刘俊财（注册号：1119980106）</v>
      </c>
      <c r="E14" s="2997" t="s">
        <v>2586</v>
      </c>
      <c r="F14" s="1230">
        <f ca="1">IF(G14&lt;B2,"已过期",96010063)</f>
        <v>96010063</v>
      </c>
      <c r="G14" s="2986">
        <v>47483</v>
      </c>
      <c r="H14" s="2987" t="str">
        <f t="shared" ca="1" si="1"/>
        <v>刘俊财（注册号：96010063）</v>
      </c>
    </row>
    <row r="15" spans="1:8" ht="24" customHeight="1">
      <c r="A15" s="1230" t="s">
        <v>2798</v>
      </c>
      <c r="B15" s="1230">
        <v>1120210056</v>
      </c>
      <c r="C15" s="2988">
        <v>45410</v>
      </c>
      <c r="D15" s="2995" t="str">
        <f t="shared" ref="D15" si="2">A15&amp;"（注册号："&amp;B15&amp;"）"</f>
        <v>宁小鳗（注册号：1120210056）</v>
      </c>
      <c r="E15" s="2997" t="s">
        <v>2589</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4"/>
      <c r="E18" s="3373" t="s">
        <v>584</v>
      </c>
      <c r="F18" s="3372"/>
      <c r="G18" s="3372"/>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2587</v>
      </c>
      <c r="B20" s="2991" t="s">
        <v>2588</v>
      </c>
      <c r="C20" s="2986">
        <v>44820</v>
      </c>
      <c r="D20" s="2998"/>
      <c r="E20" s="3000" t="s">
        <v>588</v>
      </c>
      <c r="F20" s="2993" t="s">
        <v>2799</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2787</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2020-08-03T08:20:51Z</cp:lastPrinted>
  <dcterms:created xsi:type="dcterms:W3CDTF">2015-07-13T07:17:23Z</dcterms:created>
  <dcterms:modified xsi:type="dcterms:W3CDTF">2022-05-16T05:21:19Z</dcterms:modified>
</cp:coreProperties>
</file>