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顺义波特兰花园\"/>
    </mc:Choice>
  </mc:AlternateContent>
  <xr:revisionPtr revIDLastSave="0" documentId="13_ncr:1_{05C01883-EDA6-4909-A747-9DC8098C8317}" xr6:coauthVersionLast="45" xr6:coauthVersionMax="45" xr10:uidLastSave="{00000000-0000-0000-0000-000000000000}"/>
  <bookViews>
    <workbookView xWindow="-120" yWindow="-120" windowWidth="20730" windowHeight="1116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土地级别" sheetId="85"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收益法" sheetId="15" r:id="rId20"/>
    <sheet name="租金案例" sheetId="86" r:id="rId21"/>
    <sheet name="比较法-商业" sheetId="33" state="hidden" r:id="rId22"/>
    <sheet name="比较法-商业租金" sheetId="83" state="hidden" r:id="rId23"/>
    <sheet name="比较法-住宅" sheetId="21" r:id="rId24"/>
    <sheet name="中指" sheetId="91" r:id="rId25"/>
    <sheet name="成交" sheetId="88" r:id="rId26"/>
    <sheet name="法拍" sheetId="90" r:id="rId27"/>
    <sheet name="挂牌" sheetId="87" r:id="rId28"/>
    <sheet name="成本法"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1" hidden="1">'比较法-商业'!$A$1:$L$49</definedName>
    <definedName name="_xlnm._FilterDatabase" localSheetId="22" hidden="1">'比较法-商业租金'!$A$1:$L$49</definedName>
    <definedName name="_xlnm._FilterDatabase" localSheetId="23"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2"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3">'比较法-住宅'!$A$1:$K$54,'比较法-住宅'!$A$57:$M$131</definedName>
    <definedName name="_xlnm.Print_Area" localSheetId="28">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30">假设开发法!$A$1:$K$32</definedName>
    <definedName name="_xlnm.Print_Area" localSheetId="18">结果表!$A$1:$I$127</definedName>
    <definedName name="_xlnm.Print_Area" localSheetId="19">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修正!$C$71:$C$138</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4" i="21" l="1"/>
  <c r="E44" i="21"/>
  <c r="A3" i="3"/>
  <c r="B14" i="74" l="1"/>
  <c r="AB58" i="21" l="1"/>
  <c r="AC58" i="21"/>
  <c r="AD58" i="21" s="1"/>
  <c r="AE58" i="21" s="1"/>
  <c r="AF58" i="21" s="1"/>
  <c r="AG58" i="21" s="1"/>
  <c r="AH58" i="21" s="1"/>
  <c r="AI58" i="21" s="1"/>
  <c r="AJ58" i="21" s="1"/>
  <c r="P58" i="21"/>
  <c r="Q58" i="21" s="1"/>
  <c r="R58" i="21" s="1"/>
  <c r="S58" i="21" s="1"/>
  <c r="T58" i="21" s="1"/>
  <c r="U58" i="21" s="1"/>
  <c r="V58" i="21" s="1"/>
  <c r="W58" i="21" s="1"/>
  <c r="X58" i="21" s="1"/>
  <c r="Y58" i="21" s="1"/>
  <c r="Z58" i="21" s="1"/>
  <c r="AA58" i="21" s="1"/>
  <c r="I7" i="21"/>
  <c r="I5" i="21"/>
  <c r="E5" i="21"/>
  <c r="G5" i="21"/>
  <c r="I44" i="21"/>
  <c r="I33" i="21"/>
  <c r="I47" i="21"/>
  <c r="J5" i="88"/>
  <c r="J4" i="88"/>
  <c r="E5" i="88"/>
  <c r="F5" i="88"/>
  <c r="B5" i="88"/>
  <c r="P9" i="90" l="1"/>
  <c r="P8" i="90"/>
  <c r="D3" i="4" l="1"/>
  <c r="C126" i="21" l="1"/>
  <c r="F126" i="21"/>
  <c r="E92" i="21"/>
  <c r="C92" i="21"/>
  <c r="M5" i="86"/>
  <c r="N3" i="86"/>
  <c r="N4" i="86"/>
  <c r="N2" i="86"/>
  <c r="N5" i="86" s="1"/>
  <c r="F19" i="6"/>
  <c r="N6" i="86" l="1"/>
  <c r="N7" i="86"/>
  <c r="I33" i="33"/>
  <c r="G33" i="33"/>
  <c r="E33" i="33"/>
  <c r="C33" i="33"/>
  <c r="C33" i="83" s="1"/>
  <c r="B130" i="83"/>
  <c r="B128" i="83"/>
  <c r="H45" i="83" s="1"/>
  <c r="B126" i="83"/>
  <c r="G125" i="83"/>
  <c r="E125" i="83"/>
  <c r="F125" i="83" s="1"/>
  <c r="D125" i="83"/>
  <c r="G123" i="83"/>
  <c r="H123" i="83" s="1"/>
  <c r="I123" i="83" s="1"/>
  <c r="J123" i="83" s="1"/>
  <c r="K123" i="83" s="1"/>
  <c r="L123" i="83" s="1"/>
  <c r="M123" i="83" s="1"/>
  <c r="E123" i="83"/>
  <c r="F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D87" i="83"/>
  <c r="E87" i="83" s="1"/>
  <c r="F87" i="83" s="1"/>
  <c r="G85" i="83"/>
  <c r="E85" i="83"/>
  <c r="F85" i="83" s="1"/>
  <c r="D85" i="83"/>
  <c r="E83" i="83"/>
  <c r="F83" i="83" s="1"/>
  <c r="G83" i="83" s="1"/>
  <c r="D83" i="83"/>
  <c r="G81" i="83"/>
  <c r="E81" i="83"/>
  <c r="F81" i="83" s="1"/>
  <c r="D81" i="83"/>
  <c r="E79" i="83"/>
  <c r="F79" i="83" s="1"/>
  <c r="G79" i="83" s="1"/>
  <c r="D79" i="83"/>
  <c r="G77" i="83"/>
  <c r="E77" i="83"/>
  <c r="F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V47" i="83"/>
  <c r="P47" i="83"/>
  <c r="G54" i="83"/>
  <c r="H54" i="83" s="1"/>
  <c r="AB46" i="83"/>
  <c r="U46" i="83"/>
  <c r="Q46" i="83"/>
  <c r="Z46" i="83" s="1"/>
  <c r="J46" i="83"/>
  <c r="AC46" i="83" s="1"/>
  <c r="H46" i="83"/>
  <c r="F46" i="83"/>
  <c r="AA46" i="83" s="1"/>
  <c r="AA45" i="83"/>
  <c r="S45" i="83"/>
  <c r="Q45" i="83"/>
  <c r="Z45" i="83" s="1"/>
  <c r="J45" i="83"/>
  <c r="AC45" i="83" s="1"/>
  <c r="F45" i="83"/>
  <c r="AB44" i="83"/>
  <c r="Q44" i="83"/>
  <c r="Z44" i="83" s="1"/>
  <c r="J44" i="83"/>
  <c r="AC44" i="83" s="1"/>
  <c r="H44" i="83"/>
  <c r="U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H36" i="83" s="1"/>
  <c r="Q35" i="83"/>
  <c r="Z35" i="83" s="1"/>
  <c r="J35" i="83"/>
  <c r="AC35" i="83" s="1"/>
  <c r="H35" i="83"/>
  <c r="AB35" i="83" s="1"/>
  <c r="F35" i="83"/>
  <c r="AA35" i="83" s="1"/>
  <c r="Q34" i="83"/>
  <c r="Z34" i="83" s="1"/>
  <c r="J34" i="83"/>
  <c r="AC34" i="83" s="1"/>
  <c r="H34" i="83"/>
  <c r="F34" i="83"/>
  <c r="AA34" i="83" s="1"/>
  <c r="Q33" i="83"/>
  <c r="Z33" i="83" s="1"/>
  <c r="Q32" i="83"/>
  <c r="Z32" i="83" s="1"/>
  <c r="J32" i="83"/>
  <c r="AC32" i="83" s="1"/>
  <c r="H32" i="83"/>
  <c r="AB32" i="83" s="1"/>
  <c r="F32" i="83"/>
  <c r="AA32" i="83" s="1"/>
  <c r="AC31" i="83"/>
  <c r="W31" i="83"/>
  <c r="Q31" i="83"/>
  <c r="Z31" i="83" s="1"/>
  <c r="J31" i="83"/>
  <c r="H31" i="83"/>
  <c r="AB31" i="83" s="1"/>
  <c r="F31" i="83"/>
  <c r="AA31" i="83" s="1"/>
  <c r="AB30" i="83"/>
  <c r="U30" i="83"/>
  <c r="Q30" i="83"/>
  <c r="Z30" i="83" s="1"/>
  <c r="J30" i="83"/>
  <c r="AC30" i="83" s="1"/>
  <c r="H30" i="83"/>
  <c r="F30" i="83"/>
  <c r="AA30" i="83" s="1"/>
  <c r="Q29" i="83"/>
  <c r="Z29" i="83" s="1"/>
  <c r="J29" i="83"/>
  <c r="AC29" i="83" s="1"/>
  <c r="H29" i="83"/>
  <c r="AB29" i="83" s="1"/>
  <c r="F29" i="83"/>
  <c r="AA29" i="83" s="1"/>
  <c r="Q28" i="83"/>
  <c r="Z28" i="83" s="1"/>
  <c r="J28" i="83"/>
  <c r="AC28" i="83" s="1"/>
  <c r="H28" i="83"/>
  <c r="AB28" i="83" s="1"/>
  <c r="F28" i="83"/>
  <c r="AA28" i="83" s="1"/>
  <c r="AC27" i="83"/>
  <c r="W27" i="83"/>
  <c r="Q27" i="83"/>
  <c r="Z27" i="83" s="1"/>
  <c r="J27" i="83"/>
  <c r="H27" i="83"/>
  <c r="AB27" i="83" s="1"/>
  <c r="F27" i="83"/>
  <c r="AA27" i="83" s="1"/>
  <c r="U26" i="83"/>
  <c r="Q26" i="83"/>
  <c r="Z26" i="83" s="1"/>
  <c r="J26" i="83"/>
  <c r="AC26" i="83" s="1"/>
  <c r="H26" i="83"/>
  <c r="AB26" i="83" s="1"/>
  <c r="F26" i="83"/>
  <c r="AA26" i="83" s="1"/>
  <c r="Q25" i="83"/>
  <c r="Z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AC13" i="83"/>
  <c r="W13" i="83"/>
  <c r="Q13" i="83"/>
  <c r="Z13" i="83" s="1"/>
  <c r="J13" i="83"/>
  <c r="H13" i="83"/>
  <c r="AB13" i="83" s="1"/>
  <c r="F13" i="83"/>
  <c r="AA13" i="83" s="1"/>
  <c r="AB12" i="83"/>
  <c r="U12" i="83"/>
  <c r="Q12" i="83"/>
  <c r="Z12" i="83" s="1"/>
  <c r="J12" i="83"/>
  <c r="AC12" i="83" s="1"/>
  <c r="H12" i="83"/>
  <c r="F12" i="83"/>
  <c r="AA12" i="83" s="1"/>
  <c r="Q11" i="83"/>
  <c r="Z11" i="83" s="1"/>
  <c r="J11" i="83"/>
  <c r="AC11" i="83" s="1"/>
  <c r="H11" i="83"/>
  <c r="AB11" i="83" s="1"/>
  <c r="F11" i="83"/>
  <c r="AA11" i="83" s="1"/>
  <c r="Q10" i="83"/>
  <c r="Z10" i="83" s="1"/>
  <c r="J10" i="83"/>
  <c r="AC10" i="83" s="1"/>
  <c r="H10" i="83"/>
  <c r="AB10" i="83" s="1"/>
  <c r="F10" i="83"/>
  <c r="AA10" i="83" s="1"/>
  <c r="AC9" i="83"/>
  <c r="W9" i="83"/>
  <c r="Q9" i="83"/>
  <c r="Z9" i="83" s="1"/>
  <c r="J9" i="83"/>
  <c r="H9" i="83"/>
  <c r="AB9" i="83" s="1"/>
  <c r="F9" i="83"/>
  <c r="AA9" i="83" s="1"/>
  <c r="W8" i="83"/>
  <c r="S8" i="83"/>
  <c r="J8" i="83"/>
  <c r="AC8" i="83" s="1"/>
  <c r="H8" i="83"/>
  <c r="U8" i="83" s="1"/>
  <c r="F8" i="83"/>
  <c r="AA8" i="83" s="1"/>
  <c r="D3" i="83"/>
  <c r="B2" i="83"/>
  <c r="D2" i="83"/>
  <c r="H33" i="83" l="1"/>
  <c r="AB33" i="83" s="1"/>
  <c r="J33" i="83"/>
  <c r="AC33" i="83" s="1"/>
  <c r="F33" i="83"/>
  <c r="AA33" i="83" s="1"/>
  <c r="J36" i="83"/>
  <c r="AC36" i="83" s="1"/>
  <c r="F36" i="83"/>
  <c r="AA36" i="83" s="1"/>
  <c r="G87" i="83"/>
  <c r="H87" i="83" s="1"/>
  <c r="I87" i="83" s="1"/>
  <c r="J87" i="83" s="1"/>
  <c r="K87" i="83" s="1"/>
  <c r="L87" i="83" s="1"/>
  <c r="M87" i="83" s="1"/>
  <c r="H25" i="83"/>
  <c r="AB25" i="83" s="1"/>
  <c r="J25" i="83"/>
  <c r="AC25" i="83" s="1"/>
  <c r="F25" i="83"/>
  <c r="AA25" i="83" s="1"/>
  <c r="AB8" i="83"/>
  <c r="S11" i="83"/>
  <c r="S25" i="83"/>
  <c r="S29" i="83"/>
  <c r="AB36" i="83"/>
  <c r="U36" i="83"/>
  <c r="S9" i="83"/>
  <c r="U10" i="83"/>
  <c r="W11" i="83"/>
  <c r="S13" i="83"/>
  <c r="U14" i="83"/>
  <c r="U15" i="83"/>
  <c r="U17" i="83"/>
  <c r="U19" i="83"/>
  <c r="U21" i="83"/>
  <c r="U23" i="83"/>
  <c r="W25" i="83"/>
  <c r="S27" i="83"/>
  <c r="U28" i="83"/>
  <c r="W29" i="83"/>
  <c r="S31" i="83"/>
  <c r="U32" i="83"/>
  <c r="W33" i="83"/>
  <c r="AB34" i="83"/>
  <c r="U34" i="83"/>
  <c r="U37" i="83"/>
  <c r="S38" i="83"/>
  <c r="W38" i="83"/>
  <c r="S40" i="83"/>
  <c r="W40" i="83"/>
  <c r="U41" i="83"/>
  <c r="S42" i="83"/>
  <c r="W42" i="83"/>
  <c r="U43" i="83"/>
  <c r="S44" i="83"/>
  <c r="W44" i="83"/>
  <c r="AB45" i="83"/>
  <c r="U45" i="83"/>
  <c r="S35" i="83"/>
  <c r="W35" i="83"/>
  <c r="S36" i="83"/>
  <c r="W36" i="83"/>
  <c r="U39" i="83"/>
  <c r="U9" i="83"/>
  <c r="S10" i="83"/>
  <c r="W10" i="83"/>
  <c r="U11" i="83"/>
  <c r="S12" i="83"/>
  <c r="W12" i="83"/>
  <c r="U13" i="83"/>
  <c r="S14" i="83"/>
  <c r="W14" i="83"/>
  <c r="S15" i="83"/>
  <c r="W15" i="83"/>
  <c r="S17" i="83"/>
  <c r="W17" i="83"/>
  <c r="S19" i="83"/>
  <c r="W19" i="83"/>
  <c r="S21" i="83"/>
  <c r="W21" i="83"/>
  <c r="S23" i="83"/>
  <c r="W23" i="83"/>
  <c r="U25" i="83"/>
  <c r="S26" i="83"/>
  <c r="W26" i="83"/>
  <c r="U27" i="83"/>
  <c r="S28" i="83"/>
  <c r="W28" i="83"/>
  <c r="U29" i="83"/>
  <c r="S30" i="83"/>
  <c r="W30" i="83"/>
  <c r="U31" i="83"/>
  <c r="S32" i="83"/>
  <c r="W32" i="83"/>
  <c r="S34" i="83"/>
  <c r="W34" i="83"/>
  <c r="U35" i="83"/>
  <c r="S37" i="83"/>
  <c r="W37" i="83"/>
  <c r="U38" i="83"/>
  <c r="S39" i="83"/>
  <c r="W39" i="83"/>
  <c r="U40" i="83"/>
  <c r="S41" i="83"/>
  <c r="W41" i="83"/>
  <c r="U42" i="83"/>
  <c r="S43" i="83"/>
  <c r="W43" i="83"/>
  <c r="W45" i="83"/>
  <c r="E54" i="83"/>
  <c r="F54" i="83" s="1"/>
  <c r="I54" i="83"/>
  <c r="J54" i="83" s="1"/>
  <c r="R47" i="83"/>
  <c r="S46" i="83"/>
  <c r="W46" i="83"/>
  <c r="T47" i="83"/>
  <c r="U33" i="83" l="1"/>
  <c r="S33" i="83"/>
  <c r="D5" i="9"/>
  <c r="I47" i="33"/>
  <c r="G47" i="33"/>
  <c r="E47" i="33"/>
  <c r="C36" i="33"/>
  <c r="I7" i="33"/>
  <c r="G7" i="33"/>
  <c r="E7" i="33"/>
  <c r="I5" i="33"/>
  <c r="G5" i="33"/>
  <c r="E5" i="33"/>
  <c r="Y6" i="1" l="1"/>
  <c r="B5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0" i="79" l="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D50" i="71"/>
  <c r="P28" i="71"/>
  <c r="AA3" i="71" s="1"/>
  <c r="E59" i="71"/>
  <c r="E60" i="71" s="1"/>
  <c r="U60" i="71" s="1"/>
  <c r="E63" i="71"/>
  <c r="E64" i="71"/>
  <c r="U64" i="71" s="1"/>
  <c r="Q65" i="71"/>
  <c r="U68" i="71"/>
  <c r="E67" i="71"/>
  <c r="E66" i="71" s="1"/>
  <c r="Q28" i="71"/>
  <c r="C55" i="71"/>
  <c r="D55" i="71" s="1"/>
  <c r="D54" i="71"/>
  <c r="C59" i="71"/>
  <c r="D59" i="71" s="1"/>
  <c r="D58" i="71"/>
  <c r="C63" i="71"/>
  <c r="C64" i="71" s="1"/>
  <c r="Q67" i="71"/>
  <c r="T68" i="71"/>
  <c r="O68" i="71"/>
  <c r="D68" i="71"/>
  <c r="C67" i="71"/>
  <c r="O67" i="71" s="1"/>
  <c r="Q68" i="71"/>
  <c r="C71" i="71"/>
  <c r="D71" i="71" s="1"/>
  <c r="E71" i="71"/>
  <c r="E70" i="71"/>
  <c r="C75" i="71"/>
  <c r="C74" i="71" s="1"/>
  <c r="D74" i="71" s="1"/>
  <c r="E75" i="71"/>
  <c r="E74" i="71"/>
  <c r="D76" i="71"/>
  <c r="C79" i="71"/>
  <c r="C78" i="71" s="1"/>
  <c r="D78" i="71" s="1"/>
  <c r="E79" i="71"/>
  <c r="E78"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D83" i="21"/>
  <c r="F21" i="21"/>
  <c r="AA21" i="21" s="1"/>
  <c r="D81" i="21"/>
  <c r="G20" i="20"/>
  <c r="B88" i="43"/>
  <c r="C22" i="20"/>
  <c r="B100" i="43" s="1"/>
  <c r="B77" i="43"/>
  <c r="B57" i="43"/>
  <c r="B68" i="43"/>
  <c r="C25" i="40"/>
  <c r="C29" i="39"/>
  <c r="S25" i="40"/>
  <c r="S18" i="36"/>
  <c r="U18" i="36"/>
  <c r="S21" i="34"/>
  <c r="F94" i="40"/>
  <c r="H25" i="40"/>
  <c r="AB25" i="40" s="1"/>
  <c r="G94" i="40"/>
  <c r="J25" i="40"/>
  <c r="AC25" i="40" s="1"/>
  <c r="H29" i="39"/>
  <c r="AB29" i="39" s="1"/>
  <c r="J29" i="39"/>
  <c r="AC29" i="39" s="1"/>
  <c r="J18" i="36"/>
  <c r="AC18" i="36" s="1"/>
  <c r="F68" i="35"/>
  <c r="H18" i="35"/>
  <c r="AB18" i="35" s="1"/>
  <c r="S18" i="35"/>
  <c r="G68" i="35"/>
  <c r="J18" i="35"/>
  <c r="F77" i="37"/>
  <c r="G77" i="37" s="1"/>
  <c r="H21" i="37"/>
  <c r="F21" i="37"/>
  <c r="AA21" i="37" s="1"/>
  <c r="F84" i="34"/>
  <c r="H21" i="34"/>
  <c r="AB21" i="34" s="1"/>
  <c r="H21" i="33"/>
  <c r="U21" i="33" s="1"/>
  <c r="F21" i="33"/>
  <c r="S21" i="33" s="1"/>
  <c r="E83" i="21"/>
  <c r="H1" i="69"/>
  <c r="W25" i="40"/>
  <c r="U25" i="40"/>
  <c r="U29" i="39"/>
  <c r="W29" i="39"/>
  <c r="W18" i="36"/>
  <c r="AB21" i="37"/>
  <c r="U21" i="37"/>
  <c r="S21" i="37"/>
  <c r="U21" i="34"/>
  <c r="AB21" i="33"/>
  <c r="AA21" i="33"/>
  <c r="U18" i="35"/>
  <c r="AC18" i="35"/>
  <c r="W18" i="35"/>
  <c r="J21" i="37"/>
  <c r="G84" i="34"/>
  <c r="J21" i="34"/>
  <c r="J21" i="33"/>
  <c r="W21" i="33" s="1"/>
  <c r="F83" i="21"/>
  <c r="H21" i="21"/>
  <c r="U21" i="21" s="1"/>
  <c r="F38" i="69"/>
  <c r="E37" i="69"/>
  <c r="F36" i="69"/>
  <c r="F35" i="69"/>
  <c r="F21" i="69"/>
  <c r="F40" i="69" s="1"/>
  <c r="F20" i="69"/>
  <c r="F39" i="69" s="1"/>
  <c r="E10" i="69"/>
  <c r="E9" i="69"/>
  <c r="C7" i="69"/>
  <c r="AC21" i="37"/>
  <c r="W21" i="37"/>
  <c r="AC21" i="34"/>
  <c r="W21" i="34"/>
  <c r="AC21" i="33"/>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D55" i="43"/>
  <c r="D54" i="43"/>
  <c r="D53" i="43"/>
  <c r="D52" i="43"/>
  <c r="D51"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AC494" i="3"/>
  <c r="BB494" i="3"/>
  <c r="BA494" i="3" s="1"/>
  <c r="AZ494" i="3" s="1"/>
  <c r="BC494" i="3"/>
  <c r="BD494" i="3"/>
  <c r="BE494" i="3"/>
  <c r="BF494" i="3"/>
  <c r="BF5" i="3" s="1"/>
  <c r="BG494" i="3"/>
  <c r="BH494" i="3"/>
  <c r="BI494" i="3"/>
  <c r="BJ494" i="3"/>
  <c r="BJ5" i="3" s="1"/>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H33" i="36" s="1"/>
  <c r="B91" i="36"/>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H23" i="35"/>
  <c r="U23" i="35" s="1"/>
  <c r="B57" i="35"/>
  <c r="B61" i="35"/>
  <c r="B59" i="35"/>
  <c r="H12" i="35" s="1"/>
  <c r="U12" i="35" s="1"/>
  <c r="B131" i="34"/>
  <c r="B129" i="34"/>
  <c r="J46" i="34" s="1"/>
  <c r="B127" i="34"/>
  <c r="B99" i="34"/>
  <c r="F32" i="34" s="1"/>
  <c r="B97" i="34"/>
  <c r="B95" i="34"/>
  <c r="H30" i="34" s="1"/>
  <c r="B93" i="34"/>
  <c r="B75" i="34"/>
  <c r="J14" i="34" s="1"/>
  <c r="B73" i="34"/>
  <c r="B71" i="34"/>
  <c r="H12" i="34" s="1"/>
  <c r="B130" i="33"/>
  <c r="B128" i="33"/>
  <c r="J45" i="33" s="1"/>
  <c r="B126" i="33"/>
  <c r="B98" i="33"/>
  <c r="F31" i="33" s="1"/>
  <c r="B96" i="33"/>
  <c r="B94" i="33"/>
  <c r="J29" i="33" s="1"/>
  <c r="B74" i="33"/>
  <c r="B72" i="33"/>
  <c r="H13" i="33" s="1"/>
  <c r="U13" i="33" s="1"/>
  <c r="B70" i="33"/>
  <c r="J12" i="33"/>
  <c r="W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c r="D123" i="21"/>
  <c r="E123" i="21"/>
  <c r="F123" i="21" s="1"/>
  <c r="F42" i="2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F19" i="21"/>
  <c r="AA19" i="21" s="1"/>
  <c r="E81" i="21"/>
  <c r="H19" i="21" s="1"/>
  <c r="F81" i="21"/>
  <c r="G81" i="21" s="1"/>
  <c r="D77" i="21"/>
  <c r="E77" i="21" s="1"/>
  <c r="B130" i="21"/>
  <c r="H46" i="21" s="1"/>
  <c r="B128" i="21"/>
  <c r="J45" i="21"/>
  <c r="W45" i="21" s="1"/>
  <c r="B126" i="21"/>
  <c r="B98" i="21"/>
  <c r="H31" i="21" s="1"/>
  <c r="B96" i="21"/>
  <c r="H30" i="21" s="1"/>
  <c r="B94" i="21"/>
  <c r="J29" i="21" s="1"/>
  <c r="AC29" i="21"/>
  <c r="B92" i="21"/>
  <c r="B90" i="21"/>
  <c r="J27" i="21" s="1"/>
  <c r="W27" i="21" s="1"/>
  <c r="B74" i="21"/>
  <c r="J14" i="21" s="1"/>
  <c r="B72" i="21"/>
  <c r="H13" i="21" s="1"/>
  <c r="B70" i="21"/>
  <c r="H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J19" i="21"/>
  <c r="W19" i="21" s="1"/>
  <c r="J26" i="21"/>
  <c r="W26" i="21" s="1"/>
  <c r="F26" i="21"/>
  <c r="S26" i="21" s="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H39" i="33"/>
  <c r="AB39" i="33" s="1"/>
  <c r="F26" i="33"/>
  <c r="AA26" i="33" s="1"/>
  <c r="S40" i="33"/>
  <c r="W33"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C21" i="39"/>
  <c r="H11" i="39"/>
  <c r="S40" i="39"/>
  <c r="H32" i="33"/>
  <c r="H11" i="21"/>
  <c r="U11" i="21" s="1"/>
  <c r="J11" i="21"/>
  <c r="W11" i="21" s="1"/>
  <c r="H37" i="40"/>
  <c r="U37" i="40" s="1"/>
  <c r="H36" i="40"/>
  <c r="AB36" i="40" s="1"/>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F41" i="33"/>
  <c r="AA41" i="33"/>
  <c r="S38" i="33"/>
  <c r="E113" i="33"/>
  <c r="F37"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F14" i="21"/>
  <c r="S14" i="21" s="1"/>
  <c r="H28" i="21"/>
  <c r="AB28" i="21" s="1"/>
  <c r="F28" i="21"/>
  <c r="AA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H29" i="21"/>
  <c r="U29" i="21" s="1"/>
  <c r="J31" i="21"/>
  <c r="AC31" i="21" s="1"/>
  <c r="F45" i="21"/>
  <c r="AA45" i="21" s="1"/>
  <c r="F13" i="33"/>
  <c r="S13" i="33" s="1"/>
  <c r="H29" i="33"/>
  <c r="U29" i="33" s="1"/>
  <c r="J31" i="33"/>
  <c r="H45" i="33"/>
  <c r="U45" i="33" s="1"/>
  <c r="F45" i="33"/>
  <c r="F14" i="34"/>
  <c r="S14" i="34" s="1"/>
  <c r="F30" i="34"/>
  <c r="S30" i="34" s="1"/>
  <c r="H32" i="34"/>
  <c r="H46" i="34"/>
  <c r="U46" i="34" s="1"/>
  <c r="H11" i="35"/>
  <c r="AB11" i="35" s="1"/>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s="1"/>
  <c r="F30" i="33"/>
  <c r="AA30" i="33" s="1"/>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F14" i="37"/>
  <c r="S14" i="37"/>
  <c r="F13" i="39"/>
  <c r="J13" i="39"/>
  <c r="W13" i="39" s="1"/>
  <c r="H13" i="39"/>
  <c r="H14" i="40"/>
  <c r="J14" i="40"/>
  <c r="W14" i="40" s="1"/>
  <c r="F14" i="40"/>
  <c r="AA14" i="40" s="1"/>
  <c r="J14" i="37"/>
  <c r="J27" i="37"/>
  <c r="AC27" i="37" s="1"/>
  <c r="U31" i="34"/>
  <c r="J36" i="37"/>
  <c r="AC36" i="37"/>
  <c r="J10" i="36"/>
  <c r="AC10" i="36" s="1"/>
  <c r="AA14" i="37"/>
  <c r="W31" i="34"/>
  <c r="W13" i="36"/>
  <c r="S11" i="36"/>
  <c r="AA14" i="34"/>
  <c r="BA586" i="3"/>
  <c r="H17" i="21"/>
  <c r="AB17" i="21" s="1"/>
  <c r="F15" i="21"/>
  <c r="S15" i="21" s="1"/>
  <c r="J41" i="39"/>
  <c r="W41" i="39" s="1"/>
  <c r="W35"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A36" i="39"/>
  <c r="F39" i="33"/>
  <c r="AA39" i="33" s="1"/>
  <c r="E123" i="33"/>
  <c r="F42" i="33"/>
  <c r="AA42" i="33"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W23" i="35"/>
  <c r="AB28" i="37"/>
  <c r="U39" i="37"/>
  <c r="W26" i="37"/>
  <c r="U26" i="37"/>
  <c r="AA13" i="33"/>
  <c r="W44" i="21"/>
  <c r="F43" i="33"/>
  <c r="S43" i="33" s="1"/>
  <c r="W15" i="34"/>
  <c r="AC15" i="34"/>
  <c r="W16" i="35"/>
  <c r="W40" i="37"/>
  <c r="H37" i="21"/>
  <c r="U37" i="21" s="1"/>
  <c r="H19" i="34"/>
  <c r="AB19" i="34" s="1"/>
  <c r="F36" i="35"/>
  <c r="S36" i="35" s="1"/>
  <c r="J9" i="37"/>
  <c r="W9" i="37" s="1"/>
  <c r="F9" i="37"/>
  <c r="S9" i="37" s="1"/>
  <c r="H12" i="37"/>
  <c r="AB12" i="37" s="1"/>
  <c r="E71" i="37"/>
  <c r="F71" i="37" s="1"/>
  <c r="F15" i="37"/>
  <c r="AA15" i="37"/>
  <c r="F31" i="37"/>
  <c r="S31" i="37" s="1"/>
  <c r="F12" i="39"/>
  <c r="S12" i="39" s="1"/>
  <c r="J42" i="39"/>
  <c r="AC42" i="39" s="1"/>
  <c r="H21" i="40"/>
  <c r="AB21" i="40" s="1"/>
  <c r="G94" i="37"/>
  <c r="H94" i="37" s="1"/>
  <c r="I94" i="37" s="1"/>
  <c r="J94" i="37" s="1"/>
  <c r="K94" i="37" s="1"/>
  <c r="L94" i="37" s="1"/>
  <c r="M94" i="37" s="1"/>
  <c r="H31" i="37"/>
  <c r="U31" i="37"/>
  <c r="G71" i="37"/>
  <c r="J15" i="37"/>
  <c r="W15" i="37"/>
  <c r="AT6"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G548" i="3"/>
  <c r="G538" i="3"/>
  <c r="G502" i="3"/>
  <c r="BP5" i="3"/>
  <c r="AZ343" i="3"/>
  <c r="BI5"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G54" i="43" s="1"/>
  <c r="M54" i="43" s="1"/>
  <c r="N54" i="43" s="1"/>
  <c r="F72" i="43"/>
  <c r="H75" i="43" s="1"/>
  <c r="G75" i="43" s="1"/>
  <c r="M75" i="43" s="1"/>
  <c r="N75" i="43" s="1"/>
  <c r="U17" i="39"/>
  <c r="S14" i="35"/>
  <c r="U43" i="21"/>
  <c r="AC35" i="21"/>
  <c r="G8" i="1"/>
  <c r="G10" i="1"/>
  <c r="AZ563" i="3"/>
  <c r="W37" i="37"/>
  <c r="W44" i="34"/>
  <c r="AC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W27" i="34"/>
  <c r="AB34" i="36"/>
  <c r="U34" i="36"/>
  <c r="AB33" i="36"/>
  <c r="U33" i="36"/>
  <c r="AC12" i="39"/>
  <c r="W12" i="39"/>
  <c r="AC39" i="40"/>
  <c r="W39" i="40"/>
  <c r="AZ401" i="3"/>
  <c r="AZ412" i="3"/>
  <c r="AZ417" i="3"/>
  <c r="AZ428" i="3"/>
  <c r="AZ433" i="3"/>
  <c r="AZ465" i="3"/>
  <c r="AC12" i="33"/>
  <c r="AZ550" i="3"/>
  <c r="AZ408" i="3"/>
  <c r="AZ437" i="3"/>
  <c r="AZ441" i="3"/>
  <c r="AZ457" i="3"/>
  <c r="AZ473" i="3"/>
  <c r="AZ490" i="3"/>
  <c r="BL14" i="3"/>
  <c r="AZ266" i="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AB37" i="40"/>
  <c r="S35" i="40"/>
  <c r="U35" i="40"/>
  <c r="AC36" i="40"/>
  <c r="W38" i="40"/>
  <c r="AA32" i="40"/>
  <c r="S17" i="40"/>
  <c r="S23" i="40"/>
  <c r="AC17" i="40"/>
  <c r="AB27" i="40"/>
  <c r="S30" i="40"/>
  <c r="AA19" i="40"/>
  <c r="S28" i="40"/>
  <c r="AA27" i="40"/>
  <c r="AB19" i="40"/>
  <c r="S43"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U12" i="39"/>
  <c r="U13" i="36"/>
  <c r="U26" i="36"/>
  <c r="S33" i="36"/>
  <c r="AA34" i="36"/>
  <c r="AA22" i="36"/>
  <c r="W14" i="36"/>
  <c r="AB14" i="36"/>
  <c r="U22" i="36"/>
  <c r="S16" i="36"/>
  <c r="AA25" i="36"/>
  <c r="S24" i="36"/>
  <c r="U24" i="36"/>
  <c r="U16" i="36"/>
  <c r="AA25" i="35"/>
  <c r="AB13" i="35"/>
  <c r="U29" i="35"/>
  <c r="U28" i="35"/>
  <c r="AB27" i="35"/>
  <c r="U32" i="35"/>
  <c r="AA33" i="35"/>
  <c r="AC30" i="35"/>
  <c r="S32" i="35"/>
  <c r="AA36" i="35"/>
  <c r="AB16" i="35"/>
  <c r="S20" i="35"/>
  <c r="S22" i="35"/>
  <c r="U14" i="35"/>
  <c r="AC9" i="35"/>
  <c r="W9" i="35"/>
  <c r="W13" i="35"/>
  <c r="F9" i="35"/>
  <c r="S9" i="35" s="1"/>
  <c r="H9" i="35"/>
  <c r="U9" i="35" s="1"/>
  <c r="S25" i="37"/>
  <c r="S26" i="37"/>
  <c r="U29" i="37"/>
  <c r="S32" i="37"/>
  <c r="AB31" i="37"/>
  <c r="W30" i="37"/>
  <c r="S36"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3" i="34"/>
  <c r="W41" i="34"/>
  <c r="AC42" i="34"/>
  <c r="AB35" i="34"/>
  <c r="U39" i="34"/>
  <c r="S43" i="34"/>
  <c r="AA45" i="34"/>
  <c r="S17" i="34"/>
  <c r="AA29" i="34"/>
  <c r="U27" i="34"/>
  <c r="S23" i="34"/>
  <c r="U15" i="34"/>
  <c r="S13" i="34"/>
  <c r="H10" i="34"/>
  <c r="AB10" i="34" s="1"/>
  <c r="F11" i="34"/>
  <c r="S11" i="34" s="1"/>
  <c r="W38" i="33"/>
  <c r="H41" i="33"/>
  <c r="F121" i="33"/>
  <c r="G121" i="33" s="1"/>
  <c r="H121" i="33" s="1"/>
  <c r="I121" i="33" s="1"/>
  <c r="J121" i="33" s="1"/>
  <c r="K121" i="33" s="1"/>
  <c r="L121" i="33" s="1"/>
  <c r="M121" i="33" s="1"/>
  <c r="F36" i="33"/>
  <c r="AA36" i="33" s="1"/>
  <c r="G111" i="33"/>
  <c r="H111" i="33" s="1"/>
  <c r="I111" i="33" s="1"/>
  <c r="J111" i="33" s="1"/>
  <c r="K111" i="33" s="1"/>
  <c r="L111" i="33" s="1"/>
  <c r="M111" i="33" s="1"/>
  <c r="J35" i="33"/>
  <c r="W35" i="33" s="1"/>
  <c r="S39" i="33"/>
  <c r="J32" i="33"/>
  <c r="AC32" i="33" s="1"/>
  <c r="S46" i="33"/>
  <c r="J23" i="33"/>
  <c r="AC23" i="33" s="1"/>
  <c r="H23" i="33"/>
  <c r="U23" i="33" s="1"/>
  <c r="F81" i="33"/>
  <c r="F19" i="33"/>
  <c r="S19" i="33" s="1"/>
  <c r="W19" i="33"/>
  <c r="J17" i="33"/>
  <c r="AC17" i="33" s="1"/>
  <c r="U9" i="33"/>
  <c r="J10" i="33"/>
  <c r="W10" i="33" s="1"/>
  <c r="H10" i="33"/>
  <c r="U10" i="33" s="1"/>
  <c r="AC11" i="33"/>
  <c r="AB14" i="33"/>
  <c r="W43" i="21"/>
  <c r="W41" i="21"/>
  <c r="AA43" i="21"/>
  <c r="AA38" i="21"/>
  <c r="AA36" i="21"/>
  <c r="AC40" i="21"/>
  <c r="J15" i="21"/>
  <c r="W15" i="21" s="1"/>
  <c r="F77" i="21"/>
  <c r="G77" i="21"/>
  <c r="F23" i="21"/>
  <c r="S23" i="21" s="1"/>
  <c r="M20" i="67"/>
  <c r="BA13" i="3"/>
  <c r="BL17" i="3"/>
  <c r="AZ17" i="3"/>
  <c r="BL13" i="3"/>
  <c r="J56" i="9"/>
  <c r="J57" i="9" s="1"/>
  <c r="J59" i="9" s="1"/>
  <c r="J61" i="9" s="1"/>
  <c r="U29" i="34"/>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U32" i="34"/>
  <c r="AB32" i="34"/>
  <c r="AC43" i="34"/>
  <c r="W43" i="34"/>
  <c r="W23" i="34"/>
  <c r="AC23" i="34"/>
  <c r="AC35" i="34"/>
  <c r="W35" i="34"/>
  <c r="W46" i="33"/>
  <c r="U38" i="33"/>
  <c r="U44" i="33"/>
  <c r="AB44" i="33"/>
  <c r="S30" i="33"/>
  <c r="AC14" i="33"/>
  <c r="W14" i="33"/>
  <c r="AC30" i="33"/>
  <c r="W30" i="33"/>
  <c r="S31" i="33"/>
  <c r="AA31" i="33"/>
  <c r="U15" i="33"/>
  <c r="S11" i="33"/>
  <c r="AB42" i="21"/>
  <c r="F37" i="21"/>
  <c r="AA37" i="21"/>
  <c r="AA26" i="21"/>
  <c r="U40" i="21"/>
  <c r="U13" i="21"/>
  <c r="AB13" i="21"/>
  <c r="S35" i="21"/>
  <c r="J37" i="21"/>
  <c r="W37" i="21" s="1"/>
  <c r="H15" i="21"/>
  <c r="U15" i="21" s="1"/>
  <c r="J17" i="21"/>
  <c r="AC17" i="21" s="1"/>
  <c r="AC19" i="21"/>
  <c r="H45" i="21"/>
  <c r="U45" i="21" s="1"/>
  <c r="F29" i="21"/>
  <c r="S29" i="21"/>
  <c r="F13" i="21"/>
  <c r="AA13" i="21" s="1"/>
  <c r="H32" i="21"/>
  <c r="AB32" i="21" s="1"/>
  <c r="H9" i="21"/>
  <c r="J9" i="21"/>
  <c r="F32" i="21"/>
  <c r="S32" i="21" s="1"/>
  <c r="U17" i="21"/>
  <c r="W29" i="21"/>
  <c r="S19" i="21"/>
  <c r="AA9" i="21"/>
  <c r="K141" i="21"/>
  <c r="K144" i="21"/>
  <c r="K143" i="21"/>
  <c r="AB25" i="21"/>
  <c r="W13" i="21"/>
  <c r="AC45" i="21"/>
  <c r="F10" i="21"/>
  <c r="AA10" i="21" s="1"/>
  <c r="K145" i="21"/>
  <c r="W25" i="21"/>
  <c r="AA29"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J36" i="33"/>
  <c r="W36" i="33" s="1"/>
  <c r="H36" i="33"/>
  <c r="U36" i="33" s="1"/>
  <c r="S36" i="33"/>
  <c r="AB23" i="33"/>
  <c r="F23" i="33"/>
  <c r="AA23" i="33" s="1"/>
  <c r="W23" i="33"/>
  <c r="AA19" i="33"/>
  <c r="H19" i="33"/>
  <c r="G81" i="33"/>
  <c r="H17" i="33"/>
  <c r="U17" i="33" s="1"/>
  <c r="W17" i="33"/>
  <c r="S37" i="21"/>
  <c r="J23" i="21"/>
  <c r="AC23" i="21" s="1"/>
  <c r="G85" i="21"/>
  <c r="H23" i="21"/>
  <c r="AB23" i="21" s="1"/>
  <c r="AP7" i="1"/>
  <c r="AB45" i="21"/>
  <c r="AB9" i="21"/>
  <c r="U9" i="21"/>
  <c r="W9" i="21"/>
  <c r="AC9"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B19" i="33"/>
  <c r="U19" i="33"/>
  <c r="U23" i="21"/>
  <c r="W23" i="21"/>
  <c r="H109" i="9"/>
  <c r="M49" i="9" s="1"/>
  <c r="D16" i="53"/>
  <c r="B34" i="72" s="1"/>
  <c r="H112" i="9"/>
  <c r="D21" i="53"/>
  <c r="B39" i="72" s="1"/>
  <c r="H111" i="9"/>
  <c r="D126" i="9" s="1"/>
  <c r="D19" i="53"/>
  <c r="B38" i="72" s="1"/>
  <c r="AD3" i="71"/>
  <c r="J1" i="7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C76" i="67"/>
  <c r="M23" i="15"/>
  <c r="B11" i="76"/>
  <c r="D35" i="9"/>
  <c r="F4" i="73"/>
  <c r="F37" i="67"/>
  <c r="L48" i="67"/>
  <c r="D34" i="9"/>
  <c r="M22" i="67"/>
  <c r="B13" i="76"/>
  <c r="M8" i="15"/>
  <c r="F16" i="67"/>
  <c r="E12" i="76"/>
  <c r="B10" i="76"/>
  <c r="F42" i="15"/>
  <c r="B8" i="76"/>
  <c r="B12" i="76"/>
  <c r="E8" i="76"/>
  <c r="E2" i="68"/>
  <c r="F6" i="67"/>
  <c r="M29" i="67"/>
  <c r="F36" i="67"/>
  <c r="F37" i="15"/>
  <c r="M6" i="67"/>
  <c r="F3" i="73"/>
  <c r="F43" i="15"/>
  <c r="F16" i="15"/>
  <c r="F13" i="15"/>
  <c r="M8" i="67"/>
  <c r="M23" i="67"/>
  <c r="F40" i="67"/>
  <c r="B7" i="76"/>
  <c r="E10" i="76"/>
  <c r="M24" i="15"/>
  <c r="AO13" i="1"/>
  <c r="L47" i="15"/>
  <c r="M6" i="15"/>
  <c r="L47" i="67"/>
  <c r="F6" i="73"/>
  <c r="F8" i="67"/>
  <c r="F36" i="15"/>
  <c r="F13" i="67"/>
  <c r="J15" i="67"/>
  <c r="M28" i="67"/>
  <c r="E2" i="69"/>
  <c r="F42" i="67"/>
  <c r="E11" i="76"/>
  <c r="F26" i="67"/>
  <c r="M24" i="67"/>
  <c r="E13" i="76"/>
  <c r="F8" i="15"/>
  <c r="M9" i="15"/>
  <c r="C76" i="15"/>
  <c r="F38" i="67"/>
  <c r="M26" i="15"/>
  <c r="F7" i="67"/>
  <c r="M22" i="15"/>
  <c r="F40" i="15"/>
  <c r="M9" i="67"/>
  <c r="F43" i="67"/>
  <c r="E7" i="76"/>
  <c r="F7" i="73"/>
  <c r="M26" i="67"/>
  <c r="M28" i="15"/>
  <c r="E9" i="76"/>
  <c r="F9" i="67"/>
  <c r="D5" i="73"/>
  <c r="F38" i="15"/>
  <c r="D7" i="73"/>
  <c r="F26" i="15"/>
  <c r="F5" i="73"/>
  <c r="M29" i="15"/>
  <c r="F7" i="15"/>
  <c r="B9" i="76"/>
  <c r="F9" i="15"/>
  <c r="J15" i="15"/>
  <c r="F20" i="31"/>
  <c r="W42" i="21" l="1"/>
  <c r="AC26" i="21"/>
  <c r="AB21" i="21"/>
  <c r="S21" i="21"/>
  <c r="AA23" i="21"/>
  <c r="U19" i="21"/>
  <c r="AB19" i="21"/>
  <c r="F17" i="21"/>
  <c r="AB15" i="21"/>
  <c r="AA15" i="21"/>
  <c r="AC15" i="21"/>
  <c r="S45" i="21"/>
  <c r="C33" i="21"/>
  <c r="K75" i="43"/>
  <c r="J75" i="43" s="1"/>
  <c r="S44" i="21"/>
  <c r="AB44" i="21"/>
  <c r="C18" i="9"/>
  <c r="D18" i="9" s="1"/>
  <c r="J32" i="21"/>
  <c r="W32" i="21" s="1"/>
  <c r="AC27" i="21"/>
  <c r="U31" i="21"/>
  <c r="AB31" i="21"/>
  <c r="U30" i="21"/>
  <c r="AB30" i="21"/>
  <c r="W31" i="21"/>
  <c r="AA30" i="21"/>
  <c r="F31" i="21"/>
  <c r="J30" i="21"/>
  <c r="U27" i="21"/>
  <c r="W14" i="21"/>
  <c r="AC14" i="21"/>
  <c r="S13" i="21"/>
  <c r="AA14" i="21"/>
  <c r="H14" i="21"/>
  <c r="W39" i="21"/>
  <c r="AB39" i="21"/>
  <c r="AC38" i="21"/>
  <c r="AB38" i="21"/>
  <c r="AB36" i="21"/>
  <c r="AC34" i="21"/>
  <c r="AA32" i="21"/>
  <c r="U28" i="21"/>
  <c r="H50" i="43"/>
  <c r="G50" i="43" s="1"/>
  <c r="M50" i="43" s="1"/>
  <c r="N50" i="43" s="1"/>
  <c r="K54" i="43"/>
  <c r="J54" i="43" s="1"/>
  <c r="F6" i="1"/>
  <c r="AF6" i="1" s="1"/>
  <c r="C58" i="83"/>
  <c r="D58" i="83" s="1"/>
  <c r="E58" i="83" s="1"/>
  <c r="F58" i="83" s="1"/>
  <c r="G58" i="83" s="1"/>
  <c r="H58" i="83" s="1"/>
  <c r="I58" i="83" s="1"/>
  <c r="J58" i="83" s="1"/>
  <c r="K58" i="83" s="1"/>
  <c r="L58" i="83" s="1"/>
  <c r="M58" i="83" s="1"/>
  <c r="N58" i="83" s="1"/>
  <c r="O58" i="83" s="1"/>
  <c r="G7" i="83"/>
  <c r="H7" i="83" s="1"/>
  <c r="I7" i="83"/>
  <c r="J7" i="83" s="1"/>
  <c r="E7" i="83"/>
  <c r="F7" i="83" s="1"/>
  <c r="J51" i="15"/>
  <c r="N59" i="15" s="1"/>
  <c r="G6" i="1"/>
  <c r="G16" i="1" s="1"/>
  <c r="F10" i="39" s="1"/>
  <c r="AA43" i="33"/>
  <c r="W43" i="33"/>
  <c r="H25" i="33"/>
  <c r="AB25" i="33" s="1"/>
  <c r="G87" i="33"/>
  <c r="G13" i="3"/>
  <c r="AA37" i="33"/>
  <c r="S37" i="33"/>
  <c r="U42" i="33"/>
  <c r="W42" i="33"/>
  <c r="AB34" i="33"/>
  <c r="W32" i="33"/>
  <c r="U30" i="33"/>
  <c r="F91" i="33"/>
  <c r="G91" i="33" s="1"/>
  <c r="H91" i="33" s="1"/>
  <c r="I91" i="33" s="1"/>
  <c r="J91" i="33" s="1"/>
  <c r="K91" i="33" s="1"/>
  <c r="L91" i="33" s="1"/>
  <c r="M91" i="33" s="1"/>
  <c r="J27" i="33"/>
  <c r="AC27" i="33" s="1"/>
  <c r="H27" i="33"/>
  <c r="F27" i="33"/>
  <c r="AA27" i="33" s="1"/>
  <c r="AC26" i="33"/>
  <c r="U39" i="33"/>
  <c r="W39" i="33"/>
  <c r="AC37" i="33"/>
  <c r="U37" i="33"/>
  <c r="U35" i="33"/>
  <c r="AC35" i="33"/>
  <c r="S33" i="33"/>
  <c r="S32" i="33"/>
  <c r="W27" i="33"/>
  <c r="S26" i="33"/>
  <c r="AB26" i="33"/>
  <c r="S23" i="33"/>
  <c r="F17" i="33"/>
  <c r="AB17" i="33"/>
  <c r="J15" i="33"/>
  <c r="S15" i="33"/>
  <c r="U11" i="33"/>
  <c r="W9" i="33"/>
  <c r="W8" i="33"/>
  <c r="H67" i="43"/>
  <c r="F34" i="15"/>
  <c r="F62" i="15" s="1"/>
  <c r="F34" i="67"/>
  <c r="F62" i="67" s="1"/>
  <c r="B41" i="1"/>
  <c r="F54" i="9" s="1"/>
  <c r="F28" i="67"/>
  <c r="C28" i="67" s="1"/>
  <c r="G26" i="12"/>
  <c r="G22" i="69"/>
  <c r="F28" i="6"/>
  <c r="G29" i="6"/>
  <c r="H69" i="43"/>
  <c r="D18" i="71"/>
  <c r="E15" i="71"/>
  <c r="E14" i="71" s="1"/>
  <c r="E13" i="71" s="1"/>
  <c r="E12" i="71" s="1"/>
  <c r="V16" i="71"/>
  <c r="U46" i="21"/>
  <c r="AB46" i="21"/>
  <c r="AB9" i="34"/>
  <c r="U9" i="34"/>
  <c r="AC29" i="33"/>
  <c r="W29" i="33"/>
  <c r="W45" i="33"/>
  <c r="AC45" i="33"/>
  <c r="U12" i="34"/>
  <c r="AB12" i="34"/>
  <c r="W14" i="34"/>
  <c r="AC14" i="34"/>
  <c r="U40" i="37"/>
  <c r="AB40" i="37"/>
  <c r="D17" i="71"/>
  <c r="C16" i="71"/>
  <c r="D20" i="71"/>
  <c r="U20" i="71" s="1"/>
  <c r="T20" i="71"/>
  <c r="V20" i="71"/>
  <c r="AB12" i="21"/>
  <c r="U12" i="21"/>
  <c r="AZ522" i="3"/>
  <c r="AZ500" i="3"/>
  <c r="AZ499" i="3"/>
  <c r="D120" i="9"/>
  <c r="S39" i="21"/>
  <c r="W36" i="21"/>
  <c r="S42" i="33"/>
  <c r="AB29" i="33"/>
  <c r="AA35" i="33"/>
  <c r="AA25" i="34"/>
  <c r="AB41" i="34"/>
  <c r="AC39" i="34"/>
  <c r="U44" i="34"/>
  <c r="AA38" i="37"/>
  <c r="AC29" i="37"/>
  <c r="W27" i="37"/>
  <c r="AC20" i="35"/>
  <c r="U22" i="35"/>
  <c r="S28" i="35"/>
  <c r="S23" i="35"/>
  <c r="S14" i="36"/>
  <c r="AB20" i="36"/>
  <c r="AC26" i="36"/>
  <c r="AA26" i="36"/>
  <c r="AC13" i="39"/>
  <c r="S15" i="39"/>
  <c r="U31" i="39"/>
  <c r="U25" i="39"/>
  <c r="S37" i="39"/>
  <c r="U37" i="39"/>
  <c r="U21" i="40"/>
  <c r="AC15" i="40"/>
  <c r="AC34" i="33"/>
  <c r="S19" i="39"/>
  <c r="AA39" i="34"/>
  <c r="AC17" i="34"/>
  <c r="AC11" i="39"/>
  <c r="U35" i="21"/>
  <c r="BB5" i="3"/>
  <c r="E14" i="6" s="1"/>
  <c r="S42" i="39"/>
  <c r="AB34" i="39"/>
  <c r="AC46" i="21"/>
  <c r="AB13" i="34"/>
  <c r="S41" i="34"/>
  <c r="AA41" i="34"/>
  <c r="H28" i="34"/>
  <c r="AB43" i="33"/>
  <c r="U43" i="33"/>
  <c r="AZ557" i="3"/>
  <c r="AZ579" i="3"/>
  <c r="AZ568" i="3"/>
  <c r="AZ576" i="3"/>
  <c r="S35" i="39"/>
  <c r="W44" i="39"/>
  <c r="AC28" i="21"/>
  <c r="AB45" i="33"/>
  <c r="AB46" i="34"/>
  <c r="AA14" i="33"/>
  <c r="AA44" i="33"/>
  <c r="AC14" i="37"/>
  <c r="W14" i="37"/>
  <c r="S13" i="35"/>
  <c r="AA13" i="35"/>
  <c r="AB46" i="33"/>
  <c r="U46" i="33"/>
  <c r="AC44" i="33"/>
  <c r="W44" i="33"/>
  <c r="F40" i="37"/>
  <c r="F46" i="34"/>
  <c r="J32" i="34"/>
  <c r="J30" i="34"/>
  <c r="H14" i="34"/>
  <c r="H31" i="33"/>
  <c r="F29" i="33"/>
  <c r="J13" i="33"/>
  <c r="F27" i="21"/>
  <c r="F46" i="21"/>
  <c r="AA44" i="34"/>
  <c r="S44" i="34"/>
  <c r="S28" i="34"/>
  <c r="AB17" i="34"/>
  <c r="W36" i="34"/>
  <c r="AC36" i="34"/>
  <c r="W28" i="34"/>
  <c r="U23" i="34"/>
  <c r="AB23" i="34"/>
  <c r="AB33" i="35"/>
  <c r="U33" i="35"/>
  <c r="W11" i="40"/>
  <c r="AC11" i="40"/>
  <c r="U34" i="21"/>
  <c r="U34" i="34"/>
  <c r="S39" i="37"/>
  <c r="AA39" i="37"/>
  <c r="AC36" i="39"/>
  <c r="W36" i="39"/>
  <c r="W45" i="39"/>
  <c r="AC45" i="39"/>
  <c r="AB26" i="21"/>
  <c r="U26" i="21"/>
  <c r="AA34" i="21"/>
  <c r="S34" i="21"/>
  <c r="BA585" i="3"/>
  <c r="AZ585" i="3" s="1"/>
  <c r="AA42" i="21"/>
  <c r="S42" i="21"/>
  <c r="B94" i="43"/>
  <c r="B73" i="43"/>
  <c r="B99" i="43"/>
  <c r="B76" i="43"/>
  <c r="C27" i="39"/>
  <c r="U12" i="33"/>
  <c r="AB12" i="33"/>
  <c r="AB33" i="33"/>
  <c r="U33" i="33"/>
  <c r="H28" i="33"/>
  <c r="F28" i="33"/>
  <c r="J28" i="33"/>
  <c r="J12" i="35"/>
  <c r="J24" i="35"/>
  <c r="F24" i="35"/>
  <c r="H24" i="35"/>
  <c r="J34" i="35"/>
  <c r="H34" i="35"/>
  <c r="F34" i="35"/>
  <c r="AC28" i="36"/>
  <c r="W28" i="36"/>
  <c r="W16" i="36"/>
  <c r="AC16" i="36"/>
  <c r="F32" i="36"/>
  <c r="H32" i="36"/>
  <c r="AB30" i="37"/>
  <c r="U30" i="37"/>
  <c r="J12" i="37"/>
  <c r="F12" i="37"/>
  <c r="S12" i="37" s="1"/>
  <c r="AC8" i="40"/>
  <c r="W8" i="40"/>
  <c r="AB34" i="40"/>
  <c r="U34" i="40"/>
  <c r="AB40" i="40"/>
  <c r="U40" i="40"/>
  <c r="H13" i="40"/>
  <c r="J13" i="40"/>
  <c r="F13" i="40"/>
  <c r="BL580" i="3"/>
  <c r="AZ580" i="3" s="1"/>
  <c r="BL577" i="3"/>
  <c r="BA577" i="3"/>
  <c r="BL574" i="3"/>
  <c r="BL565" i="3"/>
  <c r="BA565" i="3"/>
  <c r="AZ565" i="3" s="1"/>
  <c r="BL564" i="3"/>
  <c r="AZ564" i="3" s="1"/>
  <c r="BA561" i="3"/>
  <c r="AZ561" i="3" s="1"/>
  <c r="BL559" i="3"/>
  <c r="AZ559" i="3" s="1"/>
  <c r="BL558" i="3"/>
  <c r="BA558" i="3"/>
  <c r="W17" i="21"/>
  <c r="G28" i="6"/>
  <c r="F29" i="6"/>
  <c r="S25" i="21"/>
  <c r="AA25" i="21"/>
  <c r="AZ495" i="3"/>
  <c r="AZ513" i="3"/>
  <c r="AZ518" i="3"/>
  <c r="AZ574" i="3"/>
  <c r="AB14" i="40"/>
  <c r="U14" i="40"/>
  <c r="AC47" i="34"/>
  <c r="W47" i="34"/>
  <c r="AA45" i="33"/>
  <c r="S45" i="33"/>
  <c r="W31" i="33"/>
  <c r="AC31" i="33"/>
  <c r="AB33" i="37"/>
  <c r="U33" i="37"/>
  <c r="S29" i="35"/>
  <c r="AA29" i="35"/>
  <c r="AB23" i="40"/>
  <c r="U23" i="40"/>
  <c r="AB32" i="33"/>
  <c r="U32" i="33"/>
  <c r="AB36" i="39"/>
  <c r="U36" i="39"/>
  <c r="BL587" i="3"/>
  <c r="BA587" i="3"/>
  <c r="AZ587" i="3" s="1"/>
  <c r="F12" i="21"/>
  <c r="J12" i="21"/>
  <c r="B72" i="43"/>
  <c r="C15" i="39"/>
  <c r="B101" i="43"/>
  <c r="B79" i="43"/>
  <c r="B97" i="43"/>
  <c r="B75" i="43"/>
  <c r="AB40" i="33"/>
  <c r="U40" i="33"/>
  <c r="J9" i="34"/>
  <c r="F9" i="34"/>
  <c r="AA9" i="34" s="1"/>
  <c r="S12" i="35"/>
  <c r="AA12" i="35"/>
  <c r="AC28" i="35"/>
  <c r="W28" i="35"/>
  <c r="J12" i="34"/>
  <c r="F12" i="34"/>
  <c r="J11" i="35"/>
  <c r="F11" i="35"/>
  <c r="H27" i="37"/>
  <c r="F27" i="37"/>
  <c r="BA549" i="3"/>
  <c r="AZ549" i="3" s="1"/>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A525" i="3"/>
  <c r="AZ525" i="3" s="1"/>
  <c r="BL524" i="3"/>
  <c r="AZ524" i="3" s="1"/>
  <c r="BL523" i="3"/>
  <c r="AZ523" i="3" s="1"/>
  <c r="BA521" i="3"/>
  <c r="AZ521" i="3" s="1"/>
  <c r="BL520" i="3"/>
  <c r="BA520" i="3"/>
  <c r="AZ520" i="3" s="1"/>
  <c r="BL519" i="3"/>
  <c r="BA519" i="3"/>
  <c r="AZ519" i="3" s="1"/>
  <c r="BL516" i="3"/>
  <c r="AZ516" i="3" s="1"/>
  <c r="BL515" i="3"/>
  <c r="BA515" i="3"/>
  <c r="BL514" i="3"/>
  <c r="AZ514" i="3" s="1"/>
  <c r="BA512" i="3"/>
  <c r="AZ512" i="3" s="1"/>
  <c r="BL511" i="3"/>
  <c r="BA511" i="3"/>
  <c r="BA510" i="3"/>
  <c r="AZ510" i="3" s="1"/>
  <c r="BA509" i="3"/>
  <c r="AZ509" i="3" s="1"/>
  <c r="BL508" i="3"/>
  <c r="BA508" i="3"/>
  <c r="AZ508" i="3" s="1"/>
  <c r="BL507" i="3"/>
  <c r="AZ507" i="3" s="1"/>
  <c r="BL506" i="3"/>
  <c r="AZ506" i="3" s="1"/>
  <c r="BA505" i="3"/>
  <c r="AZ505" i="3" s="1"/>
  <c r="BL504" i="3"/>
  <c r="BA504" i="3"/>
  <c r="AZ504" i="3" s="1"/>
  <c r="BL503" i="3"/>
  <c r="AZ503" i="3" s="1"/>
  <c r="BA502" i="3"/>
  <c r="AZ502" i="3" s="1"/>
  <c r="BA501" i="3"/>
  <c r="AZ501" i="3" s="1"/>
  <c r="BL498" i="3"/>
  <c r="BA498" i="3"/>
  <c r="BA497" i="3"/>
  <c r="AZ497" i="3" s="1"/>
  <c r="BL496" i="3"/>
  <c r="BL5" i="3" s="1"/>
  <c r="BA496" i="3"/>
  <c r="AZ496" i="3" s="1"/>
  <c r="BA493" i="3"/>
  <c r="AZ493" i="3" s="1"/>
  <c r="H36" i="35"/>
  <c r="J36" i="35"/>
  <c r="J23" i="36"/>
  <c r="H23" i="36"/>
  <c r="F23" i="36"/>
  <c r="G551" i="3"/>
  <c r="BL548" i="3"/>
  <c r="AZ548" i="3" s="1"/>
  <c r="AZ472" i="3"/>
  <c r="AZ475" i="3"/>
  <c r="AZ489" i="3"/>
  <c r="AZ316" i="3"/>
  <c r="AZ332" i="3"/>
  <c r="AZ216" i="3"/>
  <c r="AZ230" i="3"/>
  <c r="AZ398" i="3"/>
  <c r="AZ405" i="3"/>
  <c r="AZ407" i="3"/>
  <c r="AZ410" i="3"/>
  <c r="AZ415" i="3"/>
  <c r="AZ420" i="3"/>
  <c r="AZ426" i="3"/>
  <c r="AZ431" i="3"/>
  <c r="AZ448" i="3"/>
  <c r="AZ452" i="3"/>
  <c r="AZ461" i="3"/>
  <c r="AZ463" i="3"/>
  <c r="AZ468" i="3"/>
  <c r="AZ470" i="3"/>
  <c r="AZ479" i="3"/>
  <c r="AZ485" i="3"/>
  <c r="AZ211" i="3"/>
  <c r="AZ219" i="3"/>
  <c r="AZ18" i="3"/>
  <c r="AZ23" i="3"/>
  <c r="AZ27" i="3"/>
  <c r="AZ244" i="3"/>
  <c r="AZ247" i="3"/>
  <c r="AZ260" i="3"/>
  <c r="AZ264" i="3"/>
  <c r="AZ282" i="3"/>
  <c r="AZ285" i="3"/>
  <c r="AZ290" i="3"/>
  <c r="AZ293" i="3"/>
  <c r="AZ161" i="3"/>
  <c r="AZ177" i="3"/>
  <c r="AZ193" i="3"/>
  <c r="AZ49" i="3"/>
  <c r="AZ62" i="3"/>
  <c r="AZ65" i="3"/>
  <c r="AZ76" i="3"/>
  <c r="AZ81" i="3"/>
  <c r="AZ90" i="3"/>
  <c r="AZ96" i="3"/>
  <c r="AZ99" i="3"/>
  <c r="AZ106" i="3"/>
  <c r="AZ112" i="3"/>
  <c r="AZ36" i="3"/>
  <c r="T64" i="71"/>
  <c r="D64" i="71"/>
  <c r="P66" i="71"/>
  <c r="P65" i="71"/>
  <c r="D35" i="71"/>
  <c r="C36" i="71"/>
  <c r="B27" i="71"/>
  <c r="B26" i="71" s="1"/>
  <c r="S28" i="71"/>
  <c r="C39" i="71"/>
  <c r="D38" i="71"/>
  <c r="C43" i="71"/>
  <c r="D42" i="71"/>
  <c r="C47" i="71"/>
  <c r="D47" i="71" s="1"/>
  <c r="D46" i="71"/>
  <c r="C21" i="68"/>
  <c r="C26" i="71"/>
  <c r="D26" i="71" s="1"/>
  <c r="D27" i="71"/>
  <c r="F30" i="71"/>
  <c r="F31" i="71" s="1"/>
  <c r="F32" i="71" s="1"/>
  <c r="V32" i="71" s="1"/>
  <c r="Y9" i="71"/>
  <c r="Z9" i="71" s="1"/>
  <c r="Y10" i="71"/>
  <c r="Z10" i="71" s="1"/>
  <c r="AA9" i="71"/>
  <c r="AA10" i="71"/>
  <c r="S68" i="71"/>
  <c r="B67" i="71"/>
  <c r="AB24" i="71"/>
  <c r="Y21" i="71"/>
  <c r="Z21" i="71" s="1"/>
  <c r="AB23" i="71"/>
  <c r="AB21" i="71"/>
  <c r="Y18" i="71"/>
  <c r="Z18" i="71" s="1"/>
  <c r="Y14" i="71"/>
  <c r="Z14" i="71" s="1"/>
  <c r="AA17" i="71"/>
  <c r="V28" i="71"/>
  <c r="AA28" i="71"/>
  <c r="AA26" i="71"/>
  <c r="AB28" i="71"/>
  <c r="AB26" i="71"/>
  <c r="D80" i="71"/>
  <c r="D72" i="71"/>
  <c r="X28" i="71"/>
  <c r="X26" i="71"/>
  <c r="Y28" i="71"/>
  <c r="Z28" i="71" s="1"/>
  <c r="Y27" i="71"/>
  <c r="Z27" i="71" s="1"/>
  <c r="Y26" i="71"/>
  <c r="Z26" i="71" s="1"/>
  <c r="Y25" i="71"/>
  <c r="Z25" i="71" s="1"/>
  <c r="X35" i="71"/>
  <c r="X34" i="71"/>
  <c r="AA32" i="71"/>
  <c r="AA31" i="71"/>
  <c r="AA37" i="71"/>
  <c r="X9" i="71"/>
  <c r="X10" i="71"/>
  <c r="Y39" i="71"/>
  <c r="Z39" i="71" s="1"/>
  <c r="AA39" i="71"/>
  <c r="AB9" i="71"/>
  <c r="AB10" i="71"/>
  <c r="X22" i="71"/>
  <c r="AA24" i="71"/>
  <c r="AA22" i="71"/>
  <c r="X21" i="71"/>
  <c r="AA21" i="71"/>
  <c r="X18" i="71"/>
  <c r="AA18" i="71"/>
  <c r="X17" i="71"/>
  <c r="AB18" i="71"/>
  <c r="X14" i="71"/>
  <c r="AA13" i="71"/>
  <c r="Y17" i="71"/>
  <c r="Z17" i="71" s="1"/>
  <c r="AB17" i="71"/>
  <c r="X24" i="71"/>
  <c r="Y24" i="71"/>
  <c r="Z24" i="71" s="1"/>
  <c r="AB15" i="71"/>
  <c r="AA12" i="71"/>
  <c r="X11" i="71"/>
  <c r="AB11" i="71"/>
  <c r="AB14" i="71"/>
  <c r="Y12" i="71"/>
  <c r="Z12" i="71" s="1"/>
  <c r="Y13" i="71"/>
  <c r="Z13" i="71" s="1"/>
  <c r="Y23" i="71"/>
  <c r="Z23" i="71" s="1"/>
  <c r="Y22" i="71"/>
  <c r="Z22" i="71" s="1"/>
  <c r="AA23" i="71"/>
  <c r="X15" i="71"/>
  <c r="AA15" i="71"/>
  <c r="AA11" i="71"/>
  <c r="AA14" i="71"/>
  <c r="X13" i="71"/>
  <c r="X12" i="71"/>
  <c r="AB12" i="71"/>
  <c r="AB13" i="71"/>
  <c r="Y11" i="71"/>
  <c r="Z11" i="71" s="1"/>
  <c r="H83" i="43"/>
  <c r="S22" i="31"/>
  <c r="R22" i="31" s="1"/>
  <c r="D74" i="43"/>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G58" i="43" s="1"/>
  <c r="H51" i="43"/>
  <c r="G51" i="43" s="1"/>
  <c r="H56" i="43"/>
  <c r="G56" i="43" s="1"/>
  <c r="H65" i="43"/>
  <c r="D76"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5" i="6"/>
  <c r="E64" i="39" s="1"/>
  <c r="H16" i="1"/>
  <c r="P6" i="1"/>
  <c r="C13" i="12" s="1"/>
  <c r="P11" i="1"/>
  <c r="K14" i="1"/>
  <c r="AZ13" i="3"/>
  <c r="O9" i="1"/>
  <c r="P9" i="1" s="1"/>
  <c r="O12" i="1"/>
  <c r="P12" i="1" s="1"/>
  <c r="O8" i="1"/>
  <c r="P8" i="1" s="1"/>
  <c r="H73" i="43"/>
  <c r="G73" i="43" s="1"/>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G53" i="43" s="1"/>
  <c r="H79" i="43"/>
  <c r="G79" i="43" s="1"/>
  <c r="D17" i="53"/>
  <c r="B36" i="72" s="1"/>
  <c r="D124" i="9"/>
  <c r="H74" i="43"/>
  <c r="G74" i="43" s="1"/>
  <c r="H57" i="43"/>
  <c r="G57" i="43" s="1"/>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F66" i="67"/>
  <c r="L59" i="15"/>
  <c r="M59" i="15"/>
  <c r="F66" i="15"/>
  <c r="Q71" i="67"/>
  <c r="F64" i="15"/>
  <c r="C27" i="67"/>
  <c r="F71" i="67"/>
  <c r="C27" i="15"/>
  <c r="F65" i="15"/>
  <c r="N59" i="67"/>
  <c r="L59" i="67"/>
  <c r="L58" i="67"/>
  <c r="M59" i="67"/>
  <c r="B13" i="70"/>
  <c r="M7" i="67"/>
  <c r="J6" i="67" s="1"/>
  <c r="F50" i="67"/>
  <c r="F68" i="67"/>
  <c r="F64" i="67"/>
  <c r="F68" i="15"/>
  <c r="C36" i="69"/>
  <c r="L48" i="15"/>
  <c r="C36" i="68"/>
  <c r="D6" i="73"/>
  <c r="D4" i="73"/>
  <c r="D3" i="73"/>
  <c r="C16" i="15"/>
  <c r="C16" i="67"/>
  <c r="D9" i="68"/>
  <c r="AA17" i="21" l="1"/>
  <c r="S17" i="21"/>
  <c r="AC32" i="21"/>
  <c r="I24" i="43"/>
  <c r="C24" i="43" s="1"/>
  <c r="G26" i="43"/>
  <c r="E10" i="6"/>
  <c r="E8" i="6"/>
  <c r="F27" i="6" s="1"/>
  <c r="G5" i="3"/>
  <c r="B3" i="3" s="1"/>
  <c r="E5" i="6"/>
  <c r="F33" i="21"/>
  <c r="H33" i="21"/>
  <c r="J33" i="21"/>
  <c r="M77" i="43"/>
  <c r="N77" i="43" s="1"/>
  <c r="K77" i="43"/>
  <c r="J77" i="43" s="1"/>
  <c r="D77" i="43" s="1"/>
  <c r="M79" i="43"/>
  <c r="N79" i="43" s="1"/>
  <c r="K79" i="43"/>
  <c r="J79" i="43" s="1"/>
  <c r="M72" i="43"/>
  <c r="N72" i="43" s="1"/>
  <c r="K72" i="43"/>
  <c r="M73" i="43"/>
  <c r="N73" i="43" s="1"/>
  <c r="K73" i="43"/>
  <c r="J73" i="43" s="1"/>
  <c r="M80" i="43"/>
  <c r="K80" i="43"/>
  <c r="J80" i="43" s="1"/>
  <c r="M74" i="43"/>
  <c r="N74" i="43" s="1"/>
  <c r="K74" i="43"/>
  <c r="J74" i="43" s="1"/>
  <c r="M76" i="43"/>
  <c r="N76" i="43" s="1"/>
  <c r="K76" i="43"/>
  <c r="J76" i="43" s="1"/>
  <c r="M78" i="43"/>
  <c r="N78" i="43" s="1"/>
  <c r="K78" i="43"/>
  <c r="AC30" i="21"/>
  <c r="W30" i="21"/>
  <c r="S31" i="21"/>
  <c r="AA31" i="21"/>
  <c r="U14" i="21"/>
  <c r="AB14" i="21"/>
  <c r="N370" i="46"/>
  <c r="F26" i="43"/>
  <c r="K50" i="43"/>
  <c r="J50" i="43" s="1"/>
  <c r="K53" i="43"/>
  <c r="J53" i="43" s="1"/>
  <c r="M53" i="43"/>
  <c r="N53" i="43" s="1"/>
  <c r="M52" i="43"/>
  <c r="N52" i="43" s="1"/>
  <c r="K52" i="43"/>
  <c r="J52" i="43" s="1"/>
  <c r="M57" i="43"/>
  <c r="N57" i="43" s="1"/>
  <c r="K57" i="43"/>
  <c r="J57" i="43" s="1"/>
  <c r="D57" i="43" s="1"/>
  <c r="K55" i="43"/>
  <c r="J55" i="43" s="1"/>
  <c r="M55" i="43"/>
  <c r="N55" i="43" s="1"/>
  <c r="K51" i="43"/>
  <c r="J51" i="43" s="1"/>
  <c r="M51" i="43"/>
  <c r="N51" i="43" s="1"/>
  <c r="M56" i="43"/>
  <c r="N56" i="43" s="1"/>
  <c r="K56" i="43"/>
  <c r="J56" i="43" s="1"/>
  <c r="K58" i="43"/>
  <c r="M58" i="43"/>
  <c r="N58" i="43" s="1"/>
  <c r="J57" i="15"/>
  <c r="J55" i="15" s="1"/>
  <c r="J58" i="15" s="1"/>
  <c r="Q50" i="15" s="1"/>
  <c r="J53" i="15"/>
  <c r="L56" i="15" s="1"/>
  <c r="I54" i="15"/>
  <c r="L58" i="15"/>
  <c r="Q73" i="15" s="1"/>
  <c r="S7" i="83"/>
  <c r="AA7" i="83"/>
  <c r="R48" i="83" s="1"/>
  <c r="U7" i="83"/>
  <c r="AB7" i="83"/>
  <c r="T48" i="83" s="1"/>
  <c r="G48" i="83" s="1"/>
  <c r="W7" i="83"/>
  <c r="AC7" i="83"/>
  <c r="U25" i="33"/>
  <c r="H87" i="33"/>
  <c r="I87" i="33" s="1"/>
  <c r="J87" i="33" s="1"/>
  <c r="K87" i="33" s="1"/>
  <c r="L87" i="33" s="1"/>
  <c r="M87" i="33" s="1"/>
  <c r="F25" i="33"/>
  <c r="J25" i="33"/>
  <c r="E63" i="39"/>
  <c r="E59" i="40"/>
  <c r="N94" i="46"/>
  <c r="E26" i="43"/>
  <c r="J26" i="43"/>
  <c r="E13" i="6"/>
  <c r="E11" i="6"/>
  <c r="E60" i="39" s="1"/>
  <c r="E12" i="6"/>
  <c r="E57" i="40" s="1"/>
  <c r="S27" i="33"/>
  <c r="U27" i="33"/>
  <c r="AB27" i="33"/>
  <c r="AA17" i="33"/>
  <c r="S17" i="33"/>
  <c r="AC15" i="33"/>
  <c r="W15" i="33"/>
  <c r="F32" i="67"/>
  <c r="F60" i="67" s="1"/>
  <c r="F28" i="15"/>
  <c r="C28" i="15" s="1"/>
  <c r="F30" i="68"/>
  <c r="F52" i="9"/>
  <c r="F32" i="15"/>
  <c r="F60" i="15" s="1"/>
  <c r="F48" i="9"/>
  <c r="O52" i="9" s="1"/>
  <c r="M18" i="67"/>
  <c r="F31" i="12"/>
  <c r="C31" i="12" s="1"/>
  <c r="F30" i="69"/>
  <c r="D68" i="9"/>
  <c r="F30" i="11"/>
  <c r="M18" i="15"/>
  <c r="K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62" i="3"/>
  <c r="E113" i="3"/>
  <c r="E176" i="3"/>
  <c r="E158" i="3"/>
  <c r="E218" i="3"/>
  <c r="E287" i="3"/>
  <c r="E265" i="3"/>
  <c r="E308" i="3"/>
  <c r="E365" i="3"/>
  <c r="E326" i="3"/>
  <c r="E524" i="3"/>
  <c r="E22" i="3"/>
  <c r="E101" i="3"/>
  <c r="E83" i="3"/>
  <c r="E340" i="3"/>
  <c r="E81" i="3"/>
  <c r="E179" i="3"/>
  <c r="E222" i="3"/>
  <c r="E323" i="3"/>
  <c r="E373" i="3"/>
  <c r="E513"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64" i="3"/>
  <c r="E50" i="3"/>
  <c r="E20" i="3"/>
  <c r="E19" i="3"/>
  <c r="E154" i="3"/>
  <c r="E118" i="3"/>
  <c r="E264" i="3"/>
  <c r="E283" i="3"/>
  <c r="E309" i="3"/>
  <c r="E82" i="3"/>
  <c r="E521" i="3"/>
  <c r="E517" i="3"/>
  <c r="E50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2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S7" i="36" s="1"/>
  <c r="J7" i="37"/>
  <c r="H7" i="36"/>
  <c r="AB7" i="36" s="1"/>
  <c r="T36" i="36" s="1"/>
  <c r="G36" i="36" s="1"/>
  <c r="B66" i="71"/>
  <c r="N67" i="71"/>
  <c r="T36" i="71"/>
  <c r="D36" i="71"/>
  <c r="AA23" i="36"/>
  <c r="S23" i="36"/>
  <c r="AC23" i="36"/>
  <c r="W23" i="36"/>
  <c r="AB36" i="35"/>
  <c r="U36" i="35"/>
  <c r="AA27" i="37"/>
  <c r="S27" i="37"/>
  <c r="S11" i="35"/>
  <c r="AA11" i="35"/>
  <c r="S12" i="34"/>
  <c r="AA12" i="34"/>
  <c r="AC12" i="21"/>
  <c r="W12" i="21"/>
  <c r="BA5" i="3"/>
  <c r="E27" i="6" s="1"/>
  <c r="K26" i="6" s="1"/>
  <c r="M26" i="6" s="1"/>
  <c r="I26" i="6" s="1"/>
  <c r="S26" i="6" s="1"/>
  <c r="AZ558" i="3"/>
  <c r="AZ577" i="3"/>
  <c r="AC13" i="40"/>
  <c r="W13" i="40"/>
  <c r="AB32" i="36"/>
  <c r="U32" i="36"/>
  <c r="S34" i="35"/>
  <c r="AA34" i="35"/>
  <c r="AC34" i="35"/>
  <c r="W34" i="35"/>
  <c r="AA24" i="35"/>
  <c r="S24" i="35"/>
  <c r="W12" i="35"/>
  <c r="AC12" i="35"/>
  <c r="AA28" i="33"/>
  <c r="S28" i="33"/>
  <c r="AA27" i="21"/>
  <c r="S27" i="21"/>
  <c r="S29" i="33"/>
  <c r="AA29" i="33"/>
  <c r="U14" i="34"/>
  <c r="AB14" i="34"/>
  <c r="W32" i="34"/>
  <c r="AC32" i="34"/>
  <c r="AA40" i="37"/>
  <c r="S40" i="37"/>
  <c r="AB28" i="34"/>
  <c r="U28" i="34"/>
  <c r="D121" i="9"/>
  <c r="D7" i="52" s="1"/>
  <c r="D6" i="52"/>
  <c r="E11" i="71"/>
  <c r="E10" i="71" s="1"/>
  <c r="E9" i="71" s="1"/>
  <c r="E8" i="71" s="1"/>
  <c r="E7" i="71" s="1"/>
  <c r="E6" i="71" s="1"/>
  <c r="E5" i="71" s="1"/>
  <c r="V12" i="71"/>
  <c r="D43" i="71"/>
  <c r="C44" i="71"/>
  <c r="D39" i="71"/>
  <c r="C40" i="71"/>
  <c r="AB23" i="36"/>
  <c r="U23" i="36"/>
  <c r="W36" i="35"/>
  <c r="AC36" i="35"/>
  <c r="AZ498" i="3"/>
  <c r="AZ5" i="3" s="1"/>
  <c r="AZ511" i="3"/>
  <c r="AZ515" i="3"/>
  <c r="AZ534" i="3"/>
  <c r="U27" i="37"/>
  <c r="AB27" i="37"/>
  <c r="W11" i="35"/>
  <c r="AC11" i="35"/>
  <c r="W12" i="34"/>
  <c r="AC12" i="34"/>
  <c r="AC9" i="34"/>
  <c r="W9" i="34"/>
  <c r="S12" i="21"/>
  <c r="AA12" i="21"/>
  <c r="S13" i="40"/>
  <c r="AA13" i="40"/>
  <c r="U13" i="40"/>
  <c r="AB13" i="40"/>
  <c r="W12" i="37"/>
  <c r="AC12" i="37"/>
  <c r="S32" i="36"/>
  <c r="AA32" i="36"/>
  <c r="AB34" i="35"/>
  <c r="U34" i="35"/>
  <c r="AB24" i="35"/>
  <c r="U24" i="35"/>
  <c r="AC24" i="35"/>
  <c r="W24" i="35"/>
  <c r="AC28" i="33"/>
  <c r="W28" i="33"/>
  <c r="AB28" i="33"/>
  <c r="U28" i="33"/>
  <c r="AA46" i="21"/>
  <c r="S46" i="21"/>
  <c r="AC13" i="33"/>
  <c r="W13" i="33"/>
  <c r="AB31" i="33"/>
  <c r="U31" i="33"/>
  <c r="W30" i="34"/>
  <c r="AC30" i="34"/>
  <c r="S46" i="34"/>
  <c r="AA46" i="34"/>
  <c r="C15" i="71"/>
  <c r="T16" i="71"/>
  <c r="E61" i="43"/>
  <c r="B59" i="43" s="1"/>
  <c r="B116" i="43"/>
  <c r="Z7" i="43"/>
  <c r="E30" i="6"/>
  <c r="E56" i="39"/>
  <c r="H7" i="34"/>
  <c r="AB7" i="34" s="1"/>
  <c r="T49" i="34" s="1"/>
  <c r="G49" i="34" s="1"/>
  <c r="E67" i="39"/>
  <c r="F67" i="39" s="1"/>
  <c r="J7" i="34"/>
  <c r="W7" i="34" s="1"/>
  <c r="F7" i="34"/>
  <c r="S7" i="34" s="1"/>
  <c r="AA26" i="35"/>
  <c r="S26" i="35"/>
  <c r="AC26" i="35"/>
  <c r="W26" i="35"/>
  <c r="AB26" i="35"/>
  <c r="U26" i="35"/>
  <c r="E61" i="39"/>
  <c r="C47" i="69"/>
  <c r="D45" i="69" s="1"/>
  <c r="C9" i="68"/>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E69" i="39"/>
  <c r="F59" i="67"/>
  <c r="H7" i="37"/>
  <c r="AB7" i="37" s="1"/>
  <c r="T42" i="37" s="1"/>
  <c r="G42" i="37" s="1"/>
  <c r="S10" i="39"/>
  <c r="AA10" i="39"/>
  <c r="H7" i="33"/>
  <c r="J7" i="33"/>
  <c r="D65" i="40"/>
  <c r="E63" i="40"/>
  <c r="F48" i="35"/>
  <c r="AA7" i="36"/>
  <c r="R36" i="36" s="1"/>
  <c r="AC7" i="37"/>
  <c r="W7" i="37"/>
  <c r="F7" i="33"/>
  <c r="E58" i="21"/>
  <c r="AC7" i="36"/>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F41" i="67"/>
  <c r="G1" i="73"/>
  <c r="AC33" i="21" l="1"/>
  <c r="W33" i="21"/>
  <c r="AA33" i="21"/>
  <c r="S33" i="21"/>
  <c r="AB33" i="21"/>
  <c r="U33" i="21"/>
  <c r="D19" i="12"/>
  <c r="C19" i="12" s="1"/>
  <c r="D9" i="69"/>
  <c r="C9" i="69" s="1"/>
  <c r="D9" i="11"/>
  <c r="C9" i="11" s="1"/>
  <c r="J78" i="43"/>
  <c r="D78" i="43"/>
  <c r="J72" i="43"/>
  <c r="D72" i="43"/>
  <c r="N80" i="43"/>
  <c r="D80" i="43"/>
  <c r="F1" i="15"/>
  <c r="D26" i="43"/>
  <c r="C25" i="43" s="1"/>
  <c r="E16" i="6"/>
  <c r="E56" i="40"/>
  <c r="Q60" i="15"/>
  <c r="Q52" i="15"/>
  <c r="J58" i="43"/>
  <c r="D58" i="43"/>
  <c r="E50" i="43" s="1"/>
  <c r="B48" i="43" s="1"/>
  <c r="V48" i="83"/>
  <c r="I48" i="83" s="1"/>
  <c r="G52" i="83"/>
  <c r="H52" i="83" s="1"/>
  <c r="R49" i="83"/>
  <c r="E48" i="83"/>
  <c r="AA25" i="33"/>
  <c r="S25" i="33"/>
  <c r="AC25" i="33"/>
  <c r="W25" i="33"/>
  <c r="H6" i="3"/>
  <c r="E65" i="39"/>
  <c r="AC6" i="3"/>
  <c r="E6" i="3" s="1"/>
  <c r="C48" i="11"/>
  <c r="C30" i="11"/>
  <c r="F48" i="69"/>
  <c r="C48" i="69"/>
  <c r="C30" i="69"/>
  <c r="F48" i="68"/>
  <c r="C48" i="68"/>
  <c r="C30" i="68"/>
  <c r="U7" i="36"/>
  <c r="B40" i="1"/>
  <c r="L36" i="43" s="1"/>
  <c r="L37" i="43" s="1"/>
  <c r="AY6" i="3"/>
  <c r="E3" i="6"/>
  <c r="T40" i="71"/>
  <c r="D40" i="71"/>
  <c r="T44" i="71"/>
  <c r="D44" i="71"/>
  <c r="N65" i="71"/>
  <c r="N66" i="71"/>
  <c r="B11" i="71"/>
  <c r="B10" i="71" s="1"/>
  <c r="B9" i="71" s="1"/>
  <c r="B8" i="71" s="1"/>
  <c r="B7" i="71" s="1"/>
  <c r="B6" i="71" s="1"/>
  <c r="B5" i="71" s="1"/>
  <c r="S12" i="71"/>
  <c r="V36" i="36"/>
  <c r="I36" i="36" s="1"/>
  <c r="V42" i="37"/>
  <c r="I42" i="37" s="1"/>
  <c r="I46" i="37" s="1"/>
  <c r="J46" i="37" s="1"/>
  <c r="C14" i="71"/>
  <c r="D1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M27" i="67"/>
  <c r="F41" i="15"/>
  <c r="AE6" i="1"/>
  <c r="C14" i="74" l="1"/>
  <c r="D33" i="43"/>
  <c r="D1" i="43" s="1"/>
  <c r="D116" i="43"/>
  <c r="E72" i="43"/>
  <c r="B70" i="43" s="1"/>
  <c r="C28" i="43" s="1"/>
  <c r="AG6" i="1"/>
  <c r="I52" i="83"/>
  <c r="J52" i="83" s="1"/>
  <c r="G53" i="83"/>
  <c r="H53" i="83" s="1"/>
  <c r="I53" i="83"/>
  <c r="J53" i="83" s="1"/>
  <c r="E53" i="83"/>
  <c r="F53" i="83" s="1"/>
  <c r="E52" i="83"/>
  <c r="F52" i="83" s="1"/>
  <c r="C48" i="83"/>
  <c r="C49" i="83"/>
  <c r="B3" i="83" s="1"/>
  <c r="F24" i="67"/>
  <c r="C24" i="67" s="1"/>
  <c r="F22" i="68"/>
  <c r="F25" i="12"/>
  <c r="C26" i="12" s="1"/>
  <c r="D25" i="12" s="1"/>
  <c r="F24" i="15"/>
  <c r="C24" i="15" s="1"/>
  <c r="F22" i="11"/>
  <c r="C44" i="11" s="1"/>
  <c r="D41" i="11" s="1"/>
  <c r="F22" i="69"/>
  <c r="F41" i="69" s="1"/>
  <c r="Q36" i="43"/>
  <c r="M36" i="43"/>
  <c r="P36" i="43"/>
  <c r="O36" i="43"/>
  <c r="N36" i="43"/>
  <c r="C13" i="71"/>
  <c r="D14"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F6" i="15"/>
  <c r="D10" i="68"/>
  <c r="M27" i="15"/>
  <c r="C14" i="67"/>
  <c r="C17" i="67"/>
  <c r="T11" i="43" l="1"/>
  <c r="V11" i="43" s="1"/>
  <c r="T14" i="43"/>
  <c r="V14" i="43" s="1"/>
  <c r="T4" i="43"/>
  <c r="V4" i="43" s="1"/>
  <c r="T5" i="43"/>
  <c r="V5" i="43" s="1"/>
  <c r="C41" i="43"/>
  <c r="E41" i="43" s="1"/>
  <c r="C38" i="43"/>
  <c r="G38" i="43" s="1"/>
  <c r="I38" i="43" s="1"/>
  <c r="T9" i="43"/>
  <c r="V9" i="43" s="1"/>
  <c r="T12" i="43"/>
  <c r="V12" i="43" s="1"/>
  <c r="T3" i="43"/>
  <c r="V3" i="43" s="1"/>
  <c r="C33" i="43"/>
  <c r="E33" i="43" s="1"/>
  <c r="C6" i="68" s="1"/>
  <c r="C7" i="68" s="1"/>
  <c r="C5" i="68" s="1"/>
  <c r="C23" i="68" s="1"/>
  <c r="C42" i="43"/>
  <c r="T15" i="43"/>
  <c r="V15" i="43" s="1"/>
  <c r="T7" i="43"/>
  <c r="V7" i="43" s="1"/>
  <c r="T10" i="43"/>
  <c r="V10" i="43" s="1"/>
  <c r="T2" i="43"/>
  <c r="V2" i="43" s="1"/>
  <c r="C40" i="43"/>
  <c r="G40" i="43" s="1"/>
  <c r="I40" i="43" s="1"/>
  <c r="C39" i="43"/>
  <c r="T13" i="43"/>
  <c r="V13" i="43" s="1"/>
  <c r="T16" i="43"/>
  <c r="V16" i="43" s="1"/>
  <c r="T8" i="43"/>
  <c r="V8" i="43" s="1"/>
  <c r="T6" i="43"/>
  <c r="V6" i="43" s="1"/>
  <c r="C37" i="43"/>
  <c r="E37" i="43" s="1"/>
  <c r="G37" i="43"/>
  <c r="I37" i="43" s="1"/>
  <c r="D30" i="6"/>
  <c r="F31" i="15"/>
  <c r="C6" i="15"/>
  <c r="C10" i="15" s="1"/>
  <c r="C5" i="15" s="1"/>
  <c r="C38" i="15" s="1"/>
  <c r="H24" i="6"/>
  <c r="H22" i="6"/>
  <c r="C44" i="68"/>
  <c r="D41" i="68" s="1"/>
  <c r="C26" i="68"/>
  <c r="D22" i="68" s="1"/>
  <c r="C26" i="69"/>
  <c r="D22" i="69" s="1"/>
  <c r="F41" i="68"/>
  <c r="H25" i="6"/>
  <c r="R25" i="6" s="1"/>
  <c r="R12" i="1" s="1"/>
  <c r="C25" i="11"/>
  <c r="C44" i="69"/>
  <c r="D41" i="69" s="1"/>
  <c r="C23" i="11"/>
  <c r="C26" i="11"/>
  <c r="D22" i="11" s="1"/>
  <c r="C24"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8" i="43" l="1"/>
  <c r="G41" i="43"/>
  <c r="I41" i="43" s="1"/>
  <c r="C34" i="43"/>
  <c r="E34" i="43" s="1"/>
  <c r="E40" i="43"/>
  <c r="G39" i="43"/>
  <c r="I39" i="43" s="1"/>
  <c r="E39" i="43"/>
  <c r="E42" i="43"/>
  <c r="G42" i="43"/>
  <c r="I42" i="43" s="1"/>
  <c r="D31" i="6"/>
  <c r="I5" i="6" s="1"/>
  <c r="C22" i="11"/>
  <c r="C31" i="11"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31" i="43" l="1"/>
  <c r="C30" i="43"/>
  <c r="I6" i="6"/>
  <c r="F7" i="21"/>
  <c r="S7" i="21"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AA7" i="21" l="1"/>
  <c r="R48" i="21" s="1"/>
  <c r="AC7" i="21"/>
  <c r="V48" i="21" s="1"/>
  <c r="I48" i="21" s="1"/>
  <c r="G53" i="21" s="1"/>
  <c r="H53" i="21" s="1"/>
  <c r="E2" i="76"/>
  <c r="B2" i="43"/>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G52" i="21"/>
  <c r="H52" i="21" s="1"/>
  <c r="F7" i="35"/>
  <c r="M21" i="15"/>
  <c r="F35" i="15"/>
  <c r="F35" i="67"/>
  <c r="B6" i="76"/>
  <c r="M21" i="67"/>
  <c r="R49" i="21" l="1"/>
  <c r="C48" i="21"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9" i="21"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8"/>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19" i="9"/>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C20" i="9"/>
  <c r="AO10" i="1"/>
  <c r="AO12" i="1"/>
  <c r="AO11" i="1"/>
  <c r="C103" i="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21" i="9" l="1"/>
  <c r="D22" i="9"/>
  <c r="D102" i="9"/>
  <c r="G19" i="9"/>
  <c r="G21" i="9" s="1"/>
  <c r="B6" i="70"/>
  <c r="B2" i="70" s="1"/>
  <c r="B3" i="70" s="1"/>
  <c r="D103" i="9"/>
  <c r="G20" i="9"/>
  <c r="G22" i="9" s="1"/>
  <c r="D14" i="74"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96" i="9"/>
  <c r="E96" i="9"/>
  <c r="E97" i="9"/>
  <c r="B53" i="72"/>
  <c r="F5" i="52"/>
  <c r="F119" i="9"/>
  <c r="B22" i="72"/>
  <c r="D6" i="53"/>
  <c r="C86" i="9"/>
  <c r="C93" i="9"/>
  <c r="M54" i="9"/>
  <c r="D56" i="9"/>
  <c r="D58" i="9"/>
  <c r="C85" i="9"/>
  <c r="C95" i="9"/>
  <c r="C97" i="9"/>
  <c r="B48" i="72"/>
  <c r="E4" i="52"/>
  <c r="B21" i="72"/>
  <c r="D7" i="53"/>
  <c r="N60" i="9"/>
  <c r="N59" i="9"/>
  <c r="N61" i="9"/>
  <c r="D9" i="52"/>
  <c r="D123" i="9"/>
  <c r="C81" i="9"/>
  <c r="M55" i="9"/>
  <c r="D59" i="9"/>
  <c r="C73" i="9"/>
  <c r="C78" i="9"/>
  <c r="C6" i="74"/>
  <c r="G4" i="52"/>
  <c r="B52" i="72"/>
  <c r="H5" i="52"/>
  <c r="H119" i="9"/>
  <c r="G118" i="9"/>
  <c r="F118" i="9"/>
  <c r="F4" i="52"/>
  <c r="B51" i="72"/>
  <c r="B32" i="72"/>
  <c r="D14" i="53"/>
  <c r="M48" i="9"/>
  <c r="H4" i="52"/>
  <c r="C104" i="9"/>
  <c r="D5" i="53"/>
  <c r="B20" i="72"/>
  <c r="D54" i="9"/>
  <c r="C64" i="9"/>
  <c r="C63" i="9"/>
  <c r="C67" i="9"/>
  <c r="C68" i="9"/>
  <c r="C105" i="9"/>
  <c r="I4" i="52"/>
  <c r="H102" i="9"/>
  <c r="C5" i="74"/>
  <c r="B47" i="72"/>
  <c r="D4" i="52"/>
  <c r="H108" i="9"/>
  <c r="D15" i="53"/>
  <c r="B31" i="72"/>
  <c r="N58" i="9"/>
  <c r="D55" i="9"/>
  <c r="M53" i="9"/>
  <c r="N57" i="9"/>
  <c r="P57" i="9"/>
  <c r="D122" i="9"/>
  <c r="D8" i="52"/>
  <c r="C72" i="9"/>
  <c r="C79" i="9"/>
  <c r="C80" i="9"/>
  <c r="E80" i="9"/>
  <c r="E81" i="9"/>
  <c r="H107" i="9"/>
  <c r="D13" i="53"/>
  <c r="B30" i="72"/>
  <c r="D53" i="9"/>
  <c r="H101" i="9"/>
  <c r="D45" i="9"/>
  <c r="D52" i="9"/>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B65ED06-9105-4663-B40C-95A11339A05A}">
      <text>
        <r>
          <rPr>
            <b/>
            <sz val="9"/>
            <color indexed="81"/>
            <rFont val="宋体"/>
            <family val="3"/>
            <charset val="134"/>
          </rPr>
          <t>权重验证</t>
        </r>
        <r>
          <rPr>
            <sz val="9"/>
            <color indexed="81"/>
            <rFont val="宋体"/>
            <family val="3"/>
            <charset val="134"/>
          </rPr>
          <t xml:space="preserve">
</t>
        </r>
      </text>
    </comment>
    <comment ref="C58" authorId="1" shapeId="0" xr:uid="{C74BDD20-F72F-4CCD-AD74-F37C711F1437}">
      <text>
        <r>
          <rPr>
            <b/>
            <sz val="12"/>
            <color indexed="81"/>
            <rFont val="宋体"/>
            <family val="3"/>
            <charset val="134"/>
          </rPr>
          <t>价值时点所在月度</t>
        </r>
        <r>
          <rPr>
            <sz val="12"/>
            <color indexed="81"/>
            <rFont val="宋体"/>
            <family val="3"/>
            <charset val="134"/>
          </rPr>
          <t xml:space="preserve">
</t>
        </r>
      </text>
    </comment>
    <comment ref="B102" authorId="1" shapeId="0" xr:uid="{2C574D8D-E224-4027-9FCE-5941DD44F94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<sst xmlns="http://schemas.openxmlformats.org/spreadsheetml/2006/main" count="8383" uniqueCount="3515">
  <si>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</si>
  <si>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</si>
  <si>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</si>
  <si>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</si>
  <si>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</si>
  <si>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</si>
  <si>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</si>
  <si>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</si>
  <si>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</si>
  <si>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</si>
  <si>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</si>
  <si>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</si>
  <si>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</si>
  <si>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</si>
  <si>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</si>
  <si>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</si>
  <si>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</si>
  <si>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</si>
  <si>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</si>
  <si>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</si>
  <si>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</si>
  <si>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</si>
  <si>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</si>
  <si>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</si>
  <si>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</si>
  <si>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</si>
  <si>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</si>
  <si>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</si>
  <si>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</si>
  <si>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</si>
  <si>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</si>
  <si>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</si>
  <si>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</si>
  <si>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</si>
  <si>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</si>
  <si>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</si>
  <si>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</si>
  <si>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</si>
  <si>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</si>
  <si>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</si>
  <si>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</si>
  <si>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</si>
  <si>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</si>
  <si>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</si>
  <si>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</si>
  <si>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</si>
  <si>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</si>
  <si>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</si>
  <si>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</si>
  <si>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</si>
  <si>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</si>
  <si>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</si>
  <si>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</si>
  <si>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</si>
  <si>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</si>
  <si>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</si>
  <si>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</si>
  <si>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</si>
  <si>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</si>
  <si>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</si>
  <si>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</si>
  <si>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</si>
  <si>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</si>
  <si>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</si>
  <si>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</si>
  <si>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</si>
  <si>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</si>
  <si>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</si>
  <si>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</si>
  <si>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</si>
  <si>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</si>
  <si>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</si>
  <si>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</si>
  <si>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</si>
  <si>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</si>
  <si>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</si>
  <si>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</si>
  <si>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</si>
  <si>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</si>
  <si>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</si>
  <si>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</si>
  <si>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</si>
  <si>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</si>
  <si>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</si>
  <si>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</si>
  <si>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</si>
  <si>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</si>
  <si>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</si>
  <si>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</si>
  <si>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</si>
  <si>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</si>
  <si>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</si>
  <si>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</si>
  <si>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</si>
  <si>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</si>
  <si>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</si>
  <si>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</si>
  <si>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</si>
  <si>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</si>
  <si>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</si>
  <si>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</si>
  <si>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</si>
  <si>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</si>
  <si>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</si>
  <si>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</si>
  <si>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</si>
  <si>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</si>
  <si>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</si>
  <si>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</si>
  <si>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</si>
  <si>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</si>
  <si>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</si>
  <si>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</si>
  <si>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</si>
  <si>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</si>
  <si>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</si>
  <si>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</si>
  <si>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</si>
  <si>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</si>
  <si>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</si>
  <si>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</si>
  <si>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</si>
  <si>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</si>
  <si>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</si>
  <si>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</si>
  <si>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</si>
  <si>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</si>
  <si>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</si>
  <si>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</si>
  <si>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</si>
  <si>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</si>
  <si>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</si>
  <si>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</si>
  <si>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</si>
  <si>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</si>
  <si>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</si>
  <si>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</si>
  <si>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</si>
  <si>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</si>
  <si>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</si>
  <si>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</si>
  <si>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</si>
  <si>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</si>
  <si>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</si>
  <si>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</si>
  <si>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</si>
  <si>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</si>
  <si>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</si>
  <si>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</si>
  <si>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</si>
  <si>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</si>
  <si>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</si>
  <si>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</si>
  <si>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</si>
  <si>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</si>
  <si>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</si>
  <si>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</si>
  <si>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</si>
  <si>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</si>
  <si>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</si>
  <si>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</si>
  <si>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</si>
  <si>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</si>
  <si>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</si>
  <si>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</si>
  <si>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</si>
  <si>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</si>
  <si>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</si>
  <si>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</si>
  <si>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</si>
  <si>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</si>
  <si>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</si>
  <si>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</si>
  <si>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</si>
  <si>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</si>
  <si>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</si>
  <si>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</si>
  <si>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</si>
  <si>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</si>
  <si>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</si>
  <si>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</si>
  <si>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</si>
  <si>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</si>
  <si>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</si>
  <si>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</si>
  <si>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</si>
  <si>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</si>
  <si>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</si>
  <si>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</si>
  <si>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</si>
  <si>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</si>
  <si>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</si>
  <si>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</si>
  <si>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</si>
  <si>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</si>
  <si>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</si>
  <si>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</si>
  <si>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</si>
  <si>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</si>
  <si>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</si>
  <si>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</si>
  <si>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</si>
  <si>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</si>
  <si>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</si>
  <si>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</si>
  <si>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</si>
  <si>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</si>
  <si>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</si>
  <si>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</si>
  <si>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</si>
  <si>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</si>
  <si>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</si>
  <si>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</si>
  <si>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</si>
  <si>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</si>
  <si>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</si>
  <si>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</si>
  <si>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</si>
  <si>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</si>
  <si>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</si>
  <si>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</si>
  <si>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</si>
  <si>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</si>
  <si>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</si>
  <si>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</si>
  <si>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</si>
  <si>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</si>
  <si>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</si>
  <si>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</si>
  <si>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</si>
  <si>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</si>
  <si>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</si>
  <si>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</si>
  <si>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</si>
  <si>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</si>
  <si>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</si>
  <si>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</si>
  <si>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</si>
  <si>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</si>
  <si>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</si>
  <si>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</si>
  <si>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</si>
  <si>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</si>
  <si>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</si>
  <si>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</si>
  <si>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</si>
  <si>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</si>
  <si>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</si>
  <si>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</si>
  <si>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</si>
  <si>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</si>
  <si>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</si>
  <si>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</si>
  <si>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</si>
  <si>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</si>
  <si>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</si>
  <si>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</si>
  <si>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</si>
  <si>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</si>
  <si>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</si>
  <si>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</si>
  <si>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</si>
  <si>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</si>
  <si>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</si>
  <si>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</si>
  <si>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</si>
  <si>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</si>
  <si>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</si>
  <si>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</si>
  <si>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</si>
  <si>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</si>
  <si>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</si>
  <si>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</si>
  <si>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</si>
  <si>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</si>
  <si>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</si>
  <si>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</si>
  <si>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</si>
  <si>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</si>
  <si>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</si>
  <si>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</si>
  <si>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</si>
  <si>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</si>
  <si>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</si>
  <si>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</si>
  <si>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</si>
  <si>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</si>
  <si>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</si>
  <si>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</si>
  <si>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</si>
  <si>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</si>
  <si>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</si>
  <si>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</si>
  <si>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</si>
  <si>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</si>
  <si>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</si>
  <si>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</si>
  <si>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</si>
  <si>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</si>
  <si>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</si>
  <si>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</si>
  <si>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</si>
  <si>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</si>
  <si>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</si>
  <si>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</si>
  <si>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</si>
  <si>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</si>
  <si>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</si>
  <si>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</si>
  <si>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</si>
  <si>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</si>
  <si>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</si>
  <si>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</si>
  <si>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</si>
  <si>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</si>
  <si>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</si>
  <si>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</si>
  <si>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</si>
  <si>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</si>
  <si>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</si>
  <si>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</si>
  <si>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</si>
  <si>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</si>
  <si>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</si>
  <si>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</si>
  <si>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</si>
  <si>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</si>
  <si>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</si>
  <si>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</si>
  <si>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</si>
  <si>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</si>
  <si>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</si>
  <si>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</si>
  <si>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</si>
  <si>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</si>
  <si>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</si>
  <si>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</si>
  <si>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</si>
  <si>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</si>
  <si>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</si>
  <si>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</si>
  <si>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</si>
  <si>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</si>
  <si>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</si>
  <si>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</si>
  <si>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</si>
  <si>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</si>
  <si>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</si>
  <si>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</si>
  <si>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</si>
  <si>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</si>
  <si>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</si>
  <si>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</si>
  <si>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</si>
  <si>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</si>
  <si>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</si>
  <si>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</si>
  <si>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</si>
  <si>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</si>
  <si>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</si>
  <si>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</si>
  <si>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</si>
  <si>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</si>
  <si>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</si>
  <si>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</si>
  <si>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</si>
  <si>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</si>
  <si>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</si>
  <si>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</si>
  <si>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</si>
  <si>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</si>
  <si>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</si>
  <si>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</si>
  <si>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</si>
  <si>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</si>
  <si>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</si>
  <si>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</si>
  <si>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</si>
  <si>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</si>
  <si>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</si>
  <si>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</si>
  <si>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</si>
  <si>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</si>
  <si>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</si>
  <si>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</si>
  <si>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</si>
  <si>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</si>
  <si>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</si>
  <si>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</si>
  <si>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</si>
  <si>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</si>
  <si>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</si>
  <si>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</si>
  <si>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</si>
  <si>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</si>
  <si>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</si>
  <si>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</si>
  <si>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</si>
  <si>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</si>
  <si>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</si>
  <si>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</si>
  <si>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</si>
  <si>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</si>
  <si>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</si>
  <si>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</si>
  <si>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</si>
  <si>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</si>
  <si>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</si>
  <si>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</si>
  <si>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</si>
  <si>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</si>
  <si>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</si>
  <si>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</si>
  <si>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</si>
  <si>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</si>
  <si>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</si>
  <si>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</si>
  <si>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</si>
  <si>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</si>
  <si>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</si>
  <si>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</si>
  <si>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</si>
  <si>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</si>
  <si>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</si>
  <si>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</si>
  <si>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</si>
  <si>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</si>
  <si>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</si>
  <si>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</si>
  <si>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</si>
  <si>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</si>
  <si>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</si>
  <si>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</si>
  <si>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</si>
  <si>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</si>
  <si>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</si>
  <si>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</si>
  <si>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</si>
  <si>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</si>
  <si>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</si>
  <si>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</si>
  <si>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</si>
  <si>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</si>
  <si>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</si>
  <si>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</si>
  <si>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</si>
  <si>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</si>
  <si>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</si>
  <si>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</si>
  <si>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</si>
  <si>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</si>
  <si>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</si>
  <si>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</si>
  <si>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</si>
  <si>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</si>
  <si>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</si>
  <si>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</si>
  <si>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</si>
  <si>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</si>
  <si>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</si>
  <si>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</si>
  <si>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</si>
  <si>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</si>
  <si>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</si>
  <si>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</si>
  <si>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</si>
  <si>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</si>
  <si>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</si>
  <si>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</si>
  <si>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</si>
  <si>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</si>
  <si>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</si>
  <si>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</si>
  <si>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</si>
  <si>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</si>
  <si>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</si>
  <si>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</si>
  <si>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</si>
  <si>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</si>
  <si>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</si>
  <si>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</si>
  <si>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</si>
  <si>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</si>
  <si>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</si>
  <si>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</si>
  <si>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</si>
  <si>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</si>
  <si>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</si>
  <si>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</si>
  <si>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</si>
  <si>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</si>
  <si>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</si>
  <si>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</si>
  <si>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</si>
  <si>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</si>
  <si>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</si>
  <si>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</si>
  <si>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</si>
  <si>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</si>
  <si>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</si>
  <si>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</si>
  <si>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</si>
  <si>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</si>
  <si>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</si>
  <si>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</si>
  <si>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</si>
  <si>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</si>
  <si>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</si>
  <si>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</si>
  <si>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</si>
  <si>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</si>
  <si>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</si>
  <si>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</si>
  <si>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</si>
  <si>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</si>
  <si>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</si>
  <si>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</si>
  <si>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</si>
  <si>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</si>
  <si>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</si>
  <si>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</si>
  <si>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</si>
  <si>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</si>
  <si>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</si>
  <si>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</si>
  <si>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</si>
  <si>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</si>
  <si>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</si>
  <si>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</si>
  <si>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</si>
  <si>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</si>
  <si>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</si>
  <si>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</si>
  <si>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</si>
  <si>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</si>
  <si>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</si>
  <si>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</si>
  <si>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</si>
  <si>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</si>
  <si>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</si>
  <si>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</si>
  <si>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</si>
  <si>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</si>
  <si>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</si>
  <si>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</si>
  <si>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</si>
  <si>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</si>
  <si>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</si>
  <si>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</si>
  <si>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</si>
  <si>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</si>
  <si>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</si>
  <si>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</si>
  <si>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</si>
  <si>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</si>
  <si>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</si>
  <si>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</si>
  <si>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</si>
  <si>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</si>
  <si>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</si>
  <si>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</si>
  <si>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</si>
  <si>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</si>
  <si>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</si>
  <si>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</si>
  <si>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</si>
  <si>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</si>
  <si>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</si>
  <si>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</si>
  <si>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</si>
  <si>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</si>
  <si>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</si>
  <si>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</si>
  <si>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</si>
  <si>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</si>
  <si>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</si>
  <si>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</si>
  <si>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</si>
  <si>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</si>
  <si>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</si>
  <si>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</si>
  <si>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</si>
  <si>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</si>
  <si>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</si>
  <si>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</si>
  <si>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</si>
  <si>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</si>
  <si>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</si>
  <si>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</si>
  <si>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</si>
  <si>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</si>
  <si>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</si>
  <si>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</si>
  <si>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</si>
  <si>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</si>
  <si>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</si>
  <si>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</si>
  <si>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</si>
  <si>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</si>
  <si>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</si>
  <si>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</si>
  <si>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</si>
  <si>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</si>
  <si>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</si>
  <si>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</si>
  <si>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</si>
  <si>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</si>
  <si>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</si>
  <si>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</si>
  <si>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</si>
  <si>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</si>
  <si>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</si>
  <si>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</si>
  <si>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</si>
  <si>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</si>
  <si>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</si>
  <si>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</si>
  <si>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</si>
  <si>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</si>
  <si>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</si>
  <si>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</si>
  <si>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</si>
  <si>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</si>
  <si>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</si>
  <si>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</si>
  <si>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</si>
  <si>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</si>
  <si>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</si>
  <si>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</si>
  <si>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</si>
  <si>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</si>
  <si>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</si>
  <si>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</si>
  <si>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</si>
  <si>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</si>
  <si>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</si>
  <si>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</si>
  <si>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</si>
  <si>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</si>
  <si>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</si>
  <si>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</si>
  <si>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</si>
  <si>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</si>
  <si>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</si>
  <si>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</si>
  <si>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</si>
  <si>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</si>
  <si>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</si>
  <si>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</si>
  <si>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</si>
  <si>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</si>
  <si>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</si>
  <si>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</si>
  <si>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</si>
  <si>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</si>
  <si>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</si>
  <si>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</si>
  <si>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</si>
  <si>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</si>
  <si>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</si>
  <si>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</si>
  <si>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</si>
  <si>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</si>
  <si>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</si>
  <si>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</si>
  <si>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</si>
  <si>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</si>
  <si>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</si>
  <si>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</si>
  <si>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</si>
  <si>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</si>
  <si>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</si>
  <si>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</si>
  <si>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</si>
  <si>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</si>
  <si>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</si>
  <si>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</si>
  <si>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</si>
  <si>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</si>
  <si>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</si>
  <si>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</si>
  <si>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</si>
  <si>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</si>
  <si>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</si>
  <si>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</si>
  <si>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</si>
  <si>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</si>
  <si>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</si>
  <si>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</si>
  <si>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</si>
  <si>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</si>
  <si>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</si>
  <si>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</si>
  <si>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</si>
  <si>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</si>
  <si>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</si>
  <si>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</si>
  <si>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</si>
  <si>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</si>
  <si>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</si>
  <si>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</si>
  <si>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</si>
  <si>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</si>
  <si>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</si>
  <si>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</si>
  <si>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</si>
  <si>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</si>
  <si>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</si>
  <si>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</si>
  <si>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</si>
  <si>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</si>
  <si>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</si>
  <si>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</si>
  <si>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</si>
  <si>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</si>
  <si>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</si>
  <si>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</si>
  <si>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</si>
  <si>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</si>
  <si>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</si>
  <si>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</si>
  <si>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</si>
  <si>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</si>
  <si>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</si>
  <si>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</si>
  <si>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</si>
  <si>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</si>
  <si>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</si>
  <si>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</si>
  <si>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</si>
  <si>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</si>
  <si>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</si>
  <si>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</si>
  <si>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</si>
  <si>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</si>
  <si>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</si>
  <si>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</si>
  <si>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</si>
  <si>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</si>
  <si>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</si>
  <si>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</si>
  <si>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</si>
  <si>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</si>
  <si>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</si>
  <si>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</si>
  <si>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</si>
  <si>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</si>
  <si>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</si>
  <si>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</si>
  <si>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</si>
  <si>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</si>
  <si>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</si>
  <si>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</si>
  <si>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</si>
  <si>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</si>
  <si>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</si>
  <si>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</si>
  <si>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</si>
  <si>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</si>
  <si>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</si>
  <si>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</si>
  <si>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</si>
  <si>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</si>
  <si>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</si>
  <si>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</si>
  <si>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</si>
  <si>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</si>
  <si>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</si>
  <si>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</si>
  <si>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</si>
  <si>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</si>
  <si>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</si>
  <si>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</si>
  <si>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</si>
  <si>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</si>
  <si>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</si>
  <si>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</si>
  <si>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</si>
  <si>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</si>
  <si>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</si>
  <si>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</si>
  <si>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</si>
  <si>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</si>
  <si>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</si>
  <si>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</si>
  <si>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</si>
  <si>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</si>
  <si>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</si>
  <si>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</si>
  <si>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</si>
  <si>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</si>
  <si>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</si>
  <si>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</si>
  <si>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</si>
  <si>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</si>
  <si>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</si>
  <si>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</si>
  <si>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</si>
  <si>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</si>
  <si>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</si>
  <si>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</si>
  <si>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</si>
  <si>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</si>
  <si>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</si>
  <si>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</si>
  <si>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</si>
  <si>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</si>
  <si>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</si>
  <si>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</si>
  <si>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</si>
  <si>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</si>
  <si>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</si>
  <si>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</si>
  <si>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</si>
  <si>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</si>
  <si>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</si>
  <si>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</si>
  <si>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</si>
  <si>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</si>
  <si>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</si>
  <si>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</si>
  <si>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</si>
  <si>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</si>
  <si>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</si>
  <si>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</si>
  <si>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</si>
  <si>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</si>
  <si>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</si>
  <si>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</si>
  <si>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</si>
  <si>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</si>
  <si>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</si>
  <si>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</si>
  <si>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</si>
  <si>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</si>
  <si>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</si>
  <si>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</si>
  <si>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</si>
  <si>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</si>
  <si>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</si>
  <si>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</si>
  <si>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</si>
  <si>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</si>
  <si>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</si>
  <si>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</si>
  <si>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</si>
  <si>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</si>
  <si>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</si>
  <si>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</si>
  <si>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</si>
  <si>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</si>
  <si>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</si>
  <si>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</si>
  <si>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</si>
  <si>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</si>
  <si>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</si>
  <si>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</si>
  <si>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</si>
  <si>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</si>
  <si>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</si>
  <si>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</si>
  <si>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</si>
  <si>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</si>
  <si>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</si>
  <si>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</si>
  <si>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</si>
  <si>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</si>
  <si>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</si>
  <si>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</si>
  <si>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</si>
  <si>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</si>
  <si>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</si>
  <si>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</si>
  <si>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</si>
  <si>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</si>
  <si>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</si>
  <si>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</si>
  <si>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</si>
  <si>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</si>
  <si>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</si>
  <si>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</si>
  <si>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</si>
  <si>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</si>
  <si>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</si>
  <si>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</si>
  <si>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</si>
  <si>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</si>
  <si>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</si>
  <si>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</si>
  <si>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</si>
  <si>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</si>
  <si>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</si>
  <si>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</si>
  <si>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</si>
  <si>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</si>
  <si>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</si>
  <si>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</si>
  <si>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</si>
  <si>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</si>
  <si>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</si>
  <si>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</si>
  <si>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</si>
  <si>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</si>
  <si>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</si>
  <si>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</si>
  <si>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</si>
  <si>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</si>
  <si>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</si>
  <si>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</si>
  <si>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</si>
  <si>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</si>
  <si>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</si>
  <si>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</si>
  <si>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</si>
  <si>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</si>
  <si>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</si>
  <si>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</si>
  <si>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</si>
  <si>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</si>
  <si>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</si>
  <si>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</si>
  <si>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</si>
  <si>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</si>
  <si>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</si>
  <si>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</si>
  <si>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</si>
  <si>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</si>
  <si>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</si>
  <si>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</si>
  <si>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</si>
  <si>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</si>
  <si>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</si>
  <si>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</si>
  <si>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</si>
  <si>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</si>
  <si>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</si>
  <si>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</si>
  <si>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</si>
  <si>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</si>
  <si>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</si>
  <si>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</si>
  <si>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</si>
  <si>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</si>
  <si>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</si>
  <si>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</si>
  <si>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</si>
  <si>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</si>
  <si>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</si>
  <si>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</si>
  <si>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</si>
  <si>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</si>
  <si>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</si>
  <si>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</si>
  <si>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</si>
  <si>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</si>
  <si>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</si>
  <si>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</si>
  <si>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</si>
  <si>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</si>
  <si>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</si>
  <si>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</si>
  <si>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</si>
  <si>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</si>
  <si>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</si>
  <si>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</si>
  <si>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</si>
  <si>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</si>
  <si>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</si>
  <si>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</si>
  <si>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</si>
  <si>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</si>
  <si>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</si>
  <si>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</si>
  <si>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</si>
  <si>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</si>
  <si>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</si>
  <si>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</si>
  <si>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</si>
  <si>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</si>
  <si>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</si>
  <si>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</si>
  <si>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</si>
  <si>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</si>
  <si>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</si>
  <si>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</si>
  <si>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</si>
  <si>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</si>
  <si>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</si>
  <si>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</si>
  <si>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</si>
  <si>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</si>
  <si>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</si>
  <si>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</si>
  <si>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</si>
  <si>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</si>
  <si>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</si>
  <si>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</si>
  <si>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</si>
  <si>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</si>
  <si>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</si>
  <si>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</si>
  <si>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</si>
  <si>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</si>
  <si>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</si>
  <si>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</si>
  <si>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</si>
  <si>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</si>
  <si>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</si>
  <si>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</si>
  <si>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</si>
  <si>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</si>
  <si>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</si>
  <si>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</si>
  <si>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</si>
  <si>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</si>
  <si>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</si>
  <si>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</si>
  <si>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</si>
  <si>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</si>
  <si>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</si>
  <si>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</si>
  <si>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</si>
  <si>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</si>
  <si>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</si>
  <si>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</si>
  <si>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</si>
  <si>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</si>
  <si>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</si>
  <si>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</si>
  <si>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</si>
  <si>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</si>
  <si>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</si>
  <si>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</si>
  <si>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</si>
  <si>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</si>
  <si>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</si>
  <si>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</si>
  <si>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</si>
  <si>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</si>
  <si>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</si>
  <si>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</si>
  <si>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</si>
  <si>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</si>
  <si>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</si>
  <si>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</si>
  <si>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</si>
  <si>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</si>
  <si>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</si>
  <si>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</si>
  <si>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</si>
  <si>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</si>
  <si>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</si>
  <si>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</si>
  <si>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</si>
  <si>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</si>
  <si>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</si>
  <si>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</si>
  <si>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</si>
  <si>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</si>
  <si>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</si>
  <si>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</si>
  <si>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</si>
  <si>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</si>
  <si>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</si>
  <si>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</si>
  <si>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</si>
  <si>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</si>
  <si>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</si>
  <si>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</si>
  <si>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</si>
  <si>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</si>
  <si>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</si>
  <si>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</si>
  <si>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</si>
  <si>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</si>
  <si>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</si>
  <si>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</si>
  <si>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</si>
  <si>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</si>
  <si>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</si>
  <si>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</si>
  <si>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</si>
  <si>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</si>
  <si>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</si>
  <si>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</si>
  <si>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</si>
  <si>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</si>
  <si>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</si>
  <si>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</si>
  <si>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</si>
  <si>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</si>
  <si>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</si>
  <si>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</si>
  <si>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</si>
  <si>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</si>
  <si>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</si>
  <si>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</si>
  <si>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</si>
  <si>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</si>
  <si>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</si>
  <si>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</si>
  <si>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</si>
  <si>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</si>
  <si>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</si>
  <si>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</si>
  <si>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</si>
  <si>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</si>
  <si>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</si>
  <si>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</si>
  <si>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</si>
  <si>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</si>
  <si>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</si>
  <si>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</si>
  <si>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</si>
  <si>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</si>
  <si>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</si>
  <si>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</si>
  <si>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</si>
  <si>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</si>
  <si>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</si>
  <si>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</si>
  <si>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</si>
  <si>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</si>
  <si>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</si>
  <si>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</si>
  <si>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</si>
  <si>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</si>
  <si>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</si>
  <si>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</si>
  <si>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</si>
  <si>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</si>
  <si>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</si>
  <si>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</si>
  <si>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</si>
  <si>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</si>
  <si>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</si>
  <si>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</si>
  <si>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</si>
  <si>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</si>
  <si>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</si>
  <si>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</si>
  <si>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</si>
  <si>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</si>
  <si>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</si>
  <si>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</si>
  <si>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</si>
  <si>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</si>
  <si>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</si>
  <si>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</si>
  <si>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</si>
  <si>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</si>
  <si>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</si>
  <si>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</si>
  <si>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</si>
  <si>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</si>
  <si>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</si>
  <si>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</si>
  <si>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</si>
  <si>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</si>
  <si>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</si>
  <si>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</si>
  <si>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</si>
  <si>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</si>
  <si>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</si>
  <si>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</si>
  <si>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</si>
  <si>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</si>
  <si>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</si>
  <si>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</si>
  <si>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</si>
  <si>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</si>
  <si>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</si>
  <si>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</si>
  <si>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</si>
  <si>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</si>
  <si>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</si>
  <si>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</si>
  <si>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</si>
  <si>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</si>
  <si>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</si>
  <si>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</si>
  <si>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</si>
  <si>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</si>
  <si>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</si>
  <si>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</si>
  <si>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</si>
  <si>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</si>
  <si>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</si>
  <si>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</si>
  <si>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</si>
  <si>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</si>
  <si>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</si>
  <si>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</si>
  <si>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</si>
  <si>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</si>
  <si>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</si>
  <si>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</si>
  <si>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</si>
  <si>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</si>
  <si>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</si>
  <si>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</si>
  <si>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</si>
  <si>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</si>
  <si>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</si>
  <si>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</si>
  <si>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</si>
  <si>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</si>
  <si>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</si>
  <si>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</si>
  <si>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</si>
  <si>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</si>
  <si>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</si>
  <si>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</si>
  <si>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</si>
  <si>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</si>
  <si>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</si>
  <si>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</si>
  <si>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</si>
  <si>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</si>
  <si>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</si>
  <si>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</si>
  <si>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</si>
  <si>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</si>
  <si>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</si>
  <si>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</si>
  <si>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</si>
  <si>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</si>
  <si>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</si>
  <si>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</si>
  <si>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</si>
  <si>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</si>
  <si>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</si>
  <si>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</si>
  <si>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</si>
  <si>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</si>
  <si>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</si>
  <si>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</si>
  <si>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</si>
  <si>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</si>
  <si>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</si>
  <si>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</si>
  <si>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</si>
  <si>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</si>
  <si>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</si>
  <si>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</si>
  <si>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</si>
  <si>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</si>
  <si>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</si>
  <si>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</si>
  <si>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</si>
  <si>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</si>
  <si>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</si>
  <si>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</si>
  <si>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</si>
  <si>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</si>
  <si>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</si>
  <si>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</si>
  <si>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</si>
  <si>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</si>
  <si>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</si>
  <si>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</si>
  <si>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</si>
  <si>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</si>
  <si>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</si>
  <si>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</si>
  <si>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</si>
  <si>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</si>
  <si>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</si>
  <si>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</si>
  <si>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</si>
  <si>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</si>
  <si>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</si>
  <si>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</si>
  <si>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</si>
  <si>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</si>
  <si>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</si>
  <si>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</si>
  <si>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</si>
  <si>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</si>
  <si>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</si>
  <si>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</si>
  <si>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</si>
  <si>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</si>
  <si>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</si>
  <si>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</si>
  <si>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</si>
  <si>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</si>
  <si>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</si>
  <si>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</si>
  <si>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</si>
  <si>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</si>
  <si>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</si>
  <si>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</si>
  <si>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</si>
  <si>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</si>
  <si>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</si>
  <si>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</si>
  <si>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</si>
  <si>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</si>
  <si>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</si>
  <si>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</si>
  <si>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</si>
  <si>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</si>
  <si>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</si>
  <si>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</si>
  <si>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</si>
  <si>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</si>
  <si>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</si>
  <si>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</si>
  <si>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</si>
  <si>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</si>
  <si>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</si>
  <si>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</si>
  <si>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</si>
  <si>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</si>
  <si>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</si>
  <si>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</si>
  <si>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</si>
  <si>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</si>
  <si>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</si>
  <si>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</si>
  <si>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</si>
  <si>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</si>
  <si>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</si>
  <si>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</si>
  <si>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</si>
  <si>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</si>
  <si>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</si>
  <si>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</si>
  <si>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</si>
  <si>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</si>
  <si>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</si>
  <si>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</si>
  <si>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</si>
  <si>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</si>
  <si>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</si>
  <si>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</si>
  <si>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</si>
  <si>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</si>
  <si>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</si>
  <si>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</si>
  <si>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</si>
  <si>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</si>
  <si>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</si>
  <si>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</si>
  <si>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</si>
  <si>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</si>
  <si>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</si>
  <si>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</si>
  <si>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</si>
  <si>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</si>
  <si>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</si>
  <si>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</si>
  <si>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</si>
  <si>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</si>
  <si>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</si>
  <si>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</si>
  <si>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</si>
  <si>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</si>
  <si>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</si>
  <si>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</si>
  <si>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</si>
  <si>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</si>
  <si>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</si>
  <si>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</si>
  <si>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</si>
  <si>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</si>
  <si>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</si>
  <si>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</si>
  <si>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</si>
  <si>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</si>
  <si>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</si>
  <si>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</si>
  <si>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</si>
  <si>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</si>
  <si>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</si>
  <si>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</si>
  <si>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</si>
  <si>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</si>
  <si>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</si>
  <si>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</si>
  <si>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</si>
  <si>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</si>
  <si>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</si>
  <si>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</si>
  <si>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</si>
  <si>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</si>
  <si>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</si>
  <si>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</si>
  <si>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</si>
  <si>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</si>
  <si>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</si>
  <si>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</si>
  <si>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</si>
  <si>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</si>
  <si>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</si>
  <si>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</si>
  <si>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</si>
  <si>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</si>
  <si>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</si>
  <si>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</si>
  <si>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</si>
  <si>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</si>
  <si>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</si>
  <si>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</si>
  <si>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</si>
  <si>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</si>
  <si>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</si>
  <si>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</si>
  <si>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</si>
  <si>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</si>
  <si>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</si>
  <si>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</si>
  <si>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</si>
  <si>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</si>
  <si>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</si>
  <si>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</si>
  <si>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</si>
  <si>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</si>
  <si>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</si>
  <si>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</si>
  <si>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</si>
  <si>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</si>
  <si>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</si>
  <si>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</si>
  <si>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</si>
  <si>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</si>
  <si>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</si>
  <si>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</si>
  <si>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</si>
  <si>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</si>
  <si>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</si>
  <si>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</si>
  <si>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</si>
  <si>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</si>
  <si>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</si>
  <si>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</si>
  <si>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</si>
  <si>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</si>
  <si>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</si>
  <si>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</si>
  <si>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</si>
  <si>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</si>
  <si>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</si>
  <si>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</si>
  <si>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</si>
  <si>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</si>
  <si>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</si>
  <si>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</si>
  <si>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</si>
  <si>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</si>
  <si>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</si>
  <si>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</si>
  <si>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</si>
  <si>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</si>
  <si>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</si>
  <si>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</si>
  <si>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</si>
  <si>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</si>
  <si>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</si>
  <si>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</si>
  <si>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</si>
  <si>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</si>
  <si>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</si>
  <si>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</si>
  <si>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</si>
  <si>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</si>
  <si>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</si>
  <si>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</si>
  <si>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</si>
  <si>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</si>
  <si>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</si>
  <si>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</si>
  <si>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</si>
  <si>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</si>
  <si>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</si>
  <si>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</si>
  <si>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</si>
  <si>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</si>
  <si>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</si>
  <si>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</si>
  <si>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</si>
  <si>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</si>
  <si>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</si>
  <si>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</si>
  <si>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</si>
  <si>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</si>
  <si>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</si>
  <si>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</si>
  <si>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</si>
  <si>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</si>
  <si>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</si>
  <si>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</si>
  <si>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</si>
  <si>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</si>
  <si>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</si>
  <si>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</si>
  <si>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</si>
  <si>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</si>
  <si>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</si>
  <si>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</si>
  <si>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</si>
  <si>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</si>
  <si>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</si>
  <si>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</si>
  <si>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</si>
  <si>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</si>
  <si>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</si>
  <si>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</si>
  <si>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</si>
  <si>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</si>
  <si>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</si>
  <si>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</si>
  <si>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</si>
  <si>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</si>
  <si>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</si>
  <si>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</si>
  <si>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</si>
  <si>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</si>
  <si>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</si>
  <si>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</si>
  <si>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</si>
  <si>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</si>
  <si>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</si>
  <si>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</si>
  <si>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</si>
  <si>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</si>
  <si>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</si>
  <si>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</si>
  <si>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</si>
  <si>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</si>
  <si>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</si>
  <si>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</si>
  <si>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</si>
  <si>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</si>
  <si>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</si>
  <si>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</si>
  <si>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</si>
  <si>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</si>
  <si>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</si>
  <si>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</si>
  <si>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</si>
  <si>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</si>
  <si>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</si>
  <si>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</si>
  <si>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</si>
  <si>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</si>
  <si>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</si>
  <si>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</si>
  <si>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</si>
  <si>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</si>
  <si>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</si>
  <si>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</si>
  <si>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</si>
  <si>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</si>
  <si>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</si>
  <si>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</si>
  <si>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</si>
  <si>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</si>
  <si>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</si>
  <si>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</si>
  <si>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</si>
  <si>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</si>
  <si>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</si>
  <si>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</si>
  <si>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</si>
  <si>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</si>
  <si>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</si>
  <si>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</si>
  <si>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</si>
  <si>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</si>
  <si>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</si>
  <si>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</si>
  <si>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</si>
  <si>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</si>
  <si>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</si>
  <si>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</si>
  <si>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</si>
  <si>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</si>
  <si>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</si>
  <si>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</si>
  <si>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</si>
  <si>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</si>
  <si>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</si>
  <si>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</si>
  <si>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</si>
  <si>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</si>
  <si>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</si>
  <si>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</si>
  <si>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</si>
  <si>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</si>
  <si>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</si>
  <si>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</si>
  <si>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</si>
  <si>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</si>
  <si>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</si>
  <si>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</si>
  <si>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</si>
  <si>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</si>
  <si>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</si>
  <si>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</si>
  <si>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</si>
  <si>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</si>
  <si>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</si>
  <si>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</si>
  <si>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</si>
  <si>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</si>
  <si>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</si>
  <si>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</si>
  <si>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</si>
  <si>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</si>
  <si>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</si>
  <si>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</si>
  <si>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</si>
  <si>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</si>
  <si>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</si>
  <si>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</si>
  <si>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</si>
  <si>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</si>
  <si>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</si>
  <si>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</si>
  <si>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</si>
  <si>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</si>
  <si>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</si>
  <si>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</si>
  <si>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</si>
  <si>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</si>
  <si>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</si>
  <si>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</si>
  <si>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</si>
  <si>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</si>
  <si>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</si>
  <si>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</si>
  <si>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</si>
  <si>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</si>
  <si>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</si>
  <si>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</si>
  <si>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</si>
  <si>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</si>
  <si>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</si>
  <si>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</si>
  <si>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</si>
  <si>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</si>
  <si>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</si>
  <si>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</si>
  <si>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</si>
  <si>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</si>
  <si>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</si>
  <si>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</si>
  <si>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</si>
  <si>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</si>
  <si>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</si>
  <si>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</si>
  <si>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</si>
  <si>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</si>
  <si>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</si>
  <si>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</si>
  <si>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</si>
  <si>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</si>
  <si>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</si>
  <si>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</si>
  <si>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</si>
  <si>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</si>
  <si>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</si>
  <si>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</si>
  <si>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</si>
  <si>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</si>
  <si>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</si>
  <si>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</si>
  <si>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</si>
  <si>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</si>
  <si>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</si>
  <si>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</si>
  <si>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</si>
  <si>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</si>
  <si>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</si>
  <si>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</si>
  <si>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</si>
  <si>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</si>
  <si>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</si>
  <si>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</si>
  <si>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</si>
  <si>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</si>
  <si>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</si>
  <si>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</si>
  <si>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</si>
  <si>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</si>
  <si>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</si>
  <si>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</si>
  <si>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</si>
  <si>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</si>
  <si>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</si>
  <si>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</si>
  <si>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</si>
  <si>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</si>
  <si>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</si>
  <si>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</si>
  <si>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</si>
  <si>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</si>
  <si>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</si>
  <si>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</si>
  <si>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</si>
  <si>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</si>
  <si>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</si>
  <si>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</si>
  <si>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</si>
  <si>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</si>
  <si>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</si>
  <si>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</si>
  <si>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</si>
  <si>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</si>
  <si>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</si>
  <si>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</si>
  <si>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</si>
  <si>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</si>
  <si>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</si>
  <si>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</si>
  <si>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</si>
  <si>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</si>
  <si>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</si>
  <si>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</si>
  <si>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</si>
  <si>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</si>
  <si>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</si>
  <si>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</si>
  <si>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</si>
  <si>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</si>
  <si>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</si>
  <si>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</si>
  <si>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</si>
  <si>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</si>
  <si>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</si>
  <si>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</si>
  <si>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</si>
  <si>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</si>
  <si>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</si>
  <si>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</si>
  <si>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</si>
  <si>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</si>
  <si>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</si>
  <si>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</si>
  <si>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</si>
  <si>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</si>
  <si>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</si>
  <si>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</si>
  <si>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</si>
  <si>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</si>
  <si>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</si>
  <si>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</si>
  <si>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</si>
  <si>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</si>
  <si>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</si>
  <si>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</si>
  <si>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</si>
  <si>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</si>
  <si>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</si>
  <si>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</si>
  <si>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</si>
  <si>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</si>
  <si>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</si>
  <si>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</si>
  <si>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</si>
  <si>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</si>
  <si>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</si>
  <si>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</si>
  <si>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</si>
  <si>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</si>
  <si>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</si>
  <si>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</si>
  <si>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</si>
  <si>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</si>
  <si>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</si>
  <si>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</si>
  <si>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</si>
  <si>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</si>
  <si>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</si>
  <si>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</si>
  <si>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</si>
  <si>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</si>
  <si>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</si>
  <si>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</si>
  <si>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</si>
  <si>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</si>
  <si>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</si>
  <si>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</si>
  <si>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</si>
  <si>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</si>
  <si>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</si>
  <si>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</si>
  <si>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</si>
  <si>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</si>
  <si>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</si>
  <si>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</si>
  <si>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</si>
  <si>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</si>
  <si>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</si>
  <si>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</si>
  <si>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</si>
  <si>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</si>
  <si>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</si>
  <si>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</si>
  <si>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</si>
  <si>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</si>
  <si>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</si>
  <si>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</si>
  <si>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</si>
  <si>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</si>
  <si>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</si>
  <si>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</si>
  <si>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</si>
  <si>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</si>
  <si>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</si>
  <si>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</si>
  <si>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</si>
  <si>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</si>
  <si>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</si>
  <si>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</si>
  <si>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</si>
  <si>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</si>
  <si>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</si>
  <si>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</si>
  <si>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</si>
  <si>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</si>
  <si>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</si>
  <si>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</si>
  <si>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</si>
  <si>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</si>
  <si>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</si>
  <si>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</si>
  <si>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</si>
  <si>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</si>
  <si>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</si>
  <si>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</si>
  <si>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</si>
  <si>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</si>
  <si>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</si>
  <si>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</si>
  <si>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</si>
  <si>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</si>
  <si>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</si>
  <si>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</si>
  <si>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</si>
  <si>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</si>
  <si>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</si>
  <si>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</si>
  <si>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</si>
  <si>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</si>
  <si>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</si>
  <si>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</si>
  <si>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</si>
  <si>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</si>
  <si>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</si>
  <si>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</si>
  <si>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</si>
  <si>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</si>
  <si>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</si>
  <si>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</si>
  <si>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</si>
  <si>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</si>
  <si>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</si>
  <si>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</si>
  <si>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</si>
  <si>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</si>
  <si>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</si>
  <si>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</si>
  <si>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</si>
  <si>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</si>
  <si>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</si>
  <si>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</si>
  <si>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</si>
  <si>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</si>
  <si>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</si>
  <si>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</si>
  <si>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</si>
  <si>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</si>
  <si>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</si>
  <si>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</si>
  <si>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</si>
  <si>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</si>
  <si>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</si>
  <si>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</si>
  <si>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</si>
  <si>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</si>
  <si>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</si>
  <si>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</si>
  <si>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</si>
  <si>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</si>
  <si>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</si>
  <si>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</si>
  <si>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</si>
  <si>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</si>
  <si>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</si>
  <si>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</si>
  <si>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</si>
  <si>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</si>
  <si>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</si>
  <si>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</si>
  <si>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</si>
  <si>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</si>
  <si>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</si>
  <si>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</si>
  <si>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</si>
  <si>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</si>
  <si>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</si>
  <si>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</si>
  <si>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</si>
  <si>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</si>
  <si>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</si>
  <si>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</si>
  <si>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</si>
  <si>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</si>
  <si>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</si>
  <si>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</si>
  <si>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</si>
  <si>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</si>
  <si>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</si>
  <si>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</si>
  <si>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</si>
  <si>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</si>
  <si>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</si>
  <si>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</si>
  <si>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</si>
  <si>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</si>
  <si>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</si>
  <si>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</si>
  <si>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</si>
  <si>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</si>
  <si>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</si>
  <si>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</si>
  <si>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</si>
  <si>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</si>
  <si>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</si>
  <si>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</si>
  <si>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</si>
  <si>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</si>
  <si>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</si>
  <si>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</si>
  <si>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</si>
  <si>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</si>
  <si>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</si>
  <si>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</si>
  <si>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</si>
  <si>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</si>
  <si>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</si>
  <si>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</si>
  <si>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</si>
  <si>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</si>
  <si>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</si>
  <si>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</si>
  <si>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</si>
  <si>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</si>
  <si>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</si>
  <si>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</si>
  <si>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</si>
  <si>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</si>
  <si>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</si>
  <si>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</si>
  <si>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</si>
  <si>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</si>
  <si>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</si>
  <si>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</si>
  <si>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</si>
  <si>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</si>
  <si>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</si>
  <si>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</si>
  <si>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</si>
  <si>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</si>
  <si>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</si>
  <si>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</si>
  <si>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</si>
  <si>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</si>
  <si>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</si>
  <si>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</si>
  <si>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</si>
  <si>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</si>
  <si>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</si>
  <si>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</si>
  <si>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</si>
  <si>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</si>
  <si>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</si>
  <si>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</si>
  <si>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</si>
  <si>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</si>
  <si>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</si>
  <si>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</si>
  <si>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</si>
  <si>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</si>
  <si>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</si>
  <si>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</si>
  <si>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</si>
  <si>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</si>
  <si>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</si>
  <si>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</si>
  <si>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</si>
  <si>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</si>
  <si>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</si>
  <si>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</si>
  <si>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</si>
  <si>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</si>
  <si>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</si>
  <si>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</si>
  <si>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</si>
  <si>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</si>
  <si>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</si>
  <si>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</si>
  <si>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</si>
  <si>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</si>
  <si>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</si>
  <si>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</si>
  <si>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</si>
  <si>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</si>
  <si>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</si>
  <si>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</si>
  <si>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</si>
  <si>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</si>
  <si>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</si>
  <si>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</si>
  <si>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</si>
  <si>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</si>
  <si>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</si>
  <si>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</si>
  <si>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</si>
  <si>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</si>
  <si>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</si>
  <si>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</si>
  <si>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</si>
  <si>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</si>
  <si>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</si>
  <si>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</si>
  <si>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</si>
  <si>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</si>
  <si>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</si>
  <si>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</si>
  <si>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</si>
  <si>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</si>
  <si>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</si>
  <si>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</si>
  <si>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</si>
  <si>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</si>
  <si>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</si>
  <si>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</si>
  <si>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</si>
  <si>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</si>
  <si>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</si>
  <si>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</si>
  <si>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</si>
  <si>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</si>
  <si>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</si>
  <si>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</si>
  <si>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</si>
  <si>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</si>
  <si>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</si>
  <si>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</si>
  <si>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</si>
  <si>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</si>
  <si>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</si>
  <si>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</si>
  <si>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</si>
  <si>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</si>
  <si>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</si>
  <si>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</si>
  <si>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</si>
  <si>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</si>
  <si>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</si>
  <si>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</si>
  <si>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</si>
  <si>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</si>
  <si>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</si>
  <si>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</si>
  <si>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</si>
  <si>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</si>
  <si>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</si>
  <si>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</si>
  <si>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</si>
  <si>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</si>
  <si>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</si>
  <si>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</si>
  <si>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</si>
  <si>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</si>
  <si>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</si>
  <si>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</si>
  <si>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</si>
  <si>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</si>
  <si>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</si>
  <si>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</si>
  <si>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</si>
  <si>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</si>
  <si>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</si>
  <si>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</si>
  <si>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</si>
  <si>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</si>
  <si>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</si>
  <si>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</si>
  <si>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</si>
  <si>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</si>
  <si>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</si>
  <si>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</si>
  <si>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</si>
  <si>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</si>
  <si>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</si>
  <si>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</si>
  <si>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</si>
  <si>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</si>
  <si>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</si>
  <si>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</si>
  <si>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</si>
  <si>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</si>
  <si>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</si>
  <si>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</si>
  <si>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</si>
  <si>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</si>
  <si>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</si>
  <si>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</si>
  <si>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</si>
  <si>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</si>
  <si>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</si>
  <si>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</si>
  <si>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</si>
  <si>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</si>
  <si>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</si>
  <si>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</si>
  <si>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</si>
  <si>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</si>
  <si>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</si>
  <si>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</si>
  <si>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</si>
  <si>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</si>
  <si>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</si>
  <si>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</si>
  <si>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</si>
  <si>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</si>
  <si>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</si>
  <si>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</si>
  <si>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</si>
  <si>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</si>
  <si>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</si>
  <si>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</si>
  <si>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</si>
  <si>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</si>
  <si>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</si>
  <si>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</si>
  <si>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</si>
  <si>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</si>
  <si>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</si>
  <si>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</si>
  <si>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</si>
  <si>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</si>
  <si>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</si>
  <si>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</si>
  <si>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</si>
  <si>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</si>
  <si>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</si>
  <si>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</si>
  <si>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</si>
  <si>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</si>
  <si>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</si>
  <si>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</si>
  <si>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</si>
  <si>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</si>
  <si>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</si>
  <si>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</si>
  <si>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</si>
  <si>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</si>
  <si>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</si>
  <si>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</si>
  <si>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</si>
  <si>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</si>
  <si>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</si>
  <si>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</si>
  <si>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</si>
  <si>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</si>
  <si>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</si>
  <si>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</si>
  <si>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</si>
  <si>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</si>
  <si>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</si>
  <si>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</si>
  <si>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</si>
  <si>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</si>
  <si>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</si>
  <si>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</si>
  <si>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</si>
  <si>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</si>
  <si>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</si>
  <si>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</si>
  <si>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</si>
  <si>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</si>
  <si>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</si>
  <si>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</si>
  <si>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</si>
  <si>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</si>
  <si>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</si>
  <si>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</si>
  <si>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</si>
  <si>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</si>
  <si>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</si>
  <si>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</si>
  <si>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</si>
  <si>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</si>
  <si>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</si>
  <si>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</si>
  <si>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</si>
  <si>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</si>
  <si>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</si>
  <si>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</si>
  <si>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</si>
  <si>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</si>
  <si>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</si>
  <si>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</si>
  <si>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</si>
  <si>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</si>
  <si>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</si>
  <si>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</si>
  <si>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</si>
  <si>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</si>
  <si>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</si>
  <si>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</si>
  <si>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</si>
  <si>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</si>
  <si>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</si>
  <si>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</si>
  <si>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</si>
  <si>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</si>
  <si>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</si>
  <si>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</si>
  <si>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</si>
  <si>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</si>
  <si>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</si>
  <si>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</si>
  <si>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</si>
  <si>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</si>
  <si>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</si>
  <si>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</si>
  <si>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</si>
  <si>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</si>
  <si>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</si>
  <si>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</si>
  <si>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</si>
  <si>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</si>
  <si>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</si>
  <si>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</si>
  <si>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</si>
  <si>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</si>
  <si>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</si>
  <si>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</si>
  <si>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</si>
  <si>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</si>
  <si>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</si>
  <si>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</si>
  <si>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</si>
  <si>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</si>
  <si>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</si>
  <si>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</si>
  <si>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</si>
  <si>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</si>
  <si>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</si>
  <si>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</si>
  <si>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</si>
  <si>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</si>
  <si>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</si>
  <si>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</si>
  <si>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</si>
  <si>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</si>
  <si>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</si>
  <si>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</si>
  <si>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</si>
  <si>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</si>
  <si>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</si>
  <si>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</si>
  <si>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</si>
  <si>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</si>
  <si>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</si>
  <si>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</si>
  <si>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</si>
  <si>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</si>
  <si>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</si>
  <si>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</si>
  <si>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</si>
  <si>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</si>
  <si>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</si>
  <si>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</si>
  <si>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</si>
  <si>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</si>
  <si>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</si>
  <si>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</si>
  <si>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</si>
  <si>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</si>
  <si>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</si>
  <si>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</si>
  <si>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</si>
  <si>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</si>
  <si>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</si>
  <si>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</si>
  <si>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</si>
  <si>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</si>
  <si>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</si>
  <si>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</si>
  <si>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</si>
  <si>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</si>
  <si>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</si>
  <si>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</si>
  <si>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</si>
  <si>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</si>
  <si>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</si>
  <si>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</si>
  <si>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</si>
  <si>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</si>
  <si>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</si>
  <si>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</si>
  <si>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</si>
  <si>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</si>
  <si>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</si>
  <si>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</si>
  <si>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</si>
  <si>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</si>
  <si>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</si>
  <si>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</si>
  <si>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</si>
  <si>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</si>
  <si>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</si>
  <si>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</si>
  <si>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</si>
  <si>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</si>
  <si>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</si>
  <si>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</si>
  <si>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</si>
  <si>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</si>
  <si>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</si>
  <si>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</si>
  <si>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</si>
  <si>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</si>
  <si>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</si>
  <si>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</si>
  <si>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</si>
  <si>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</si>
  <si>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</si>
  <si>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</si>
  <si>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</si>
  <si>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</si>
  <si>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</si>
  <si>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</si>
  <si>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</si>
  <si>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</si>
  <si>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</si>
  <si>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</si>
  <si>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</si>
  <si>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</si>
  <si>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</si>
  <si>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</si>
  <si>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</si>
  <si>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</si>
  <si>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</si>
  <si>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</si>
  <si>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</si>
  <si>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</si>
  <si>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</si>
  <si>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</si>
  <si>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</si>
  <si>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</si>
  <si>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</si>
  <si>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</si>
  <si>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</si>
  <si>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</si>
  <si>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</si>
  <si>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</si>
  <si>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</si>
  <si>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</si>
  <si>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</si>
  <si>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</si>
  <si>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</si>
  <si>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</si>
  <si>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</si>
  <si>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</si>
  <si>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</si>
  <si>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</si>
  <si>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</si>
  <si>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</si>
  <si>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</si>
  <si>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</si>
  <si>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</si>
  <si>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</si>
  <si>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</si>
  <si>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</si>
  <si>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</si>
  <si>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</si>
  <si>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</si>
  <si>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</si>
  <si>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</si>
  <si>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</si>
  <si>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</si>
  <si>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</si>
  <si>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</si>
  <si>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</si>
  <si>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</si>
  <si>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</si>
  <si>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</si>
  <si>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</si>
  <si>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</si>
  <si>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</si>
  <si>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</si>
  <si>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</si>
  <si>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</si>
  <si>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</si>
  <si>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</si>
  <si>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</si>
  <si>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</si>
  <si>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</si>
  <si>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</si>
  <si>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</si>
  <si>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</si>
  <si>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</si>
  <si>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</si>
  <si>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</si>
  <si>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</si>
  <si>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</si>
  <si>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</si>
  <si>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</si>
  <si>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</si>
  <si>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</si>
  <si>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</si>
  <si>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</si>
  <si>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</si>
  <si>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</si>
  <si>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</si>
  <si>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</si>
  <si>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</si>
  <si>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</si>
  <si>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</si>
  <si>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</si>
  <si>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</si>
  <si>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</si>
  <si>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</si>
  <si>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</si>
  <si>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</si>
  <si>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</si>
  <si>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</si>
  <si>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</si>
  <si>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</si>
  <si>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</si>
  <si>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</si>
  <si>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</si>
  <si>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</si>
  <si>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</si>
  <si>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</si>
  <si>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</si>
  <si>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</si>
  <si>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</si>
  <si>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</si>
  <si>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</si>
  <si>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</si>
  <si>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</si>
  <si>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</si>
  <si>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</si>
  <si>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</si>
  <si>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</si>
  <si>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</si>
  <si>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</si>
  <si>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</si>
  <si>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</si>
  <si>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</si>
  <si>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</si>
  <si>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</si>
  <si>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</si>
  <si>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</si>
  <si>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</si>
  <si>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</si>
  <si>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</si>
  <si>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</si>
  <si>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</si>
  <si>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</si>
  <si>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</si>
  <si>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</si>
  <si>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</si>
  <si>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</si>
  <si>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</si>
  <si>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</si>
  <si>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</si>
  <si>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</si>
  <si>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</si>
  <si>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</si>
  <si>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</si>
  <si>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</si>
  <si>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</si>
  <si>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</si>
  <si>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</si>
  <si>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</si>
  <si>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</si>
  <si>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</si>
  <si>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</si>
  <si>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</si>
  <si>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</si>
  <si>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</si>
  <si>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</si>
  <si>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</si>
  <si>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</si>
  <si>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</si>
  <si>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</si>
  <si>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</si>
  <si>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</si>
  <si>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</si>
  <si>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</si>
  <si>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</si>
  <si>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</si>
  <si>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</si>
  <si>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</si>
  <si>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</si>
  <si>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</si>
  <si>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</si>
  <si>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</si>
  <si>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</si>
  <si>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</si>
  <si>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</si>
  <si>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</si>
  <si>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</si>
  <si>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</si>
  <si>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</si>
  <si>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</si>
  <si>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</si>
  <si>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</si>
  <si>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</si>
  <si>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</si>
  <si>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</si>
  <si>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</si>
  <si>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</si>
  <si>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</si>
  <si>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</si>
  <si>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</si>
  <si>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</si>
  <si>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</si>
  <si>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</si>
  <si>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</si>
  <si>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</si>
  <si>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</si>
  <si>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</si>
  <si>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</si>
  <si>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</si>
  <si>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</si>
  <si>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</si>
  <si>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</si>
  <si>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</si>
  <si>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</si>
  <si>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</si>
  <si>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</si>
  <si>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</si>
  <si>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</si>
  <si>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</si>
  <si>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</si>
  <si>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</si>
  <si>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</si>
  <si>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</si>
  <si>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</si>
  <si>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</si>
  <si>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</si>
  <si>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</si>
  <si>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</si>
  <si>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</si>
  <si>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</si>
  <si>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</si>
  <si>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</si>
  <si>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</si>
  <si>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</si>
  <si>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</si>
  <si>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</si>
  <si>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</si>
  <si>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</si>
  <si>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</si>
  <si>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</si>
  <si>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</si>
  <si>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</si>
  <si>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</si>
  <si>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</si>
  <si>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</si>
  <si>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</si>
  <si>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</si>
  <si>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</si>
  <si>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</si>
  <si>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</si>
  <si>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</si>
  <si>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</si>
  <si>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</si>
  <si>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</si>
  <si>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</si>
  <si>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</si>
  <si>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</si>
  <si>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</si>
  <si>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</si>
  <si>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</si>
  <si>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</si>
  <si>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</si>
  <si>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</si>
  <si>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</si>
  <si>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</si>
  <si>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</si>
  <si>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</si>
  <si>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</si>
  <si>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</si>
  <si>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</si>
  <si>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</si>
  <si>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</si>
  <si>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</si>
  <si>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</si>
  <si>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</si>
  <si>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</si>
  <si>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</si>
  <si>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</si>
  <si>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</si>
  <si>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</si>
  <si>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</si>
  <si>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</si>
  <si>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</si>
  <si>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</si>
  <si>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</si>
  <si>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</si>
  <si>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</si>
  <si>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</si>
  <si>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</si>
  <si>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</si>
  <si>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</si>
  <si>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</si>
  <si>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</si>
  <si>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</si>
  <si>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</si>
  <si>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</si>
  <si>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</si>
  <si>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</si>
  <si>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</si>
  <si>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</si>
  <si>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</si>
  <si>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</si>
  <si>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</si>
  <si>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</si>
  <si>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</si>
  <si>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</si>
  <si>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</si>
  <si>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</si>
  <si>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</si>
  <si>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</si>
  <si>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</si>
  <si>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</si>
  <si>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</si>
  <si>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</si>
  <si>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</si>
  <si>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</si>
  <si>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</si>
  <si>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</si>
  <si>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</si>
  <si>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</si>
  <si>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</si>
  <si>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</si>
  <si>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</si>
  <si>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</si>
  <si>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</si>
  <si>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</si>
  <si>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</si>
  <si>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</si>
  <si>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</si>
  <si>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</si>
  <si>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</si>
  <si>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</si>
  <si>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</si>
  <si>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</si>
  <si>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</si>
  <si>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</si>
  <si>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</si>
  <si>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</si>
  <si>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</si>
  <si>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</si>
  <si>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</si>
  <si>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</si>
  <si>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</si>
  <si>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</si>
  <si>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</si>
  <si>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</si>
  <si>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</si>
  <si>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</si>
  <si>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</si>
  <si>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</si>
  <si>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</si>
  <si>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</si>
  <si>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</si>
  <si>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</si>
  <si>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</si>
  <si>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</si>
  <si>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</si>
  <si>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</si>
  <si>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</si>
  <si>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</si>
  <si>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</si>
  <si>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</si>
  <si>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</si>
  <si>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</si>
  <si>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</si>
  <si>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</si>
  <si>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</si>
  <si>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</si>
  <si>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</si>
  <si>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</si>
  <si>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</si>
  <si>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</si>
  <si>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</si>
  <si>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</si>
  <si>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</si>
  <si>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</si>
  <si>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</si>
  <si>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</si>
  <si>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</si>
  <si>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</si>
  <si>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</si>
  <si>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</si>
  <si>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</si>
  <si>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</si>
  <si>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</si>
  <si>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</si>
  <si>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</si>
  <si>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</si>
  <si>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</si>
  <si>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</si>
  <si>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</si>
  <si>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</si>
  <si>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</si>
  <si>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</si>
  <si>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</si>
  <si>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</si>
  <si>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</si>
  <si>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</si>
  <si>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</si>
  <si>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</si>
  <si>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</si>
  <si>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</si>
  <si>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</si>
  <si>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</si>
  <si>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</si>
  <si>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</si>
  <si>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</si>
  <si>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</si>
  <si>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</si>
  <si>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</si>
  <si>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</si>
  <si>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</si>
  <si>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</si>
  <si>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</si>
  <si>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</si>
  <si>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</si>
  <si>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</si>
  <si>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</si>
  <si>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</si>
  <si>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</si>
  <si>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</si>
  <si>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</si>
  <si>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</si>
  <si>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</si>
  <si>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</si>
  <si>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</si>
  <si>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</si>
  <si>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</si>
  <si>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</si>
  <si>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</si>
  <si>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</si>
  <si>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</si>
  <si>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</si>
  <si>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</si>
  <si>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</si>
  <si>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</si>
  <si>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</si>
  <si>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</si>
  <si>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</si>
  <si>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</si>
  <si>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</si>
  <si>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</si>
  <si>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</si>
  <si>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</si>
  <si>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</si>
  <si>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</si>
  <si>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</si>
  <si>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</si>
  <si>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</si>
  <si>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</si>
  <si>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</si>
  <si>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</si>
  <si>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</si>
  <si>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</si>
  <si>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</si>
  <si>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</si>
  <si>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</si>
  <si>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</si>
  <si>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</si>
  <si>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</si>
  <si>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</si>
  <si>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</si>
  <si>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</si>
  <si>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</si>
  <si>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</si>
  <si>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</si>
  <si>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</si>
  <si>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</si>
  <si>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</si>
  <si>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</si>
  <si>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</si>
  <si>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</si>
  <si>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</si>
  <si>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</si>
  <si>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</si>
  <si>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</si>
  <si>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</si>
  <si>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</si>
  <si>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</si>
  <si>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</si>
  <si>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</si>
  <si>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</si>
  <si>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</si>
  <si>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</si>
  <si>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</si>
  <si>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</si>
  <si>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</si>
  <si>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</si>
  <si>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</si>
  <si>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</si>
  <si>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</si>
  <si>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</si>
  <si>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</si>
  <si>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</si>
  <si>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</si>
  <si>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</si>
  <si>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</si>
  <si>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</si>
  <si>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</si>
  <si>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</si>
  <si>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</si>
  <si>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</si>
  <si>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</si>
  <si>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</si>
  <si>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</si>
  <si>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</si>
  <si>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</si>
  <si>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</si>
  <si>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</si>
  <si>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</si>
  <si>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</si>
  <si>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</si>
  <si>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</si>
  <si>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</si>
  <si>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</si>
  <si>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</si>
  <si>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</si>
  <si>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</si>
  <si>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</si>
  <si>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</si>
  <si>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</si>
  <si>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</si>
  <si>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</si>
  <si>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</si>
  <si>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</si>
  <si>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</si>
  <si>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</si>
  <si>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</si>
  <si>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</si>
  <si>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</si>
  <si>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</si>
  <si>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</si>
  <si>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</si>
  <si>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</si>
  <si>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</si>
  <si>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</si>
  <si>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</si>
  <si>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</si>
  <si>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</si>
  <si>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</si>
  <si>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</si>
  <si>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</si>
  <si>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</si>
  <si>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</si>
  <si>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</si>
  <si>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</si>
  <si>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</si>
  <si>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</si>
  <si>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</si>
  <si>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</si>
  <si>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</si>
  <si>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</si>
  <si>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</si>
  <si>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</si>
  <si>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</si>
  <si>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</si>
  <si>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</si>
  <si>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</si>
  <si>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</si>
  <si>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</si>
  <si>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</si>
  <si>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</si>
  <si>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</si>
  <si>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</si>
  <si>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</si>
  <si>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</si>
  <si>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</si>
  <si>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</si>
  <si>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</si>
  <si>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</si>
  <si>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</si>
  <si>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</si>
  <si>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</si>
  <si>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</si>
  <si>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</si>
  <si>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</si>
  <si>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</si>
  <si>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</si>
  <si>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</si>
  <si>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</si>
  <si>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</si>
  <si>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</si>
  <si>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</si>
  <si>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</si>
  <si>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</si>
  <si>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</si>
  <si>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</si>
  <si>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</si>
  <si>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</si>
  <si>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</si>
  <si>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</si>
  <si>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</si>
  <si>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</si>
  <si>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</si>
  <si>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</si>
  <si>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</si>
  <si>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</si>
  <si>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</si>
  <si>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</si>
  <si>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</si>
  <si>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</si>
  <si>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</si>
  <si>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</si>
  <si>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</si>
  <si>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</si>
  <si>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</si>
  <si>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</si>
  <si>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</si>
  <si>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</si>
  <si>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</si>
  <si>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</si>
  <si>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</si>
  <si>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</si>
  <si>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</si>
  <si>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</si>
  <si>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</si>
  <si>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</si>
  <si>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</si>
  <si>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</si>
  <si>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</si>
  <si>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</si>
  <si>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</si>
  <si>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</si>
  <si>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</si>
  <si>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</si>
  <si>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</si>
  <si>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</si>
  <si>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</si>
  <si>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</si>
  <si>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</si>
  <si>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</si>
  <si>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</si>
  <si>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</si>
  <si>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</si>
  <si>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</si>
  <si>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</si>
  <si>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</si>
  <si>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</si>
  <si>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</si>
  <si>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</si>
  <si>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</si>
  <si>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</si>
  <si>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</si>
  <si>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</si>
  <si>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</si>
  <si>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</si>
  <si>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</si>
  <si>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</si>
  <si>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</si>
  <si>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</si>
  <si>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</si>
  <si>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</si>
  <si>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</si>
  <si>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</si>
  <si>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</si>
  <si>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</si>
  <si>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</si>
  <si>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</si>
  <si>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</si>
  <si>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</si>
  <si>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</si>
  <si>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</si>
  <si>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</si>
  <si>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</si>
  <si>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</si>
  <si>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</si>
  <si>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</si>
  <si>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</si>
  <si>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</si>
  <si>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</si>
  <si>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</si>
  <si>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</si>
  <si>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</si>
  <si>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</si>
  <si>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</si>
  <si>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</si>
  <si>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</si>
  <si>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</si>
  <si>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</si>
  <si>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</si>
  <si>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</si>
  <si>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</si>
  <si>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</si>
  <si>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</si>
  <si>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</si>
  <si>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</si>
  <si>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</si>
  <si>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</si>
  <si>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</si>
  <si>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</si>
  <si>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</si>
  <si>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</si>
  <si>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</si>
  <si>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</si>
  <si>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</si>
  <si>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</si>
  <si>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</si>
  <si>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</si>
  <si>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</si>
  <si>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</si>
  <si>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</si>
  <si>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</si>
  <si>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</si>
  <si>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</si>
  <si>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</si>
  <si>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</si>
  <si>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</si>
  <si>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</si>
  <si>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</si>
  <si>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</si>
  <si>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</si>
  <si>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</si>
  <si>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</si>
  <si>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</si>
  <si>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</si>
  <si>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</si>
  <si>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</si>
  <si>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</si>
  <si>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</si>
  <si>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</si>
  <si>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</si>
  <si>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</si>
  <si>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</si>
  <si>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</si>
  <si>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</si>
  <si>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</si>
  <si>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</si>
  <si>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</si>
  <si>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</si>
  <si>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</si>
  <si>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</si>
  <si>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</si>
  <si>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</si>
  <si>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</si>
  <si>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</si>
  <si>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</si>
  <si>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</si>
  <si>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</si>
  <si>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</si>
  <si>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</si>
  <si>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</si>
  <si>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</si>
  <si>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</si>
  <si>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</si>
  <si>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</si>
  <si>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</si>
  <si>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</si>
  <si>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</si>
  <si>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</si>
  <si>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</si>
  <si>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</si>
  <si>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</si>
  <si>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</si>
  <si>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</si>
  <si>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</si>
  <si>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</si>
  <si>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</si>
  <si>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</si>
  <si>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</si>
  <si>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</si>
  <si>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</si>
  <si>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</si>
  <si>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</si>
  <si>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</si>
  <si>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</si>
  <si>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</si>
  <si>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</si>
  <si>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</si>
  <si>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</si>
  <si>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</si>
  <si>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</si>
  <si>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</si>
  <si>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</si>
  <si>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</si>
  <si>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</si>
  <si>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</si>
  <si>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</si>
  <si>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</si>
  <si>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</si>
  <si>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</si>
  <si>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</si>
  <si>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</si>
  <si>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</si>
  <si>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</si>
  <si>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</si>
  <si>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</si>
  <si>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</si>
  <si>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</si>
  <si>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</si>
  <si>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</si>
  <si>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</si>
  <si>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</si>
  <si>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</si>
  <si>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</si>
  <si>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</si>
  <si>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</si>
  <si>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</si>
  <si>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</si>
  <si>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</si>
  <si>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</si>
  <si>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</si>
  <si>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</si>
  <si>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</si>
  <si>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</si>
  <si>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</si>
  <si>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</si>
  <si>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</si>
  <si>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</si>
  <si>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</si>
  <si>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</si>
  <si>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</si>
  <si>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</si>
  <si>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</si>
  <si>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</si>
  <si>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</si>
  <si>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</si>
  <si>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</si>
  <si>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</si>
  <si>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</si>
  <si>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</si>
  <si>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</si>
  <si>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</si>
  <si>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</si>
  <si>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</si>
  <si>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</si>
  <si>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</si>
  <si>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</si>
  <si>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</si>
  <si>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</si>
  <si>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</si>
  <si>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</si>
  <si>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</si>
  <si>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</si>
  <si>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</si>
  <si>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</si>
  <si>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</si>
  <si>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</si>
  <si>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</si>
  <si>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</si>
  <si>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</si>
  <si>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</si>
  <si>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</si>
  <si>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</si>
  <si>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</si>
  <si>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</si>
  <si>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</si>
  <si>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</si>
  <si>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</si>
  <si>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</si>
  <si>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</si>
  <si>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</si>
  <si>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</si>
  <si>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</si>
  <si>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</si>
  <si>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</si>
  <si>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</si>
  <si>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</si>
  <si>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</si>
  <si>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</si>
  <si>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</si>
  <si>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</si>
  <si>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</si>
  <si>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</si>
  <si>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</si>
  <si>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</si>
  <si>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</si>
  <si>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</si>
  <si>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</si>
  <si>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</si>
  <si>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</si>
  <si>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</si>
  <si>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</si>
  <si>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</si>
  <si>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</si>
  <si>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</si>
  <si>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</si>
  <si>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</si>
  <si>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</si>
  <si>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</si>
  <si>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</si>
  <si>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</si>
  <si>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</si>
  <si>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</si>
  <si>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</si>
  <si>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</si>
  <si>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</si>
  <si>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</si>
  <si>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</si>
  <si>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</si>
  <si>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</si>
  <si>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</si>
  <si>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</si>
  <si>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</si>
  <si>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</si>
  <si>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</si>
  <si>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</si>
  <si>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</si>
  <si>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</si>
  <si>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</si>
  <si>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</si>
  <si>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</si>
  <si>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</si>
  <si>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</si>
  <si>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</si>
  <si>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</si>
  <si>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</si>
  <si>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</si>
  <si>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</si>
  <si>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</si>
  <si>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</si>
  <si>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</si>
  <si>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</si>
  <si>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</si>
  <si>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</si>
  <si>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</si>
  <si>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</si>
  <si>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</si>
  <si>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</si>
  <si>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</si>
  <si>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</si>
  <si>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</si>
  <si>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</si>
  <si>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</si>
  <si>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</si>
  <si>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</si>
  <si>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</si>
  <si>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</si>
  <si>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</si>
  <si>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</si>
  <si>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</si>
  <si>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</si>
  <si>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</si>
  <si>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</si>
  <si>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</si>
  <si>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</si>
  <si>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</si>
  <si>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</si>
  <si>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</si>
  <si>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</si>
  <si>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</si>
  <si>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</si>
  <si>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</si>
  <si>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</si>
  <si>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</si>
  <si>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</si>
  <si>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</si>
  <si>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</si>
  <si>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</si>
  <si>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</si>
  <si>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</si>
  <si>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</si>
  <si>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</si>
  <si>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</si>
  <si>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</si>
  <si>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</si>
  <si>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</si>
  <si>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</si>
  <si>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</si>
  <si>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</si>
  <si>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</si>
  <si>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</si>
  <si>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</si>
  <si>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</si>
  <si>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</si>
  <si>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</si>
  <si>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</si>
  <si>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</si>
  <si>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</si>
  <si>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</si>
  <si>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</si>
  <si>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</si>
  <si>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</si>
  <si>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</si>
  <si>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</si>
  <si>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</si>
  <si>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</si>
  <si>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</si>
  <si>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</si>
  <si>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</si>
  <si>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</si>
  <si>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</si>
  <si>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</si>
  <si>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</si>
  <si>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</si>
  <si>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</si>
  <si>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</si>
  <si>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</si>
  <si>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</si>
  <si>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</si>
  <si>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</si>
  <si>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</si>
  <si>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</si>
  <si>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</si>
  <si>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</si>
  <si>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</si>
  <si>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</si>
  <si>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</si>
  <si>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</si>
  <si>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</si>
  <si>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</si>
  <si>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</si>
  <si>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</si>
  <si>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</si>
  <si>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</si>
  <si>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</si>
  <si>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</si>
  <si>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</si>
  <si>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</si>
  <si>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</si>
  <si>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</si>
  <si>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</si>
  <si>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</si>
  <si>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</si>
  <si>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</si>
  <si>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</si>
  <si>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</si>
  <si>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</si>
  <si>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</si>
  <si>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</si>
  <si>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</si>
  <si>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</si>
  <si>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</si>
  <si>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</si>
  <si>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</si>
  <si>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</si>
  <si>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</si>
  <si>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</si>
  <si>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</si>
  <si>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</si>
  <si>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</si>
  <si>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</si>
  <si>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</si>
  <si>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</si>
  <si>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</si>
  <si>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</si>
  <si>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</si>
  <si>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</si>
  <si>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</si>
  <si>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</si>
  <si>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</si>
  <si>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</si>
  <si>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</si>
  <si>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</si>
  <si>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</si>
  <si>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</si>
  <si>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</si>
  <si>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</si>
  <si>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</si>
  <si>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</si>
  <si>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</si>
  <si>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</si>
  <si>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</si>
  <si>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</si>
  <si>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自然人</t>
  </si>
  <si>
    <t>地上</t>
  </si>
  <si>
    <t>是</t>
  </si>
  <si>
    <t>利息：取LPR加浮动点数</t>
  </si>
  <si>
    <t>成新度</t>
  </si>
  <si>
    <t>收益法</t>
  </si>
  <si>
    <t>项目局部</t>
  </si>
  <si>
    <t>现房</t>
  </si>
  <si>
    <t>自定义容积率</t>
  </si>
  <si>
    <t>与级别开发程度不一致</t>
  </si>
  <si>
    <t>通路</t>
  </si>
  <si>
    <t>通电</t>
  </si>
  <si>
    <t>通讯</t>
  </si>
  <si>
    <t>通上水</t>
  </si>
  <si>
    <t>通下水</t>
  </si>
  <si>
    <t>通热</t>
  </si>
  <si>
    <t>平整</t>
  </si>
  <si>
    <t>一般</t>
  </si>
  <si>
    <t>全部缴纳</t>
  </si>
  <si>
    <t>押一</t>
  </si>
  <si>
    <t>钢混</t>
  </si>
  <si>
    <t>非生产用房</t>
  </si>
  <si>
    <t>否</t>
  </si>
  <si>
    <t>陈颖</t>
  </si>
  <si>
    <t>泉河园二区</t>
    <phoneticPr fontId="3" type="noConversion"/>
  </si>
  <si>
    <t>正常</t>
  </si>
  <si>
    <t>商业</t>
    <phoneticPr fontId="30" type="noConversion"/>
  </si>
  <si>
    <t>五通</t>
  </si>
  <si>
    <t>较好</t>
  </si>
  <si>
    <t>高速路</t>
    <phoneticPr fontId="30" type="noConversion"/>
  </si>
  <si>
    <t>快速路</t>
    <phoneticPr fontId="30" type="noConversion"/>
  </si>
  <si>
    <t>城市主干道</t>
  </si>
  <si>
    <t>城市主干道</t>
    <phoneticPr fontId="30" type="noConversion"/>
  </si>
  <si>
    <t>城市次干道</t>
  </si>
  <si>
    <t>城市次干道</t>
    <phoneticPr fontId="30" type="noConversion"/>
  </si>
  <si>
    <t>城市支路</t>
  </si>
  <si>
    <t>城市支路</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</si>
  <si>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</si>
  <si>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</si>
  <si>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</si>
  <si>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</si>
  <si>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</si>
  <si>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r>
      <t>1</t>
    </r>
    <r>
      <rPr>
        <sz val="11"/>
        <color indexed="8"/>
        <rFont val="宋体"/>
        <family val="3"/>
        <charset val="134"/>
      </rPr>
      <t>层</t>
    </r>
    <phoneticPr fontId="30" type="noConversion"/>
  </si>
  <si>
    <t>住宅配套商业</t>
  </si>
  <si>
    <t>住宅配套商业</t>
    <phoneticPr fontId="30" type="noConversion"/>
  </si>
  <si>
    <t>钢混</t>
    <phoneticPr fontId="30" type="noConversion"/>
  </si>
  <si>
    <t>精装修</t>
    <phoneticPr fontId="30" type="noConversion"/>
  </si>
  <si>
    <t>普通装修</t>
  </si>
  <si>
    <t>普通装修</t>
    <phoneticPr fontId="30" type="noConversion"/>
  </si>
  <si>
    <t>毛坯</t>
    <phoneticPr fontId="30" type="noConversion"/>
  </si>
  <si>
    <t>七通</t>
    <phoneticPr fontId="30" type="noConversion"/>
  </si>
  <si>
    <t>六通</t>
  </si>
  <si>
    <t>六通</t>
    <phoneticPr fontId="30" type="noConversion"/>
  </si>
  <si>
    <t>五通</t>
    <phoneticPr fontId="30" type="noConversion"/>
  </si>
  <si>
    <t>标准层高</t>
  </si>
  <si>
    <t>标准层高</t>
    <phoneticPr fontId="30" type="noConversion"/>
  </si>
  <si>
    <t>1层</t>
  </si>
  <si>
    <t>售价</t>
  </si>
  <si>
    <t>成本法 (元)</t>
  </si>
  <si>
    <t>总价</t>
    <phoneticPr fontId="134" type="noConversion"/>
  </si>
  <si>
    <t>建筑面积</t>
    <phoneticPr fontId="134" type="noConversion"/>
  </si>
  <si>
    <t>滨湖小区西区</t>
    <phoneticPr fontId="134" type="noConversion"/>
  </si>
  <si>
    <t>怀柔北园</t>
    <phoneticPr fontId="134" type="noConversion"/>
  </si>
  <si>
    <r>
      <rPr>
        <sz val="11"/>
        <color theme="9" tint="-0.249977111117893"/>
        <rFont val="宋体"/>
        <family val="3"/>
        <charset val="134"/>
      </rPr>
      <t>南花园</t>
    </r>
    <r>
      <rPr>
        <sz val="11"/>
        <color theme="9" tint="-0.249977111117893"/>
        <rFont val="Arial"/>
        <family val="2"/>
      </rPr>
      <t>3</t>
    </r>
    <r>
      <rPr>
        <sz val="11"/>
        <color theme="9" tint="-0.249977111117893"/>
        <rFont val="宋体"/>
        <family val="3"/>
        <charset val="134"/>
      </rPr>
      <t>区</t>
    </r>
    <phoneticPr fontId="134" type="noConversion"/>
  </si>
  <si>
    <t>七通</t>
  </si>
  <si>
    <t>住宅</t>
  </si>
  <si>
    <t>住宅</t>
    <phoneticPr fontId="7" type="noConversion"/>
  </si>
  <si>
    <t>城镇住宅用地</t>
  </si>
  <si>
    <t>燃气</t>
  </si>
  <si>
    <t>中心城区以外</t>
  </si>
  <si>
    <t>容积率修正</t>
  </si>
  <si>
    <t>好</t>
  </si>
  <si>
    <t>较差</t>
  </si>
  <si>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</si>
  <si>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</si>
  <si>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</si>
  <si>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</si>
  <si>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</si>
  <si>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</si>
  <si>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</si>
  <si>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</si>
  <si>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</si>
  <si>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r>
      <rPr>
        <sz val="11"/>
        <rFont val="宋体"/>
        <family val="3"/>
        <charset val="134"/>
      </rPr>
      <t>中楼层</t>
    </r>
    <r>
      <rPr>
        <sz val="11"/>
        <rFont val="Arial"/>
        <family val="2"/>
      </rPr>
      <t>/11</t>
    </r>
    <phoneticPr fontId="3" type="noConversion"/>
  </si>
  <si>
    <t>钢结构</t>
  </si>
  <si>
    <t>砖混</t>
  </si>
  <si>
    <t>混合</t>
  </si>
  <si>
    <t>框架</t>
  </si>
  <si>
    <t>较好</t>
    <phoneticPr fontId="24" type="noConversion"/>
  </si>
  <si>
    <t>精装修</t>
  </si>
  <si>
    <t>简单装修</t>
    <phoneticPr fontId="3" type="noConversion"/>
  </si>
  <si>
    <t>毛坯</t>
  </si>
  <si>
    <t>专业</t>
  </si>
  <si>
    <t>普通</t>
  </si>
  <si>
    <t>单位自管</t>
  </si>
  <si>
    <t>居委会</t>
  </si>
  <si>
    <t>四通</t>
  </si>
  <si>
    <t>三通</t>
  </si>
  <si>
    <t>复式</t>
  </si>
  <si>
    <t>平层</t>
  </si>
  <si>
    <t>项目</t>
    <phoneticPr fontId="134" type="noConversion"/>
  </si>
  <si>
    <t>房型</t>
    <phoneticPr fontId="134" type="noConversion"/>
  </si>
  <si>
    <t>独栋</t>
  </si>
  <si>
    <t>独栋</t>
    <phoneticPr fontId="134" type="noConversion"/>
  </si>
  <si>
    <t>序号</t>
    <phoneticPr fontId="134" type="noConversion"/>
  </si>
  <si>
    <t>坐落</t>
    <phoneticPr fontId="134" type="noConversion"/>
  </si>
  <si>
    <t>总层数</t>
    <phoneticPr fontId="134" type="noConversion"/>
  </si>
  <si>
    <t>所在楼层</t>
    <phoneticPr fontId="134" type="noConversion"/>
  </si>
  <si>
    <t>建成年代</t>
    <phoneticPr fontId="134" type="noConversion"/>
  </si>
  <si>
    <t>成交单价</t>
    <phoneticPr fontId="134" type="noConversion"/>
  </si>
  <si>
    <t>时点</t>
    <phoneticPr fontId="134" type="noConversion"/>
  </si>
  <si>
    <t>2（-1）</t>
    <phoneticPr fontId="134" type="noConversion"/>
  </si>
  <si>
    <t>-1-2</t>
    <phoneticPr fontId="134" type="noConversion"/>
  </si>
  <si>
    <t>住宅</t>
    <phoneticPr fontId="24" type="noConversion"/>
  </si>
  <si>
    <t>楼层</t>
    <phoneticPr fontId="24" type="noConversion"/>
  </si>
  <si>
    <t>1-2</t>
    <phoneticPr fontId="24" type="noConversion"/>
  </si>
  <si>
    <t>-1-2</t>
    <phoneticPr fontId="24" type="noConversion"/>
  </si>
  <si>
    <t>1-3</t>
    <phoneticPr fontId="24" type="noConversion"/>
  </si>
  <si>
    <t>-2-2</t>
    <phoneticPr fontId="24" type="noConversion"/>
  </si>
  <si>
    <t>独栋</t>
    <phoneticPr fontId="24" type="noConversion"/>
  </si>
  <si>
    <t>叠拼</t>
    <phoneticPr fontId="24" type="noConversion"/>
  </si>
  <si>
    <t>联排</t>
    <phoneticPr fontId="24" type="noConversion"/>
  </si>
  <si>
    <t>比较法-住宅</t>
  </si>
  <si>
    <t>建成年份</t>
    <phoneticPr fontId="24" type="noConversion"/>
  </si>
  <si>
    <t>Ⅶ-顺1</t>
  </si>
  <si>
    <t>https://sf-item.taobao.com/sf_item/723302481279.htm?spm=a2129.25287131.puimod-pc-search-list_9018433170.1&amp;pmid=8912097962_1695280334802&amp;pmtk=20140647.0.0.0.27064540.puimod-zc-focus-2021_2860107850.category-1-1&amp;path=27064540%2C25287131&amp;scm=20140647.julang.pm.sem&amp;track_id=809010e7-a845-47db-bc99-30a4307a8951</t>
  </si>
  <si>
    <t>有</t>
  </si>
  <si>
    <t>波特兰花园</t>
    <phoneticPr fontId="134" type="noConversion"/>
  </si>
  <si>
    <r>
      <t>博特花园1</t>
    </r>
    <r>
      <rPr>
        <sz val="11"/>
        <color theme="1"/>
        <rFont val="宋体"/>
        <family val="3"/>
        <charset val="134"/>
        <scheme val="minor"/>
      </rPr>
      <t>1号楼-1至2层</t>
    </r>
    <phoneticPr fontId="134" type="noConversion"/>
  </si>
  <si>
    <t>东方太阳城</t>
    <phoneticPr fontId="134" type="noConversion"/>
  </si>
  <si>
    <t>毓秀园</t>
    <phoneticPr fontId="134" type="noConversion"/>
  </si>
  <si>
    <r>
      <t>东方太阳城2</t>
    </r>
    <r>
      <rPr>
        <sz val="11"/>
        <color theme="1"/>
        <rFont val="宋体"/>
        <family val="3"/>
        <charset val="134"/>
        <scheme val="minor"/>
      </rPr>
      <t>52号楼-1至2层</t>
    </r>
    <phoneticPr fontId="134" type="noConversion"/>
  </si>
  <si>
    <r>
      <t>毓秀园南区A区</t>
    </r>
    <r>
      <rPr>
        <sz val="11"/>
        <color theme="1"/>
        <rFont val="宋体"/>
        <family val="3"/>
        <charset val="134"/>
        <scheme val="minor"/>
      </rPr>
      <t>16号楼1-2层</t>
    </r>
    <phoneticPr fontId="134" type="noConversion"/>
  </si>
  <si>
    <r>
      <t>毓秀园南区C区</t>
    </r>
    <r>
      <rPr>
        <sz val="11"/>
        <color theme="1"/>
        <rFont val="宋体"/>
        <family val="3"/>
        <charset val="134"/>
        <scheme val="minor"/>
      </rPr>
      <t>17号楼1-2层</t>
    </r>
    <phoneticPr fontId="134" type="noConversion"/>
  </si>
  <si>
    <r>
      <t>1</t>
    </r>
    <r>
      <rPr>
        <sz val="11"/>
        <color theme="1"/>
        <rFont val="宋体"/>
        <family val="3"/>
        <charset val="134"/>
        <scheme val="minor"/>
      </rPr>
      <t>-2</t>
    </r>
    <phoneticPr fontId="134" type="noConversion"/>
  </si>
  <si>
    <t>波特兰花园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</si>
</sst>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9" tint="-0.249977111117893"/>
      <name val="Arial"/>
      <family val="3"/>
      <charset val="134"/>
    </font>
    <font>
      <sz val="11"/>
      <color rgb="FF000000"/>
      <name val="宋体"/>
      <family val="3"/>
      <charset val="134"/>
    </font>
    <font>
      <sz val="11"/>
      <name val="Arial"/>
      <family val="3"/>
      <charset val="134"/>
    </font>
    <font>
      <sz val="11"/>
      <name val="楷体_GB2312"/>
      <charset val="134"/>
    </font>
    <font>
      <u/>
      <sz val="11"/>
      <color theme="10"/>
      <name val="宋体"/>
      <family val="3"/>
      <charset val="134"/>
      <scheme val="minor"/>
    </font>
    <font>
      <u/>
      <sz val="11"/>
      <color rgb="FF80008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79" fontId="44" fillId="0" borderId="1" xfId="0" applyNumberFormat="1" applyFont="1" applyBorder="1" applyAlignment="1" applyProtection="1">
      <alignment horizontal="center" vertical="center"/>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44" fillId="0" borderId="13" xfId="0" applyFont="1" applyBorder="1" applyAlignment="1" applyProtection="1">
      <alignment horizontal="left" vertical="center" wrapText="1"/>
      <protection locked="0"/>
    </xf>
    <xf numFmtId="0" fontId="51" fillId="0" borderId="1"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1" fillId="0" borderId="37"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2" fillId="0" borderId="9" xfId="0" applyFont="1" applyBorder="1" applyAlignment="1" applyProtection="1">
      <alignment horizontal="center" vertical="center" wrapText="1"/>
      <protection locked="0"/>
    </xf>
    <xf numFmtId="0" fontId="272"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49" fontId="0" fillId="0" borderId="0" xfId="0" applyNumberFormat="1">
      <alignment vertical="center"/>
    </xf>
    <xf numFmtId="49" fontId="95" fillId="0" borderId="0" xfId="0" applyNumberFormat="1" applyFont="1">
      <alignment vertical="center"/>
    </xf>
    <xf numFmtId="0" fontId="0" fillId="5" borderId="0" xfId="0" applyFill="1">
      <alignment vertical="center"/>
    </xf>
    <xf numFmtId="0" fontId="95" fillId="5" borderId="0" xfId="0" applyFont="1" applyFill="1">
      <alignment vertical="center"/>
    </xf>
    <xf numFmtId="49" fontId="95" fillId="5" borderId="0" xfId="0" applyNumberFormat="1" applyFont="1" applyFill="1">
      <alignment vertical="center"/>
    </xf>
    <xf numFmtId="14" fontId="0" fillId="5" borderId="0" xfId="0" applyNumberFormat="1" applyFill="1">
      <alignment vertical="center"/>
    </xf>
    <xf numFmtId="58" fontId="51" fillId="2" borderId="2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0" borderId="0" xfId="0" applyAlignment="1">
      <alignment horizontal="center" vertical="center"/>
    </xf>
    <xf numFmtId="0" fontId="0" fillId="5" borderId="0" xfId="0" applyFill="1" applyAlignment="1">
      <alignment horizontal="center" vertical="center"/>
    </xf>
    <xf numFmtId="0" fontId="275" fillId="7" borderId="0" xfId="0" applyFont="1" applyFill="1">
      <alignment vertical="center"/>
    </xf>
    <xf numFmtId="189" fontId="44" fillId="6" borderId="9"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69" fillId="0" borderId="23" xfId="0" applyFont="1" applyFill="1" applyBorder="1" applyAlignment="1" applyProtection="1">
      <alignment horizontal="center" vertical="center" wrapText="1"/>
      <protection locked="0"/>
    </xf>
    <xf numFmtId="179" fontId="51" fillId="6" borderId="1" xfId="0" applyNumberFormat="1" applyFont="1" applyFill="1" applyBorder="1" applyAlignment="1" applyProtection="1">
      <alignment horizontal="center" vertical="center"/>
    </xf>
    <xf numFmtId="179" fontId="50" fillId="18" borderId="1" xfId="0" applyNumberFormat="1" applyFont="1" applyFill="1" applyBorder="1" applyAlignment="1" applyProtection="1">
      <alignment horizontal="center" vertical="center"/>
    </xf>
    <xf numFmtId="0" fontId="0" fillId="0" borderId="0" xfId="0" applyAlignment="1">
      <alignment horizontal="left" vertical="center"/>
    </xf>
    <xf numFmtId="0" fontId="274" fillId="0" borderId="0" xfId="19" applyFont="1" applyAlignment="1">
      <alignment horizontal="center" vertical="center" wrapText="1"/>
    </xf>
    <xf numFmtId="0" fontId="0" fillId="0" borderId="0" xfId="0"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7" fillId="17" borderId="1" xfId="0" applyNumberFormat="1" applyFont="1" applyFill="1" applyBorder="1" applyAlignment="1" applyProtection="1">
      <alignment horizontal="center" vertical="center" shrinkToFi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19</xdr:row>
      <xdr:rowOff>142450</xdr:rowOff>
    </xdr:to>
    <xdr:pic>
      <xdr:nvPicPr>
        <xdr:cNvPr id="3" name="图片 2">
          <a:extLst>
            <a:ext uri="{FF2B5EF4-FFF2-40B4-BE49-F238E27FC236}">
              <a16:creationId xmlns:a16="http://schemas.microsoft.com/office/drawing/2014/main" id="{CC98599D-C606-4386-B642-B820B6E7D5BF}"/>
            </a:ext>
          </a:extLst>
        </xdr:cNvPr>
        <xdr:cNvPicPr>
          <a:picLocks noChangeAspect="1"/>
        </xdr:cNvPicPr>
      </xdr:nvPicPr>
      <xdr:blipFill>
        <a:blip xmlns:r="http://schemas.openxmlformats.org/officeDocument/2006/relationships" r:embed="rId1"/>
        <a:stretch>
          <a:fillRect/>
        </a:stretch>
      </xdr:blipFill>
      <xdr:spPr>
        <a:xfrm>
          <a:off x="0" y="0"/>
          <a:ext cx="6219048" cy="3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27714</xdr:colOff>
      <xdr:row>15</xdr:row>
      <xdr:rowOff>66345</xdr:rowOff>
    </xdr:to>
    <xdr:pic>
      <xdr:nvPicPr>
        <xdr:cNvPr id="3" name="图片 2">
          <a:extLst>
            <a:ext uri="{FF2B5EF4-FFF2-40B4-BE49-F238E27FC236}">
              <a16:creationId xmlns:a16="http://schemas.microsoft.com/office/drawing/2014/main" id="{9FAA4BE0-0CE5-4ECB-860D-BAC1FD14B4E6}"/>
            </a:ext>
          </a:extLst>
        </xdr:cNvPr>
        <xdr:cNvPicPr>
          <a:picLocks noChangeAspect="1"/>
        </xdr:cNvPicPr>
      </xdr:nvPicPr>
      <xdr:blipFill>
        <a:blip xmlns:r="http://schemas.openxmlformats.org/officeDocument/2006/relationships" r:embed="rId1"/>
        <a:stretch>
          <a:fillRect/>
        </a:stretch>
      </xdr:blipFill>
      <xdr:spPr>
        <a:xfrm>
          <a:off x="0" y="0"/>
          <a:ext cx="6885714" cy="2638095"/>
        </a:xfrm>
        <a:prstGeom prst="rect">
          <a:avLst/>
        </a:prstGeom>
      </xdr:spPr>
    </xdr:pic>
    <xdr:clientData/>
  </xdr:twoCellAnchor>
  <xdr:twoCellAnchor editAs="oneCell">
    <xdr:from>
      <xdr:col>0</xdr:col>
      <xdr:colOff>0</xdr:colOff>
      <xdr:row>16</xdr:row>
      <xdr:rowOff>0</xdr:rowOff>
    </xdr:from>
    <xdr:to>
      <xdr:col>9</xdr:col>
      <xdr:colOff>303990</xdr:colOff>
      <xdr:row>30</xdr:row>
      <xdr:rowOff>171129</xdr:rowOff>
    </xdr:to>
    <xdr:pic>
      <xdr:nvPicPr>
        <xdr:cNvPr id="4" name="图片 3">
          <a:extLst>
            <a:ext uri="{FF2B5EF4-FFF2-40B4-BE49-F238E27FC236}">
              <a16:creationId xmlns:a16="http://schemas.microsoft.com/office/drawing/2014/main" id="{7B0AECA9-7CE4-4210-9A92-C1B0C71424F0}"/>
            </a:ext>
          </a:extLst>
        </xdr:cNvPr>
        <xdr:cNvPicPr>
          <a:picLocks noChangeAspect="1"/>
        </xdr:cNvPicPr>
      </xdr:nvPicPr>
      <xdr:blipFill>
        <a:blip xmlns:r="http://schemas.openxmlformats.org/officeDocument/2006/relationships" r:embed="rId2"/>
        <a:stretch>
          <a:fillRect/>
        </a:stretch>
      </xdr:blipFill>
      <xdr:spPr>
        <a:xfrm>
          <a:off x="0" y="2743200"/>
          <a:ext cx="6476190" cy="2571429"/>
        </a:xfrm>
        <a:prstGeom prst="rect">
          <a:avLst/>
        </a:prstGeom>
      </xdr:spPr>
    </xdr:pic>
    <xdr:clientData/>
  </xdr:twoCellAnchor>
  <xdr:twoCellAnchor editAs="oneCell">
    <xdr:from>
      <xdr:col>0</xdr:col>
      <xdr:colOff>0</xdr:colOff>
      <xdr:row>32</xdr:row>
      <xdr:rowOff>0</xdr:rowOff>
    </xdr:from>
    <xdr:to>
      <xdr:col>9</xdr:col>
      <xdr:colOff>370657</xdr:colOff>
      <xdr:row>46</xdr:row>
      <xdr:rowOff>133033</xdr:rowOff>
    </xdr:to>
    <xdr:pic>
      <xdr:nvPicPr>
        <xdr:cNvPr id="5" name="图片 4">
          <a:extLst>
            <a:ext uri="{FF2B5EF4-FFF2-40B4-BE49-F238E27FC236}">
              <a16:creationId xmlns:a16="http://schemas.microsoft.com/office/drawing/2014/main" id="{E4B01375-49A7-4521-94BD-56F61C26C50D}"/>
            </a:ext>
          </a:extLst>
        </xdr:cNvPr>
        <xdr:cNvPicPr>
          <a:picLocks noChangeAspect="1"/>
        </xdr:cNvPicPr>
      </xdr:nvPicPr>
      <xdr:blipFill>
        <a:blip xmlns:r="http://schemas.openxmlformats.org/officeDocument/2006/relationships" r:embed="rId3"/>
        <a:stretch>
          <a:fillRect/>
        </a:stretch>
      </xdr:blipFill>
      <xdr:spPr>
        <a:xfrm>
          <a:off x="0" y="5486400"/>
          <a:ext cx="6542857" cy="2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522438</xdr:colOff>
      <xdr:row>25</xdr:row>
      <xdr:rowOff>28036</xdr:rowOff>
    </xdr:to>
    <xdr:pic>
      <xdr:nvPicPr>
        <xdr:cNvPr id="2" name="图片 1">
          <a:extLst>
            <a:ext uri="{FF2B5EF4-FFF2-40B4-BE49-F238E27FC236}">
              <a16:creationId xmlns:a16="http://schemas.microsoft.com/office/drawing/2014/main" id="{029D94A1-9861-4FF6-84D9-F7A3ADFB2109}"/>
            </a:ext>
          </a:extLst>
        </xdr:cNvPr>
        <xdr:cNvPicPr>
          <a:picLocks noChangeAspect="1"/>
        </xdr:cNvPicPr>
      </xdr:nvPicPr>
      <xdr:blipFill>
        <a:blip xmlns:r="http://schemas.openxmlformats.org/officeDocument/2006/relationships" r:embed="rId1"/>
        <a:stretch>
          <a:fillRect/>
        </a:stretch>
      </xdr:blipFill>
      <xdr:spPr>
        <a:xfrm>
          <a:off x="0" y="0"/>
          <a:ext cx="11495238" cy="4314286"/>
        </a:xfrm>
        <a:prstGeom prst="rect">
          <a:avLst/>
        </a:prstGeom>
      </xdr:spPr>
    </xdr:pic>
    <xdr:clientData/>
  </xdr:twoCellAnchor>
  <xdr:twoCellAnchor editAs="oneCell">
    <xdr:from>
      <xdr:col>0</xdr:col>
      <xdr:colOff>114300</xdr:colOff>
      <xdr:row>23</xdr:row>
      <xdr:rowOff>142875</xdr:rowOff>
    </xdr:from>
    <xdr:to>
      <xdr:col>16</xdr:col>
      <xdr:colOff>551024</xdr:colOff>
      <xdr:row>28</xdr:row>
      <xdr:rowOff>76101</xdr:rowOff>
    </xdr:to>
    <xdr:pic>
      <xdr:nvPicPr>
        <xdr:cNvPr id="3" name="图片 2">
          <a:extLst>
            <a:ext uri="{FF2B5EF4-FFF2-40B4-BE49-F238E27FC236}">
              <a16:creationId xmlns:a16="http://schemas.microsoft.com/office/drawing/2014/main" id="{DFE428CC-119C-472C-8732-84CC7C43D895}"/>
            </a:ext>
          </a:extLst>
        </xdr:cNvPr>
        <xdr:cNvPicPr>
          <a:picLocks noChangeAspect="1"/>
        </xdr:cNvPicPr>
      </xdr:nvPicPr>
      <xdr:blipFill>
        <a:blip xmlns:r="http://schemas.openxmlformats.org/officeDocument/2006/relationships" r:embed="rId2"/>
        <a:stretch>
          <a:fillRect/>
        </a:stretch>
      </xdr:blipFill>
      <xdr:spPr>
        <a:xfrm>
          <a:off x="114300" y="4086225"/>
          <a:ext cx="11409524" cy="790476"/>
        </a:xfrm>
        <a:prstGeom prst="rect">
          <a:avLst/>
        </a:prstGeom>
      </xdr:spPr>
    </xdr:pic>
    <xdr:clientData/>
  </xdr:twoCellAnchor>
  <xdr:twoCellAnchor editAs="oneCell">
    <xdr:from>
      <xdr:col>0</xdr:col>
      <xdr:colOff>0</xdr:colOff>
      <xdr:row>28</xdr:row>
      <xdr:rowOff>123825</xdr:rowOff>
    </xdr:from>
    <xdr:to>
      <xdr:col>16</xdr:col>
      <xdr:colOff>455771</xdr:colOff>
      <xdr:row>34</xdr:row>
      <xdr:rowOff>28458</xdr:rowOff>
    </xdr:to>
    <xdr:pic>
      <xdr:nvPicPr>
        <xdr:cNvPr id="4" name="图片 3">
          <a:extLst>
            <a:ext uri="{FF2B5EF4-FFF2-40B4-BE49-F238E27FC236}">
              <a16:creationId xmlns:a16="http://schemas.microsoft.com/office/drawing/2014/main" id="{FC697D7D-EAD5-4BE7-9ECB-E74723FE2E3F}"/>
            </a:ext>
          </a:extLst>
        </xdr:cNvPr>
        <xdr:cNvPicPr>
          <a:picLocks noChangeAspect="1"/>
        </xdr:cNvPicPr>
      </xdr:nvPicPr>
      <xdr:blipFill>
        <a:blip xmlns:r="http://schemas.openxmlformats.org/officeDocument/2006/relationships" r:embed="rId3"/>
        <a:stretch>
          <a:fillRect/>
        </a:stretch>
      </xdr:blipFill>
      <xdr:spPr>
        <a:xfrm>
          <a:off x="0" y="4924425"/>
          <a:ext cx="11428571" cy="933333"/>
        </a:xfrm>
        <a:prstGeom prst="rect">
          <a:avLst/>
        </a:prstGeom>
      </xdr:spPr>
    </xdr:pic>
    <xdr:clientData/>
  </xdr:twoCellAnchor>
  <xdr:twoCellAnchor editAs="oneCell">
    <xdr:from>
      <xdr:col>0</xdr:col>
      <xdr:colOff>0</xdr:colOff>
      <xdr:row>36</xdr:row>
      <xdr:rowOff>0</xdr:rowOff>
    </xdr:from>
    <xdr:to>
      <xdr:col>12</xdr:col>
      <xdr:colOff>389448</xdr:colOff>
      <xdr:row>65</xdr:row>
      <xdr:rowOff>18426</xdr:rowOff>
    </xdr:to>
    <xdr:pic>
      <xdr:nvPicPr>
        <xdr:cNvPr id="5" name="图片 4">
          <a:extLst>
            <a:ext uri="{FF2B5EF4-FFF2-40B4-BE49-F238E27FC236}">
              <a16:creationId xmlns:a16="http://schemas.microsoft.com/office/drawing/2014/main" id="{99CBA495-AAD3-4665-B21D-1484C490164D}"/>
            </a:ext>
          </a:extLst>
        </xdr:cNvPr>
        <xdr:cNvPicPr>
          <a:picLocks noChangeAspect="1"/>
        </xdr:cNvPicPr>
      </xdr:nvPicPr>
      <xdr:blipFill>
        <a:blip xmlns:r="http://schemas.openxmlformats.org/officeDocument/2006/relationships" r:embed="rId4"/>
        <a:stretch>
          <a:fillRect/>
        </a:stretch>
      </xdr:blipFill>
      <xdr:spPr>
        <a:xfrm>
          <a:off x="0" y="6172200"/>
          <a:ext cx="8619048" cy="4990476"/>
        </a:xfrm>
        <a:prstGeom prst="rect">
          <a:avLst/>
        </a:prstGeom>
      </xdr:spPr>
    </xdr:pic>
    <xdr:clientData/>
  </xdr:twoCellAnchor>
  <xdr:twoCellAnchor editAs="oneCell">
    <xdr:from>
      <xdr:col>0</xdr:col>
      <xdr:colOff>0</xdr:colOff>
      <xdr:row>66</xdr:row>
      <xdr:rowOff>0</xdr:rowOff>
    </xdr:from>
    <xdr:to>
      <xdr:col>12</xdr:col>
      <xdr:colOff>351352</xdr:colOff>
      <xdr:row>86</xdr:row>
      <xdr:rowOff>28143</xdr:rowOff>
    </xdr:to>
    <xdr:pic>
      <xdr:nvPicPr>
        <xdr:cNvPr id="6" name="图片 5">
          <a:extLst>
            <a:ext uri="{FF2B5EF4-FFF2-40B4-BE49-F238E27FC236}">
              <a16:creationId xmlns:a16="http://schemas.microsoft.com/office/drawing/2014/main" id="{0046BF2B-A582-4293-9F24-2B9675FA3A72}"/>
            </a:ext>
          </a:extLst>
        </xdr:cNvPr>
        <xdr:cNvPicPr>
          <a:picLocks noChangeAspect="1"/>
        </xdr:cNvPicPr>
      </xdr:nvPicPr>
      <xdr:blipFill>
        <a:blip xmlns:r="http://schemas.openxmlformats.org/officeDocument/2006/relationships" r:embed="rId5"/>
        <a:stretch>
          <a:fillRect/>
        </a:stretch>
      </xdr:blipFill>
      <xdr:spPr>
        <a:xfrm>
          <a:off x="0" y="11315700"/>
          <a:ext cx="8580952" cy="3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50</xdr:row>
      <xdr:rowOff>76200</xdr:rowOff>
    </xdr:from>
    <xdr:to>
      <xdr:col>11</xdr:col>
      <xdr:colOff>198712</xdr:colOff>
      <xdr:row>66</xdr:row>
      <xdr:rowOff>109395</xdr:rowOff>
    </xdr:to>
    <xdr:pic>
      <xdr:nvPicPr>
        <xdr:cNvPr id="4" name="图片 3">
          <a:extLst>
            <a:ext uri="{FF2B5EF4-FFF2-40B4-BE49-F238E27FC236}">
              <a16:creationId xmlns:a16="http://schemas.microsoft.com/office/drawing/2014/main" id="{8969F378-06D3-4302-B805-5C74E75095F0}"/>
            </a:ext>
          </a:extLst>
        </xdr:cNvPr>
        <xdr:cNvPicPr>
          <a:picLocks noChangeAspect="1"/>
        </xdr:cNvPicPr>
      </xdr:nvPicPr>
      <xdr:blipFill>
        <a:blip xmlns:r="http://schemas.openxmlformats.org/officeDocument/2006/relationships" r:embed="rId1"/>
        <a:stretch>
          <a:fillRect/>
        </a:stretch>
      </xdr:blipFill>
      <xdr:spPr>
        <a:xfrm>
          <a:off x="0" y="8991600"/>
          <a:ext cx="9599887" cy="2776395"/>
        </a:xfrm>
        <a:prstGeom prst="rect">
          <a:avLst/>
        </a:prstGeom>
      </xdr:spPr>
    </xdr:pic>
    <xdr:clientData/>
  </xdr:twoCellAnchor>
  <xdr:twoCellAnchor editAs="oneCell">
    <xdr:from>
      <xdr:col>0</xdr:col>
      <xdr:colOff>0</xdr:colOff>
      <xdr:row>58</xdr:row>
      <xdr:rowOff>0</xdr:rowOff>
    </xdr:from>
    <xdr:to>
      <xdr:col>11</xdr:col>
      <xdr:colOff>484539</xdr:colOff>
      <xdr:row>74</xdr:row>
      <xdr:rowOff>161562</xdr:rowOff>
    </xdr:to>
    <xdr:pic>
      <xdr:nvPicPr>
        <xdr:cNvPr id="5" name="图片 4">
          <a:extLst>
            <a:ext uri="{FF2B5EF4-FFF2-40B4-BE49-F238E27FC236}">
              <a16:creationId xmlns:a16="http://schemas.microsoft.com/office/drawing/2014/main" id="{0829B63D-7018-4FE4-9E11-47E2D9DC6895}"/>
            </a:ext>
          </a:extLst>
        </xdr:cNvPr>
        <xdr:cNvPicPr>
          <a:picLocks noChangeAspect="1"/>
        </xdr:cNvPicPr>
      </xdr:nvPicPr>
      <xdr:blipFill>
        <a:blip xmlns:r="http://schemas.openxmlformats.org/officeDocument/2006/relationships" r:embed="rId2"/>
        <a:stretch>
          <a:fillRect/>
        </a:stretch>
      </xdr:blipFill>
      <xdr:spPr>
        <a:xfrm>
          <a:off x="0" y="11658600"/>
          <a:ext cx="9885714" cy="2904762"/>
        </a:xfrm>
        <a:prstGeom prst="rect">
          <a:avLst/>
        </a:prstGeom>
      </xdr:spPr>
    </xdr:pic>
    <xdr:clientData/>
  </xdr:twoCellAnchor>
  <xdr:twoCellAnchor editAs="oneCell">
    <xdr:from>
      <xdr:col>0</xdr:col>
      <xdr:colOff>0</xdr:colOff>
      <xdr:row>13</xdr:row>
      <xdr:rowOff>104775</xdr:rowOff>
    </xdr:from>
    <xdr:to>
      <xdr:col>12</xdr:col>
      <xdr:colOff>228600</xdr:colOff>
      <xdr:row>18</xdr:row>
      <xdr:rowOff>47625</xdr:rowOff>
    </xdr:to>
    <xdr:pic>
      <xdr:nvPicPr>
        <xdr:cNvPr id="10" name="图片 9">
          <a:extLst>
            <a:ext uri="{FF2B5EF4-FFF2-40B4-BE49-F238E27FC236}">
              <a16:creationId xmlns:a16="http://schemas.microsoft.com/office/drawing/2014/main" id="{12A8A115-43EC-48FA-8D8B-7E0B1B62EE66}"/>
            </a:ext>
          </a:extLst>
        </xdr:cNvPr>
        <xdr:cNvPicPr>
          <a:picLocks noChangeAspect="1"/>
        </xdr:cNvPicPr>
      </xdr:nvPicPr>
      <xdr:blipFill>
        <a:blip xmlns:r="http://schemas.openxmlformats.org/officeDocument/2006/relationships" r:embed="rId3"/>
        <a:stretch>
          <a:fillRect/>
        </a:stretch>
      </xdr:blipFill>
      <xdr:spPr>
        <a:xfrm>
          <a:off x="0" y="2333625"/>
          <a:ext cx="10515600" cy="800100"/>
        </a:xfrm>
        <a:prstGeom prst="rect">
          <a:avLst/>
        </a:prstGeom>
        <a:noFill/>
        <a:ln w="9525">
          <a:noFill/>
        </a:ln>
      </xdr:spPr>
    </xdr:pic>
    <xdr:clientData/>
  </xdr:twoCellAnchor>
  <xdr:twoCellAnchor editAs="oneCell">
    <xdr:from>
      <xdr:col>0</xdr:col>
      <xdr:colOff>0</xdr:colOff>
      <xdr:row>5</xdr:row>
      <xdr:rowOff>57150</xdr:rowOff>
    </xdr:from>
    <xdr:to>
      <xdr:col>12</xdr:col>
      <xdr:colOff>209550</xdr:colOff>
      <xdr:row>13</xdr:row>
      <xdr:rowOff>73133</xdr:rowOff>
    </xdr:to>
    <xdr:pic>
      <xdr:nvPicPr>
        <xdr:cNvPr id="11" name="图片 10">
          <a:extLst>
            <a:ext uri="{FF2B5EF4-FFF2-40B4-BE49-F238E27FC236}">
              <a16:creationId xmlns:a16="http://schemas.microsoft.com/office/drawing/2014/main" id="{031BEE79-9A47-4578-9542-060C89E285F8}"/>
            </a:ext>
          </a:extLst>
        </xdr:cNvPr>
        <xdr:cNvPicPr>
          <a:picLocks noChangeAspect="1"/>
        </xdr:cNvPicPr>
      </xdr:nvPicPr>
      <xdr:blipFill>
        <a:blip xmlns:r="http://schemas.openxmlformats.org/officeDocument/2006/relationships" r:embed="rId4"/>
        <a:stretch>
          <a:fillRect/>
        </a:stretch>
      </xdr:blipFill>
      <xdr:spPr>
        <a:xfrm>
          <a:off x="0" y="914400"/>
          <a:ext cx="10496550" cy="1387583"/>
        </a:xfrm>
        <a:prstGeom prst="rect">
          <a:avLst/>
        </a:prstGeom>
        <a:noFill/>
        <a:ln w="9525">
          <a:noFill/>
        </a:ln>
      </xdr:spPr>
    </xdr:pic>
    <xdr:clientData/>
  </xdr:twoCellAnchor>
  <xdr:twoCellAnchor editAs="oneCell">
    <xdr:from>
      <xdr:col>0</xdr:col>
      <xdr:colOff>0</xdr:colOff>
      <xdr:row>20</xdr:row>
      <xdr:rowOff>38100</xdr:rowOff>
    </xdr:from>
    <xdr:to>
      <xdr:col>8</xdr:col>
      <xdr:colOff>581660</xdr:colOff>
      <xdr:row>41</xdr:row>
      <xdr:rowOff>164465</xdr:rowOff>
    </xdr:to>
    <xdr:pic>
      <xdr:nvPicPr>
        <xdr:cNvPr id="12" name="图片 11">
          <a:extLst>
            <a:ext uri="{FF2B5EF4-FFF2-40B4-BE49-F238E27FC236}">
              <a16:creationId xmlns:a16="http://schemas.microsoft.com/office/drawing/2014/main" id="{A8E14796-A922-4262-8275-1678C1922365}"/>
            </a:ext>
          </a:extLst>
        </xdr:cNvPr>
        <xdr:cNvPicPr>
          <a:picLocks noChangeAspect="1"/>
        </xdr:cNvPicPr>
      </xdr:nvPicPr>
      <xdr:blipFill>
        <a:blip xmlns:r="http://schemas.openxmlformats.org/officeDocument/2006/relationships" r:embed="rId5"/>
        <a:stretch>
          <a:fillRect/>
        </a:stretch>
      </xdr:blipFill>
      <xdr:spPr>
        <a:xfrm>
          <a:off x="0" y="3467100"/>
          <a:ext cx="7887335" cy="3726815"/>
        </a:xfrm>
        <a:prstGeom prst="rect">
          <a:avLst/>
        </a:prstGeom>
        <a:noFill/>
        <a:ln w="9525">
          <a:noFill/>
        </a:ln>
      </xdr:spPr>
    </xdr:pic>
    <xdr:clientData/>
  </xdr:twoCellAnchor>
  <xdr:twoCellAnchor editAs="oneCell">
    <xdr:from>
      <xdr:col>3</xdr:col>
      <xdr:colOff>514350</xdr:colOff>
      <xdr:row>18</xdr:row>
      <xdr:rowOff>76200</xdr:rowOff>
    </xdr:from>
    <xdr:to>
      <xdr:col>11</xdr:col>
      <xdr:colOff>608965</xdr:colOff>
      <xdr:row>38</xdr:row>
      <xdr:rowOff>94615</xdr:rowOff>
    </xdr:to>
    <xdr:pic>
      <xdr:nvPicPr>
        <xdr:cNvPr id="13" name="图片 12">
          <a:extLst>
            <a:ext uri="{FF2B5EF4-FFF2-40B4-BE49-F238E27FC236}">
              <a16:creationId xmlns:a16="http://schemas.microsoft.com/office/drawing/2014/main" id="{5016AB75-2CB5-4619-A2A3-6FB9D779E137}"/>
            </a:ext>
          </a:extLst>
        </xdr:cNvPr>
        <xdr:cNvPicPr>
          <a:picLocks noChangeAspect="1"/>
        </xdr:cNvPicPr>
      </xdr:nvPicPr>
      <xdr:blipFill>
        <a:blip xmlns:r="http://schemas.openxmlformats.org/officeDocument/2006/relationships" r:embed="rId6"/>
        <a:stretch>
          <a:fillRect/>
        </a:stretch>
      </xdr:blipFill>
      <xdr:spPr>
        <a:xfrm>
          <a:off x="5095875" y="3162300"/>
          <a:ext cx="4914265" cy="3447415"/>
        </a:xfrm>
        <a:prstGeom prst="rect">
          <a:avLst/>
        </a:prstGeom>
        <a:noFill/>
        <a:ln w="9525">
          <a:noFill/>
        </a:ln>
      </xdr:spPr>
    </xdr:pic>
    <xdr:clientData/>
  </xdr:twoCellAnchor>
  <xdr:twoCellAnchor editAs="oneCell">
    <xdr:from>
      <xdr:col>12</xdr:col>
      <xdr:colOff>209550</xdr:colOff>
      <xdr:row>0</xdr:row>
      <xdr:rowOff>0</xdr:rowOff>
    </xdr:from>
    <xdr:to>
      <xdr:col>21</xdr:col>
      <xdr:colOff>389731</xdr:colOff>
      <xdr:row>23</xdr:row>
      <xdr:rowOff>28079</xdr:rowOff>
    </xdr:to>
    <xdr:pic>
      <xdr:nvPicPr>
        <xdr:cNvPr id="14" name="图片 13">
          <a:extLst>
            <a:ext uri="{FF2B5EF4-FFF2-40B4-BE49-F238E27FC236}">
              <a16:creationId xmlns:a16="http://schemas.microsoft.com/office/drawing/2014/main" id="{B08F427C-033C-4C61-BA69-609592E2E89D}"/>
            </a:ext>
          </a:extLst>
        </xdr:cNvPr>
        <xdr:cNvPicPr>
          <a:picLocks noChangeAspect="1"/>
        </xdr:cNvPicPr>
      </xdr:nvPicPr>
      <xdr:blipFill>
        <a:blip xmlns:r="http://schemas.openxmlformats.org/officeDocument/2006/relationships" r:embed="rId7"/>
        <a:stretch>
          <a:fillRect/>
        </a:stretch>
      </xdr:blipFill>
      <xdr:spPr>
        <a:xfrm>
          <a:off x="10496550" y="0"/>
          <a:ext cx="6352381" cy="3971429"/>
        </a:xfrm>
        <a:prstGeom prst="rect">
          <a:avLst/>
        </a:prstGeom>
      </xdr:spPr>
    </xdr:pic>
    <xdr:clientData/>
  </xdr:twoCellAnchor>
  <xdr:twoCellAnchor editAs="oneCell">
    <xdr:from>
      <xdr:col>12</xdr:col>
      <xdr:colOff>457200</xdr:colOff>
      <xdr:row>23</xdr:row>
      <xdr:rowOff>152400</xdr:rowOff>
    </xdr:from>
    <xdr:to>
      <xdr:col>22</xdr:col>
      <xdr:colOff>199200</xdr:colOff>
      <xdr:row>47</xdr:row>
      <xdr:rowOff>18552</xdr:rowOff>
    </xdr:to>
    <xdr:pic>
      <xdr:nvPicPr>
        <xdr:cNvPr id="15" name="图片 14">
          <a:extLst>
            <a:ext uri="{FF2B5EF4-FFF2-40B4-BE49-F238E27FC236}">
              <a16:creationId xmlns:a16="http://schemas.microsoft.com/office/drawing/2014/main" id="{9461181E-C296-4559-BE66-B8C7F38A7998}"/>
            </a:ext>
          </a:extLst>
        </xdr:cNvPr>
        <xdr:cNvPicPr>
          <a:picLocks noChangeAspect="1"/>
        </xdr:cNvPicPr>
      </xdr:nvPicPr>
      <xdr:blipFill>
        <a:blip xmlns:r="http://schemas.openxmlformats.org/officeDocument/2006/relationships" r:embed="rId8"/>
        <a:stretch>
          <a:fillRect/>
        </a:stretch>
      </xdr:blipFill>
      <xdr:spPr>
        <a:xfrm>
          <a:off x="10744200" y="4095750"/>
          <a:ext cx="6600000" cy="39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3</xdr:row>
      <xdr:rowOff>0</xdr:rowOff>
    </xdr:from>
    <xdr:to>
      <xdr:col>12</xdr:col>
      <xdr:colOff>381000</xdr:colOff>
      <xdr:row>29</xdr:row>
      <xdr:rowOff>9525</xdr:rowOff>
    </xdr:to>
    <xdr:pic>
      <xdr:nvPicPr>
        <xdr:cNvPr id="2" name="图片 1">
          <a:extLst>
            <a:ext uri="{FF2B5EF4-FFF2-40B4-BE49-F238E27FC236}">
              <a16:creationId xmlns:a16="http://schemas.microsoft.com/office/drawing/2014/main" id="{EF4FD112-143F-46A1-ACCC-68C6BED13620}"/>
            </a:ext>
          </a:extLst>
        </xdr:cNvPr>
        <xdr:cNvPicPr>
          <a:picLocks noChangeAspect="1"/>
        </xdr:cNvPicPr>
      </xdr:nvPicPr>
      <xdr:blipFill>
        <a:blip xmlns:r="http://schemas.openxmlformats.org/officeDocument/2006/relationships" r:embed="rId1"/>
        <a:stretch>
          <a:fillRect/>
        </a:stretch>
      </xdr:blipFill>
      <xdr:spPr>
        <a:xfrm>
          <a:off x="523875" y="514350"/>
          <a:ext cx="9420225" cy="4467225"/>
        </a:xfrm>
        <a:prstGeom prst="rect">
          <a:avLst/>
        </a:prstGeom>
        <a:noFill/>
        <a:ln w="9525">
          <a:noFill/>
        </a:ln>
      </xdr:spPr>
    </xdr:pic>
    <xdr:clientData/>
  </xdr:twoCellAnchor>
  <xdr:twoCellAnchor editAs="oneCell">
    <xdr:from>
      <xdr:col>1</xdr:col>
      <xdr:colOff>171450</xdr:colOff>
      <xdr:row>29</xdr:row>
      <xdr:rowOff>9525</xdr:rowOff>
    </xdr:from>
    <xdr:to>
      <xdr:col>7</xdr:col>
      <xdr:colOff>438150</xdr:colOff>
      <xdr:row>58</xdr:row>
      <xdr:rowOff>26670</xdr:rowOff>
    </xdr:to>
    <xdr:pic>
      <xdr:nvPicPr>
        <xdr:cNvPr id="3" name="图片 2">
          <a:extLst>
            <a:ext uri="{FF2B5EF4-FFF2-40B4-BE49-F238E27FC236}">
              <a16:creationId xmlns:a16="http://schemas.microsoft.com/office/drawing/2014/main" id="{9EB99B3A-B959-497A-87D2-65DB479BCDF1}"/>
            </a:ext>
          </a:extLst>
        </xdr:cNvPr>
        <xdr:cNvPicPr>
          <a:picLocks noChangeAspect="1"/>
        </xdr:cNvPicPr>
      </xdr:nvPicPr>
      <xdr:blipFill>
        <a:blip xmlns:r="http://schemas.openxmlformats.org/officeDocument/2006/relationships" r:embed="rId2"/>
        <a:stretch>
          <a:fillRect/>
        </a:stretch>
      </xdr:blipFill>
      <xdr:spPr>
        <a:xfrm>
          <a:off x="857250" y="4981575"/>
          <a:ext cx="4848225" cy="4989195"/>
        </a:xfrm>
        <a:prstGeom prst="rect">
          <a:avLst/>
        </a:prstGeom>
        <a:noFill/>
        <a:ln w="9525">
          <a:noFill/>
        </a:ln>
      </xdr:spPr>
    </xdr:pic>
    <xdr:clientData/>
  </xdr:twoCellAnchor>
  <xdr:twoCellAnchor editAs="oneCell">
    <xdr:from>
      <xdr:col>0</xdr:col>
      <xdr:colOff>647700</xdr:colOff>
      <xdr:row>67</xdr:row>
      <xdr:rowOff>152400</xdr:rowOff>
    </xdr:from>
    <xdr:to>
      <xdr:col>14</xdr:col>
      <xdr:colOff>190500</xdr:colOff>
      <xdr:row>72</xdr:row>
      <xdr:rowOff>95250</xdr:rowOff>
    </xdr:to>
    <xdr:pic>
      <xdr:nvPicPr>
        <xdr:cNvPr id="4" name="图片 3">
          <a:extLst>
            <a:ext uri="{FF2B5EF4-FFF2-40B4-BE49-F238E27FC236}">
              <a16:creationId xmlns:a16="http://schemas.microsoft.com/office/drawing/2014/main" id="{DA398CD8-FAC0-47EE-8A16-789BA54C9C89}"/>
            </a:ext>
          </a:extLst>
        </xdr:cNvPr>
        <xdr:cNvPicPr>
          <a:picLocks noChangeAspect="1"/>
        </xdr:cNvPicPr>
      </xdr:nvPicPr>
      <xdr:blipFill>
        <a:blip xmlns:r="http://schemas.openxmlformats.org/officeDocument/2006/relationships" r:embed="rId3"/>
        <a:stretch>
          <a:fillRect/>
        </a:stretch>
      </xdr:blipFill>
      <xdr:spPr>
        <a:xfrm>
          <a:off x="647700" y="11639550"/>
          <a:ext cx="10515600" cy="800100"/>
        </a:xfrm>
        <a:prstGeom prst="rect">
          <a:avLst/>
        </a:prstGeom>
        <a:noFill/>
        <a:ln w="9525">
          <a:noFill/>
        </a:ln>
      </xdr:spPr>
    </xdr:pic>
    <xdr:clientData/>
  </xdr:twoCellAnchor>
  <xdr:twoCellAnchor editAs="oneCell">
    <xdr:from>
      <xdr:col>1</xdr:col>
      <xdr:colOff>0</xdr:colOff>
      <xdr:row>59</xdr:row>
      <xdr:rowOff>0</xdr:rowOff>
    </xdr:from>
    <xdr:to>
      <xdr:col>14</xdr:col>
      <xdr:colOff>304800</xdr:colOff>
      <xdr:row>67</xdr:row>
      <xdr:rowOff>28575</xdr:rowOff>
    </xdr:to>
    <xdr:pic>
      <xdr:nvPicPr>
        <xdr:cNvPr id="5" name="图片 4">
          <a:extLst>
            <a:ext uri="{FF2B5EF4-FFF2-40B4-BE49-F238E27FC236}">
              <a16:creationId xmlns:a16="http://schemas.microsoft.com/office/drawing/2014/main" id="{793A5B4A-4712-43BD-8A81-2180FE5E3F4F}"/>
            </a:ext>
          </a:extLst>
        </xdr:cNvPr>
        <xdr:cNvPicPr>
          <a:picLocks noChangeAspect="1"/>
        </xdr:cNvPicPr>
      </xdr:nvPicPr>
      <xdr:blipFill>
        <a:blip xmlns:r="http://schemas.openxmlformats.org/officeDocument/2006/relationships" r:embed="rId4"/>
        <a:stretch>
          <a:fillRect/>
        </a:stretch>
      </xdr:blipFill>
      <xdr:spPr>
        <a:xfrm>
          <a:off x="685800" y="10115550"/>
          <a:ext cx="10591800" cy="1400175"/>
        </a:xfrm>
        <a:prstGeom prst="rect">
          <a:avLst/>
        </a:prstGeom>
        <a:noFill/>
        <a:ln w="9525">
          <a:noFill/>
        </a:ln>
      </xdr:spPr>
    </xdr:pic>
    <xdr:clientData/>
  </xdr:twoCellAnchor>
  <xdr:twoCellAnchor editAs="oneCell">
    <xdr:from>
      <xdr:col>0</xdr:col>
      <xdr:colOff>656590</xdr:colOff>
      <xdr:row>74</xdr:row>
      <xdr:rowOff>76200</xdr:rowOff>
    </xdr:from>
    <xdr:to>
      <xdr:col>10</xdr:col>
      <xdr:colOff>352425</xdr:colOff>
      <xdr:row>96</xdr:row>
      <xdr:rowOff>31115</xdr:rowOff>
    </xdr:to>
    <xdr:pic>
      <xdr:nvPicPr>
        <xdr:cNvPr id="6" name="图片 5">
          <a:extLst>
            <a:ext uri="{FF2B5EF4-FFF2-40B4-BE49-F238E27FC236}">
              <a16:creationId xmlns:a16="http://schemas.microsoft.com/office/drawing/2014/main" id="{C0261A29-558E-4252-BC3E-C4B3FEB6D6BF}"/>
            </a:ext>
          </a:extLst>
        </xdr:cNvPr>
        <xdr:cNvPicPr>
          <a:picLocks noChangeAspect="1"/>
        </xdr:cNvPicPr>
      </xdr:nvPicPr>
      <xdr:blipFill>
        <a:blip xmlns:r="http://schemas.openxmlformats.org/officeDocument/2006/relationships" r:embed="rId5"/>
        <a:stretch>
          <a:fillRect/>
        </a:stretch>
      </xdr:blipFill>
      <xdr:spPr>
        <a:xfrm>
          <a:off x="656590" y="12763500"/>
          <a:ext cx="7887335" cy="3726815"/>
        </a:xfrm>
        <a:prstGeom prst="rect">
          <a:avLst/>
        </a:prstGeom>
        <a:noFill/>
        <a:ln w="9525">
          <a:noFill/>
        </a:ln>
      </xdr:spPr>
    </xdr:pic>
    <xdr:clientData/>
  </xdr:twoCellAnchor>
  <xdr:twoCellAnchor editAs="oneCell">
    <xdr:from>
      <xdr:col>9</xdr:col>
      <xdr:colOff>542925</xdr:colOff>
      <xdr:row>75</xdr:row>
      <xdr:rowOff>133350</xdr:rowOff>
    </xdr:from>
    <xdr:to>
      <xdr:col>16</xdr:col>
      <xdr:colOff>256540</xdr:colOff>
      <xdr:row>95</xdr:row>
      <xdr:rowOff>151765</xdr:rowOff>
    </xdr:to>
    <xdr:pic>
      <xdr:nvPicPr>
        <xdr:cNvPr id="7" name="图片 6">
          <a:extLst>
            <a:ext uri="{FF2B5EF4-FFF2-40B4-BE49-F238E27FC236}">
              <a16:creationId xmlns:a16="http://schemas.microsoft.com/office/drawing/2014/main" id="{737F9CE9-3E5C-4D96-AD41-9F6275C7AD77}"/>
            </a:ext>
          </a:extLst>
        </xdr:cNvPr>
        <xdr:cNvPicPr>
          <a:picLocks noChangeAspect="1"/>
        </xdr:cNvPicPr>
      </xdr:nvPicPr>
      <xdr:blipFill>
        <a:blip xmlns:r="http://schemas.openxmlformats.org/officeDocument/2006/relationships" r:embed="rId6"/>
        <a:stretch>
          <a:fillRect/>
        </a:stretch>
      </xdr:blipFill>
      <xdr:spPr>
        <a:xfrm>
          <a:off x="7686675" y="12992100"/>
          <a:ext cx="4914265" cy="344741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371475</xdr:colOff>
      <xdr:row>0</xdr:row>
      <xdr:rowOff>0</xdr:rowOff>
    </xdr:from>
    <xdr:to>
      <xdr:col>34</xdr:col>
      <xdr:colOff>313475</xdr:colOff>
      <xdr:row>28</xdr:row>
      <xdr:rowOff>113686</xdr:rowOff>
    </xdr:to>
    <xdr:pic>
      <xdr:nvPicPr>
        <xdr:cNvPr id="2" name="图片 1">
          <a:extLst>
            <a:ext uri="{FF2B5EF4-FFF2-40B4-BE49-F238E27FC236}">
              <a16:creationId xmlns:a16="http://schemas.microsoft.com/office/drawing/2014/main" id="{C9131C1D-7FF1-4FC2-B3B4-31DE06F62A35}"/>
            </a:ext>
          </a:extLst>
        </xdr:cNvPr>
        <xdr:cNvPicPr>
          <a:picLocks noChangeAspect="1"/>
        </xdr:cNvPicPr>
      </xdr:nvPicPr>
      <xdr:blipFill>
        <a:blip xmlns:r="http://schemas.openxmlformats.org/officeDocument/2006/relationships" r:embed="rId1"/>
        <a:stretch>
          <a:fillRect/>
        </a:stretch>
      </xdr:blipFill>
      <xdr:spPr>
        <a:xfrm>
          <a:off x="10106025" y="0"/>
          <a:ext cx="6800000" cy="4914286"/>
        </a:xfrm>
        <a:prstGeom prst="rect">
          <a:avLst/>
        </a:prstGeom>
      </xdr:spPr>
    </xdr:pic>
    <xdr:clientData/>
  </xdr:twoCellAnchor>
  <xdr:twoCellAnchor editAs="oneCell">
    <xdr:from>
      <xdr:col>0</xdr:col>
      <xdr:colOff>0</xdr:colOff>
      <xdr:row>0</xdr:row>
      <xdr:rowOff>0</xdr:rowOff>
    </xdr:from>
    <xdr:to>
      <xdr:col>16</xdr:col>
      <xdr:colOff>151305</xdr:colOff>
      <xdr:row>21</xdr:row>
      <xdr:rowOff>37645</xdr:rowOff>
    </xdr:to>
    <xdr:pic>
      <xdr:nvPicPr>
        <xdr:cNvPr id="3" name="图片 2">
          <a:extLst>
            <a:ext uri="{FF2B5EF4-FFF2-40B4-BE49-F238E27FC236}">
              <a16:creationId xmlns:a16="http://schemas.microsoft.com/office/drawing/2014/main" id="{A697FC56-A555-4A6D-A719-33EF3F69FEB2}"/>
            </a:ext>
          </a:extLst>
        </xdr:cNvPr>
        <xdr:cNvPicPr>
          <a:picLocks noChangeAspect="1"/>
        </xdr:cNvPicPr>
      </xdr:nvPicPr>
      <xdr:blipFill>
        <a:blip xmlns:r="http://schemas.openxmlformats.org/officeDocument/2006/relationships" r:embed="rId2"/>
        <a:stretch>
          <a:fillRect/>
        </a:stretch>
      </xdr:blipFill>
      <xdr:spPr>
        <a:xfrm>
          <a:off x="0" y="0"/>
          <a:ext cx="8761905" cy="3638095"/>
        </a:xfrm>
        <a:prstGeom prst="rect">
          <a:avLst/>
        </a:prstGeom>
      </xdr:spPr>
    </xdr:pic>
    <xdr:clientData/>
  </xdr:twoCellAnchor>
  <xdr:twoCellAnchor editAs="oneCell">
    <xdr:from>
      <xdr:col>14</xdr:col>
      <xdr:colOff>285750</xdr:colOff>
      <xdr:row>0</xdr:row>
      <xdr:rowOff>0</xdr:rowOff>
    </xdr:from>
    <xdr:to>
      <xdr:col>24</xdr:col>
      <xdr:colOff>513605</xdr:colOff>
      <xdr:row>24</xdr:row>
      <xdr:rowOff>170914</xdr:rowOff>
    </xdr:to>
    <xdr:pic>
      <xdr:nvPicPr>
        <xdr:cNvPr id="4" name="图片 3">
          <a:extLst>
            <a:ext uri="{FF2B5EF4-FFF2-40B4-BE49-F238E27FC236}">
              <a16:creationId xmlns:a16="http://schemas.microsoft.com/office/drawing/2014/main" id="{59E9587D-CADE-4F4B-92C7-B088ACEE6B56}"/>
            </a:ext>
          </a:extLst>
        </xdr:cNvPr>
        <xdr:cNvPicPr>
          <a:picLocks noChangeAspect="1"/>
        </xdr:cNvPicPr>
      </xdr:nvPicPr>
      <xdr:blipFill>
        <a:blip xmlns:r="http://schemas.openxmlformats.org/officeDocument/2006/relationships" r:embed="rId3"/>
        <a:stretch>
          <a:fillRect/>
        </a:stretch>
      </xdr:blipFill>
      <xdr:spPr>
        <a:xfrm>
          <a:off x="8239125" y="0"/>
          <a:ext cx="5961905" cy="4285714"/>
        </a:xfrm>
        <a:prstGeom prst="rect">
          <a:avLst/>
        </a:prstGeom>
      </xdr:spPr>
    </xdr:pic>
    <xdr:clientData/>
  </xdr:twoCellAnchor>
  <xdr:twoCellAnchor editAs="oneCell">
    <xdr:from>
      <xdr:col>0</xdr:col>
      <xdr:colOff>0</xdr:colOff>
      <xdr:row>21</xdr:row>
      <xdr:rowOff>19050</xdr:rowOff>
    </xdr:from>
    <xdr:to>
      <xdr:col>16</xdr:col>
      <xdr:colOff>160140</xdr:colOff>
      <xdr:row>47</xdr:row>
      <xdr:rowOff>28019</xdr:rowOff>
    </xdr:to>
    <xdr:pic>
      <xdr:nvPicPr>
        <xdr:cNvPr id="5" name="图片 4">
          <a:extLst>
            <a:ext uri="{FF2B5EF4-FFF2-40B4-BE49-F238E27FC236}">
              <a16:creationId xmlns:a16="http://schemas.microsoft.com/office/drawing/2014/main" id="{63B463DB-F8BF-460F-A903-07C8D0AFE23A}"/>
            </a:ext>
          </a:extLst>
        </xdr:cNvPr>
        <xdr:cNvPicPr>
          <a:picLocks noChangeAspect="1"/>
        </xdr:cNvPicPr>
      </xdr:nvPicPr>
      <xdr:blipFill>
        <a:blip xmlns:r="http://schemas.openxmlformats.org/officeDocument/2006/relationships" r:embed="rId4"/>
        <a:stretch>
          <a:fillRect/>
        </a:stretch>
      </xdr:blipFill>
      <xdr:spPr>
        <a:xfrm>
          <a:off x="0" y="3619500"/>
          <a:ext cx="8770740" cy="4466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1496;&#27861;&#24576;&#26580;&#37202;&#2700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陈颖（注册号：1120060040)、（注册号：0)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估价对象为北京市房地产，为所有。根据《国有土地使用证》[]，估价对象（分摊）出让国有建设用地使用权面积为1397.71平方米，建筑面积为489.2平方米。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估价对象为北京市房地产,属开发建设的，该项目尚在开发建设中。根据《国有土地使用证》[]，估价对象（分摊）出让国有建设用地使用权面积为1397.71平方米，规划建筑面积为489.2平方米。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2023年9月14日（评估专业人员实地查勘之日）</v>
      </c>
    </row>
    <row r="13" spans="1:2" s="1202" customFormat="1">
      <c r="A13" s="1200" t="s">
        <v>529</v>
      </c>
      <c r="B13" s="1201" t="str">
        <f>'预评函-1'!A18</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489.2</v>
      </c>
    </row>
    <row r="44" spans="1:2" s="1202" customFormat="1">
      <c r="A44" s="1200" t="s">
        <v>575</v>
      </c>
      <c r="B44" s="1201" t="str">
        <f>'预评函-3'!C2</f>
        <v>(分摊)土地面积</v>
      </c>
    </row>
    <row r="45" spans="1:2" s="1202" customFormat="1">
      <c r="A45" s="1200" t="s">
        <v>547</v>
      </c>
      <c r="B45" s="1201">
        <f>'预评函-3'!C4</f>
        <v>1397.71</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4" workbookViewId="0">
      <selection activeCell="K11" sqref="K1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53" t="s">
        <v>385</v>
      </c>
      <c r="C54" s="1550" t="s">
        <v>583</v>
      </c>
    </row>
    <row r="55" spans="1:4">
      <c r="A55" s="3534"/>
      <c r="B55" s="1553" t="s">
        <v>386</v>
      </c>
      <c r="C55" s="1550" t="s">
        <v>584</v>
      </c>
    </row>
    <row r="56" spans="1:4">
      <c r="A56" s="3534"/>
      <c r="B56" s="1553" t="s">
        <v>387</v>
      </c>
      <c r="C56" s="1550" t="s">
        <v>588</v>
      </c>
    </row>
    <row r="57" spans="1:4">
      <c r="A57" s="353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35" t="s">
        <v>2583</v>
      </c>
      <c r="J2" s="3535"/>
      <c r="K2" s="3535"/>
      <c r="L2" s="3535"/>
      <c r="M2" s="3535"/>
      <c r="N2" s="3535"/>
      <c r="O2" s="3535"/>
      <c r="P2" s="3535"/>
      <c r="Q2" s="3535"/>
      <c r="R2" s="3535"/>
    </row>
    <row r="3" spans="1:18">
      <c r="A3" s="3019" t="s">
        <v>2504</v>
      </c>
      <c r="B3" s="3020">
        <f>项目基本情况!D3</f>
        <v>45183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3.26</v>
      </c>
      <c r="D5" s="3024">
        <f>IF(ISERROR(ROUND(POWER(1+E5,A5-C5)*(POWER(1+E5,C5)-1)/(POWER(1+E5,A5)-1),3)),0,ROUND(POWER(1+E5,A5-C5)*(POWER(1+E5,C5)-1)/(POWER(1+E5,A5)-1),4))</f>
        <v>0.15160000000000001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13.27</v>
      </c>
      <c r="D6" s="3024">
        <f>IF(ISERROR(ROUND(POWER(1+E6,A6-C6)*(POWER(1+E6,C6)-1)/(POWER(1+E6,A6)-1),3)),0,ROUND(POWER(1+E6,A6-C6)*(POWER(1+E6,C6)-1)/(POWER(1+E6,A6)-1),4))</f>
        <v>0.47220000000000001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33.28</v>
      </c>
      <c r="D7" s="3024">
        <f>IF(ISERROR(ROUND(POWER(1+E7,A7-C7)*(POWER(1+E7,C7)-1)/(POWER(1+E7,A7)-1),3)),0,ROUND(POWER(1+E7,A7-C7)*(POWER(1+E7,C7)-1)/(POWER(1+E7,A7)-1),4))</f>
        <v>0.77890000000000004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36806-050E-441F-A4D2-6FF5776AD252}">
  <dimension ref="A1"/>
  <sheetViews>
    <sheetView workbookViewId="0">
      <selection activeCell="K10" sqref="K10"/>
    </sheetView>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8" sqref="D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6" t="str">
        <f>IF(B10="北京市","北京市",C10)&amp;F10&amp;IF(结果表!G1="在建","出让国有建设用地使用权及在建建筑物",IF(结果表!G1="土地","出让国有建设用地使用权",))&amp;B9&amp;"预评估"</f>
        <v>北京市房地产市场价值预评估</v>
      </c>
      <c r="C1" s="3537"/>
      <c r="D1" s="3537"/>
      <c r="E1" s="3537"/>
      <c r="F1" s="3537"/>
      <c r="G1" s="3537"/>
      <c r="H1" s="3537"/>
      <c r="I1" s="353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45183</v>
      </c>
      <c r="C3" s="2373" t="s">
        <v>2171</v>
      </c>
      <c r="D3" s="2372">
        <f>B3</f>
        <v>45183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3403</v>
      </c>
      <c r="C4" s="2375">
        <f ca="1">SUMIF(注册房地产估价师,B4,估价师及机构信息!B3:B24)</f>
        <v>1120060040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3377</v>
      </c>
      <c r="C8" s="2389"/>
      <c r="D8" s="3539" t="s">
        <v>2177</v>
      </c>
      <c r="E8" s="2390"/>
      <c r="F8" s="2391"/>
      <c r="G8" s="2662"/>
      <c r="H8" s="2662"/>
      <c r="I8" s="2662"/>
      <c r="J8" s="2438"/>
      <c r="K8" s="2613"/>
      <c r="L8" s="2612"/>
      <c r="M8" s="2612"/>
      <c r="N8" s="2438"/>
      <c r="O8" s="2449"/>
      <c r="P8" s="2438"/>
      <c r="Q8" s="2438"/>
      <c r="R8" s="2438"/>
    </row>
    <row r="9" spans="1:30" ht="13.5" thickBot="1">
      <c r="A9" s="2392" t="s">
        <v>2178</v>
      </c>
      <c r="B9" s="2393" t="s">
        <v>3378</v>
      </c>
      <c r="C9" s="2394"/>
      <c r="D9" s="3540"/>
      <c r="E9" s="2393"/>
      <c r="F9" s="2395"/>
      <c r="G9" s="2664"/>
      <c r="H9" s="2664"/>
      <c r="I9" s="2664"/>
      <c r="J9" s="2438"/>
      <c r="K9" s="2615"/>
      <c r="L9" s="2612"/>
      <c r="M9" s="2612"/>
      <c r="N9" s="2438"/>
      <c r="O9" s="2449"/>
      <c r="P9" s="2438"/>
      <c r="Q9" s="2438"/>
      <c r="R9" s="2438"/>
    </row>
    <row r="10" spans="1:30" ht="13.5" thickTop="1">
      <c r="A10" s="2396" t="s">
        <v>2179</v>
      </c>
      <c r="B10" s="2397" t="s">
        <v>3379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3380</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3336</v>
      </c>
      <c r="B13" s="2406" t="s">
        <v>2190</v>
      </c>
      <c r="C13" s="3841">
        <v>63171</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49.28</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46"/>
      <c r="C16" s="3547"/>
      <c r="D16" s="3548"/>
      <c r="E16" s="2412" t="s">
        <v>2194</v>
      </c>
      <c r="F16" s="3549"/>
      <c r="G16" s="3550"/>
      <c r="H16" s="3550"/>
      <c r="I16" s="3551"/>
      <c r="J16" s="2438"/>
      <c r="K16" s="2616"/>
      <c r="L16" s="2450"/>
      <c r="M16" s="2450"/>
      <c r="N16" s="2508"/>
      <c r="O16" s="2450"/>
      <c r="P16" s="2508"/>
      <c r="Q16" s="2438"/>
      <c r="R16" s="2438"/>
    </row>
    <row r="17" spans="1:28">
      <c r="A17" s="313" t="s">
        <v>2195</v>
      </c>
      <c r="B17" s="302" t="s">
        <v>2196</v>
      </c>
      <c r="C17" s="8">
        <f>'数据-汇总表'!E3</f>
        <v>489.2</v>
      </c>
      <c r="D17" s="2321" t="s">
        <v>2197</v>
      </c>
      <c r="E17" s="3552" t="s">
        <v>2198</v>
      </c>
      <c r="F17" s="3553"/>
      <c r="G17" s="3553"/>
      <c r="H17" s="3553"/>
      <c r="I17" s="355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1397.71</v>
      </c>
      <c r="D18" s="1092" t="s">
        <v>2201</v>
      </c>
      <c r="E18" s="3555" t="s">
        <v>2202</v>
      </c>
      <c r="F18" s="3556"/>
      <c r="G18" s="3556"/>
      <c r="H18" s="3556"/>
      <c r="I18" s="355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2" t="s">
        <v>2206</v>
      </c>
      <c r="C20" s="3543"/>
      <c r="D20" s="3544" t="s">
        <v>2207</v>
      </c>
      <c r="E20" s="3545"/>
      <c r="F20" s="2646" t="s">
        <v>1056</v>
      </c>
      <c r="G20" s="2663"/>
      <c r="H20" s="2663"/>
      <c r="I20" s="2663"/>
      <c r="J20" s="2438"/>
      <c r="K20" s="354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0"/>
      <c r="B30" s="302" t="s">
        <v>2218</v>
      </c>
      <c r="C30" s="3561"/>
      <c r="D30" s="3562"/>
      <c r="E30" s="2663"/>
      <c r="F30" s="2663"/>
      <c r="G30" s="2663"/>
      <c r="H30" s="2663"/>
      <c r="I30" s="2663"/>
      <c r="J30" s="2438"/>
      <c r="K30" s="2615"/>
      <c r="L30" s="2612"/>
      <c r="M30" s="2612"/>
      <c r="N30" s="2438"/>
      <c r="O30" s="2449"/>
      <c r="P30" s="2438"/>
      <c r="Q30" s="2438"/>
      <c r="R30" s="2438"/>
      <c r="S30" s="2438"/>
      <c r="T30" s="2438"/>
      <c r="U30" s="2438"/>
      <c r="V30" s="2438"/>
    </row>
    <row r="31" spans="1:28">
      <c r="A31" s="356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58" t="s">
        <v>2228</v>
      </c>
      <c r="T34" s="2427" t="str">
        <f>NUMBERSTRING(7-K34,1)&amp;"通"</f>
        <v>七通</v>
      </c>
      <c r="U34" s="2438"/>
      <c r="V34" s="2438"/>
    </row>
    <row r="35" spans="1:30">
      <c r="A35" s="2428"/>
      <c r="B35" s="3565" t="s">
        <v>2229</v>
      </c>
      <c r="C35" s="3565"/>
      <c r="D35" s="3565"/>
      <c r="E35" s="356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304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3503</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9"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B3/0.35</f>
        <v>1397.7142857142858</v>
      </c>
      <c r="B3" s="11">
        <f>IF(C3="否",G5-AT5,G5)</f>
        <v>489.2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489.2</v>
      </c>
      <c r="H5" s="13">
        <f t="shared" ref="H5:AT5" si="0">SUM(H13:H656)</f>
        <v>489.2</v>
      </c>
      <c r="I5" s="13">
        <f t="shared" si="0"/>
        <v>489.2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489.2</v>
      </c>
      <c r="BA5" s="15">
        <f t="shared" si="1"/>
        <v>489.2</v>
      </c>
      <c r="BB5" s="15">
        <f t="shared" si="1"/>
        <v>489.2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1397.71</v>
      </c>
      <c r="F6" s="13" t="s">
        <v>0</v>
      </c>
      <c r="G6" s="13" t="s">
        <v>1</v>
      </c>
      <c r="H6" s="17">
        <f>SUMIF(I$12:AB$12,"总值",I6:AB6)</f>
        <v>1397.71</v>
      </c>
      <c r="I6" s="13">
        <f t="shared" ref="I6:AB6" si="2">ROUND($A$3*I5/$B$3,2)</f>
        <v>1397.71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1397.71</v>
      </c>
      <c r="AZ6" s="13" t="s">
        <v>2</v>
      </c>
      <c r="BA6" s="13">
        <f>ROUND($AY$6*BA5/$AZ$5,2)</f>
        <v>1397.71</v>
      </c>
      <c r="BB6" s="13">
        <f>ROUND($AY$6*BB5/$AZ$5,2)</f>
        <v>1397.71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3445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3382</v>
      </c>
      <c r="E13" s="13">
        <f>IF($C$3="是",ROUND($A$3*G13/$B$3,2),ROUND($A$3*(G13-AT13)/$B$3,2))</f>
        <v>1397.71</v>
      </c>
      <c r="F13" s="29"/>
      <c r="G13" s="30">
        <f>H13+AC13+AT13</f>
        <v>489.2</v>
      </c>
      <c r="H13" s="17">
        <f>SUMIF(I$12:AB$12,"总值",I13:AB13)</f>
        <v>489.2</v>
      </c>
      <c r="I13" s="1625">
        <v>489.2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1397.71</v>
      </c>
      <c r="AZ13" s="13">
        <f>BA13+BL13</f>
        <v>489.2</v>
      </c>
      <c r="BA13" s="13">
        <f>SUM(BB13:BK13)</f>
        <v>489.2</v>
      </c>
      <c r="BB13" s="13">
        <f>IF($D13="是",I13-J13,0)</f>
        <v>489.2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26" sqref="L2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5" t="s">
        <v>1131</v>
      </c>
      <c r="B2" s="3575"/>
      <c r="C2" s="3575"/>
      <c r="D2" s="796" t="s">
        <v>1107</v>
      </c>
      <c r="E2" s="1638" t="s">
        <v>1108</v>
      </c>
      <c r="F2" s="2658"/>
      <c r="G2" s="2649"/>
      <c r="H2" s="2650"/>
      <c r="I2" s="2324" t="s">
        <v>1132</v>
      </c>
      <c r="J2" s="2658"/>
      <c r="K2" s="2658"/>
      <c r="L2" s="2658"/>
      <c r="M2" s="2658"/>
      <c r="N2" s="2660"/>
      <c r="O2" s="2658"/>
      <c r="P2" s="2658"/>
    </row>
    <row r="3" spans="1:16" ht="15.75" thickBot="1">
      <c r="A3" s="3576" t="s">
        <v>1105</v>
      </c>
      <c r="B3" s="3576"/>
      <c r="C3" s="3576"/>
      <c r="D3" s="43">
        <f>'数据-基础表'!AY6</f>
        <v>1397.71</v>
      </c>
      <c r="E3" s="43">
        <f>'数据-基础表'!AZ5</f>
        <v>489.2</v>
      </c>
      <c r="F3" s="2658"/>
      <c r="G3" s="1145"/>
      <c r="H3" s="1026" t="s">
        <v>1106</v>
      </c>
      <c r="I3" s="855">
        <f>ROUND('数据-基础表'!B3/'数据-基础表'!A3,2)</f>
        <v>0.35</v>
      </c>
      <c r="J3" s="2658"/>
      <c r="K3" s="2658"/>
      <c r="L3" s="2658"/>
      <c r="M3" s="2658"/>
      <c r="N3" s="2660"/>
      <c r="O3" s="2658"/>
      <c r="P3" s="2658"/>
    </row>
    <row r="4" spans="1:16" ht="15">
      <c r="A4" s="3577"/>
      <c r="B4" s="3578"/>
      <c r="C4" s="3579"/>
      <c r="D4" s="1640" t="s">
        <v>1107</v>
      </c>
      <c r="E4" s="1641" t="s">
        <v>1108</v>
      </c>
      <c r="F4" s="2658"/>
      <c r="G4" s="2651" t="s">
        <v>1133</v>
      </c>
      <c r="H4" s="1026" t="s">
        <v>1113</v>
      </c>
      <c r="I4" s="855">
        <f>ROUND(SUMIF('数据-基础表'!I9:AS9,"地上",'数据-基础表'!I5:AS5)/'数据-基础表'!A3,2)</f>
        <v>0.35</v>
      </c>
      <c r="J4" s="2658"/>
      <c r="K4" s="2658"/>
      <c r="L4" s="2658"/>
      <c r="M4" s="2658"/>
      <c r="N4" s="2660"/>
      <c r="O4" s="2658"/>
      <c r="P4" s="2658"/>
    </row>
    <row r="5" spans="1:16">
      <c r="A5" s="44" t="s">
        <v>1109</v>
      </c>
      <c r="B5" s="3580" t="s">
        <v>1110</v>
      </c>
      <c r="C5" s="3580"/>
      <c r="D5" s="45">
        <f>ROUND($D$3*E5/$E$3,2)</f>
        <v>1397.71</v>
      </c>
      <c r="E5" s="46">
        <f>SUMIF('数据-基础表'!$11:$11,"住宅",'数据-基础表'!$5:$5)</f>
        <v>489.2</v>
      </c>
      <c r="F5" s="2658"/>
      <c r="G5" s="1145"/>
      <c r="H5" s="1026" t="s">
        <v>1106</v>
      </c>
      <c r="I5" s="855">
        <f>ROUND(E31/D31,2)</f>
        <v>0.35</v>
      </c>
      <c r="J5" s="2658"/>
      <c r="K5" s="2658"/>
      <c r="L5" s="2658"/>
      <c r="M5" s="2658"/>
      <c r="N5" s="2658"/>
      <c r="O5" s="2658"/>
      <c r="P5" s="2658"/>
    </row>
    <row r="6" spans="1:16" ht="15" thickBot="1">
      <c r="A6" s="1643"/>
      <c r="B6" s="3580" t="s">
        <v>1111</v>
      </c>
      <c r="C6" s="3580"/>
      <c r="D6" s="45">
        <f>ROUND($D$3*E6/$E$3,2)</f>
        <v>0</v>
      </c>
      <c r="E6" s="46">
        <f>E3-E5</f>
        <v>0</v>
      </c>
      <c r="F6" s="2658"/>
      <c r="G6" s="2652" t="s">
        <v>1112</v>
      </c>
      <c r="H6" s="1146" t="s">
        <v>1113</v>
      </c>
      <c r="I6" s="2653">
        <f>ROUND(F31/D31,2)</f>
        <v>0.35</v>
      </c>
      <c r="J6" s="2658"/>
      <c r="K6" s="2658"/>
      <c r="L6" s="2658"/>
      <c r="M6" s="2658"/>
      <c r="N6" s="2658"/>
      <c r="O6" s="2658"/>
      <c r="P6" s="2658"/>
    </row>
    <row r="7" spans="1:16" ht="15.75" thickBot="1">
      <c r="A7" s="3572"/>
      <c r="B7" s="3573"/>
      <c r="C7" s="3574"/>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1397.71</v>
      </c>
      <c r="E8" s="48">
        <f>SUMIF('数据-基础表'!BB10:BK10,"地上",'数据-基础表'!BB5:BK5)</f>
        <v>489.2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1397.71</v>
      </c>
      <c r="E16" s="50">
        <f>SUM(E8:E15)</f>
        <v>489.2</v>
      </c>
      <c r="F16" s="2658"/>
      <c r="G16" s="2659"/>
      <c r="H16" s="1647" t="s">
        <v>1135</v>
      </c>
      <c r="I16" s="1648"/>
      <c r="J16" s="1139"/>
      <c r="K16" s="3569" t="s">
        <v>1135</v>
      </c>
      <c r="L16" s="3570"/>
      <c r="M16" s="3570"/>
      <c r="N16" s="3570"/>
      <c r="O16" s="3570"/>
      <c r="P16" s="3571"/>
    </row>
    <row r="17" spans="1:19" ht="15">
      <c r="A17" s="1649" t="s">
        <v>1136</v>
      </c>
      <c r="B17" s="1650" t="s">
        <v>1137</v>
      </c>
      <c r="C17" s="1651" t="s">
        <v>1138</v>
      </c>
      <c r="D17" s="1652" t="s">
        <v>1126</v>
      </c>
      <c r="E17" s="1653" t="s">
        <v>1127</v>
      </c>
      <c r="F17" s="1654"/>
      <c r="G17" s="1655"/>
      <c r="H17" s="1656" t="s">
        <v>1139</v>
      </c>
      <c r="I17" s="1657" t="s">
        <v>1124</v>
      </c>
      <c r="J17" s="1139"/>
      <c r="K17" s="3566" t="s">
        <v>1140</v>
      </c>
      <c r="L17" s="3567"/>
      <c r="M17" s="3568"/>
      <c r="N17" s="3566" t="s">
        <v>1141</v>
      </c>
      <c r="O17" s="3567"/>
      <c r="P17" s="356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3446</v>
      </c>
      <c r="D19" s="45">
        <f>ROUND($D$3*E19/$E$3,2)</f>
        <v>1397.71</v>
      </c>
      <c r="E19" s="53">
        <f t="shared" ref="E19:E26" si="1">SUM(F19:G19)</f>
        <v>489.2</v>
      </c>
      <c r="F19" s="2794">
        <f>'数据-基础表'!I13</f>
        <v>489.2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1397.71</v>
      </c>
      <c r="S19" s="1027">
        <f t="shared" si="5"/>
        <v>489.2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1397.71</v>
      </c>
      <c r="E27" s="1141">
        <f>IF(SUM(E19:E26)='数据-基础表'!BA5,SUM(E19:E26),IF(F27="地上面积有误","面积有误","地下面积有误"))</f>
        <v>489.2</v>
      </c>
      <c r="F27" s="1140">
        <f>IF(SUM(F19:F26)=E8,SUM(F19:F26),"地上面积有误")</f>
        <v>489.2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1397.71</v>
      </c>
      <c r="S27" s="1026">
        <f>IF(SUM(S19:S26)=$E$3,SUM(S19:S26),SUM(S19:S26)&amp;"误差"&amp;ROUND(SUM(S19:S26)-E3,2))</f>
        <v>489.2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1397.71</v>
      </c>
      <c r="E31" s="676">
        <f>E27+E30</f>
        <v>489.2</v>
      </c>
      <c r="F31" s="677">
        <f>F27+F30</f>
        <v>489.2</v>
      </c>
      <c r="G31" s="678">
        <f>G27+G30</f>
        <v>0</v>
      </c>
      <c r="H31" s="2658"/>
      <c r="I31" s="2658"/>
      <c r="J31" s="2658"/>
      <c r="K31" s="2658"/>
      <c r="L31" s="2658"/>
      <c r="M31" s="2658"/>
      <c r="N31" s="2658"/>
      <c r="O31" s="2658"/>
      <c r="P31" s="2658"/>
    </row>
    <row r="32" spans="1:19">
      <c r="A32" s="1642"/>
      <c r="B32" s="1642" t="s">
        <v>1159</v>
      </c>
      <c r="C32" s="1642"/>
      <c r="D32" s="1642"/>
      <c r="E32" s="1053">
        <f>SUMIF(C19:C26,"*住宅*",E19:E26)</f>
        <v>489.2</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1" sqref="F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45183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3445</v>
      </c>
      <c r="D6" s="858">
        <f>SUMIF(项目基本情况!C$12:I$12,C6,项目基本情况!C$14:I$14)</f>
        <v>70</v>
      </c>
      <c r="E6" s="857">
        <f>IF(B6="","",SUMIF(项目基本情况!C$12:I$12,C6,项目基本情况!C$13:I$13))</f>
        <v>63171</v>
      </c>
      <c r="F6" s="64">
        <f>SUMIF(项目基本情况!C$12:I$12,C6,项目基本情况!C$15:I$15)</f>
        <v>49.28</v>
      </c>
      <c r="G6" s="65">
        <f>IF(ISERROR(ROUND(POWER(1+H6,D6-F6)*(POWER(1+H6,F6)-1)/(POWER(1+H6,D6)-1),3)),0,ROUND(POWER(1+H6,D6-F6)*(POWER(1+H6,F6)-1)/(POWER(1+H6,D6)-1),3))</f>
        <v>0.91400000000000003</v>
      </c>
      <c r="H6" s="732">
        <v>0.04</v>
      </c>
      <c r="I6" s="732">
        <v>4.4999999999999998E-2</v>
      </c>
      <c r="J6" s="66">
        <v>6.5000000000000002E-2</v>
      </c>
      <c r="K6" s="1030">
        <f>SUMIF('数据-汇总表'!C$19:C$33,A6,'数据-汇总表'!E$19:E$33)</f>
        <v>489.2</v>
      </c>
      <c r="L6" s="733">
        <v>4000</v>
      </c>
      <c r="M6" s="67">
        <f t="shared" ref="M6:M14" si="0">ROUND(K6*L6/10000,0)</f>
        <v>196</v>
      </c>
      <c r="N6" s="731">
        <v>0.7</v>
      </c>
      <c r="O6" s="67" t="str">
        <f>IF($N$5="成新度","——",ROUND(M6*N6,0))</f>
        <v>——</v>
      </c>
      <c r="P6" s="68" t="str">
        <f>IF($N$5="成新度","——",M6-O6)</f>
        <v>——</v>
      </c>
      <c r="Q6" s="734">
        <v>0.25</v>
      </c>
      <c r="R6" s="69">
        <f ca="1">SUMIF('数据-汇总表'!C$19:C$33,A6,'数据-汇总表'!R$19:R$27)</f>
        <v>1397.71</v>
      </c>
      <c r="S6" s="51">
        <f>IF('数据-汇总表'!$I$17="按面积比例",SUMIF('数据-汇总表'!C$19:C$33,A6,'数据-汇总表'!K$19:K$33),SUMIF('数据-汇总表'!C$19:C$33,A6,'数据-汇总表'!N$19:N$33))</f>
        <v>0</v>
      </c>
      <c r="T6" s="1172">
        <f>ROUND($L$14*S6/10000,0)</f>
        <v>0</v>
      </c>
      <c r="U6" s="3427">
        <v>40000</v>
      </c>
      <c r="V6" s="70">
        <v>2.5000000000000001E-2</v>
      </c>
      <c r="W6" s="70">
        <v>0.05</v>
      </c>
      <c r="X6" s="1040"/>
      <c r="Y6" s="71">
        <f>N6</f>
        <v>0.7</v>
      </c>
      <c r="Z6" s="72"/>
      <c r="AA6" s="66"/>
      <c r="AB6" s="66"/>
      <c r="AC6" s="1040"/>
      <c r="AD6" s="73"/>
      <c r="AE6" s="1041">
        <f ca="1">IF(AN6="",0,SUMIF(INDIRECT("'"&amp;AN6&amp;"'"&amp;"!E:E"),$AE$5,INDIRECT("'"&amp;AN6&amp;"'"&amp;"!F:F")))</f>
        <v>50</v>
      </c>
      <c r="AF6" s="3450">
        <f>F6</f>
        <v>49.28</v>
      </c>
      <c r="AG6" s="138">
        <f ca="1">IF(AF6="",0,AE6-AF6)</f>
        <v>0.71999999999999886</v>
      </c>
      <c r="AH6" s="74">
        <v>1</v>
      </c>
      <c r="AI6" s="76">
        <v>12</v>
      </c>
      <c r="AJ6" s="77"/>
      <c r="AK6" s="78">
        <v>0.01</v>
      </c>
      <c r="AL6" s="79">
        <v>1E-3</v>
      </c>
      <c r="AM6" s="80">
        <v>0.01</v>
      </c>
      <c r="AN6" s="1714" t="s">
        <v>3385</v>
      </c>
      <c r="AO6" s="52">
        <f ca="1">SUMIF(INDIRECT("'"&amp;AN6&amp;"'"&amp;"!A:A"),"总价",INDIRECT("'"&amp;AN6&amp;"'"&amp;"!B:B"))</f>
        <v>1259</v>
      </c>
      <c r="AP6" s="1715">
        <f>IF(C6="住宅",K6*L6,0)</f>
        <v>1956800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0.91400000000000003</v>
      </c>
      <c r="H16" s="90">
        <f>ROUND(SUMPRODUCT(H6:H13,K6:K13)/SUMPRODUCT((H6:H13&gt;0)*(K6:K13)),3)</f>
        <v>0.04</v>
      </c>
      <c r="I16" s="91"/>
      <c r="J16" s="91"/>
      <c r="K16" s="92">
        <f>SUM(K6:K15)</f>
        <v>489.2</v>
      </c>
      <c r="L16" s="93">
        <f>ROUND(M16*10000/SUM(K6:K14),0)</f>
        <v>4007</v>
      </c>
      <c r="M16" s="93">
        <f>SUM(M6:M14)</f>
        <v>196</v>
      </c>
      <c r="N16" s="94">
        <f>ROUND(SUMPRODUCT(M6:M14,N6:N14)/M16,3)</f>
        <v>0.7</v>
      </c>
      <c r="O16" s="93">
        <f>SUM(O6:O14)</f>
        <v>0</v>
      </c>
      <c r="P16" s="93">
        <f>SUM(P6:P14)</f>
        <v>0</v>
      </c>
      <c r="Q16" s="95">
        <f>ROUND(SUMPRODUCT(Q6:Q13,K6:K13)/SUMPRODUCT((Q6:Q13&gt;0)*(K6:K13)),2)</f>
        <v>0.25</v>
      </c>
      <c r="R16" s="1034">
        <f ca="1">SUM(R6:R13)</f>
        <v>1397.71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4.3500000000000004E-2</v>
      </c>
      <c r="C40" s="2813">
        <v>8.9999999999999993E-3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1" t="s">
        <v>2286</v>
      </c>
      <c r="B1" s="3582"/>
      <c r="C1" s="3582"/>
      <c r="D1" s="3582"/>
      <c r="E1" s="3582"/>
      <c r="F1" s="3582"/>
      <c r="G1" s="358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9" sqref="H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489.2</v>
      </c>
      <c r="C1" s="2685"/>
      <c r="D1" s="2685"/>
      <c r="E1" s="2685"/>
      <c r="F1" s="2685"/>
      <c r="G1" s="2686"/>
      <c r="H1" s="2687"/>
      <c r="I1" s="2687"/>
      <c r="J1" s="2687"/>
      <c r="K1" s="2687"/>
    </row>
    <row r="2" spans="1:11" ht="16.5">
      <c r="A2" s="2511" t="s">
        <v>653</v>
      </c>
      <c r="B2" s="2511">
        <f>SUM(C14:C23)</f>
        <v>1397.71</v>
      </c>
      <c r="C2" s="2685"/>
      <c r="D2" s="2685"/>
      <c r="E2" s="2685"/>
      <c r="F2" s="2685"/>
      <c r="G2" s="2686"/>
      <c r="H2" s="2687"/>
      <c r="I2" s="2687"/>
      <c r="J2" s="2687"/>
      <c r="K2" s="2687"/>
    </row>
    <row r="3" spans="1:11" ht="16.5">
      <c r="A3" s="2511" t="s">
        <v>662</v>
      </c>
      <c r="B3" s="2513">
        <f>项目基本情况!D3</f>
        <v>45183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1879.5553199999999</v>
      </c>
      <c r="C5" s="2511" t="e">
        <f ca="1">IF(B5=D14,结果表!H102,ROUND(B5*10000/$B$1,0))</f>
        <v>#DIV/0!</v>
      </c>
      <c r="D5" s="2511">
        <f ca="1">ROUND(B5*10000/$B$2,0)</f>
        <v>13447</v>
      </c>
      <c r="E5" s="2685"/>
      <c r="F5" s="2686"/>
      <c r="G5" s="2686"/>
      <c r="H5" s="2687"/>
      <c r="I5" s="2687"/>
      <c r="J5" s="2687"/>
      <c r="K5" s="2687"/>
    </row>
    <row r="6" spans="1:11" ht="16.5">
      <c r="A6" s="2511" t="s">
        <v>656</v>
      </c>
      <c r="B6" s="2511">
        <f>SUM(G14:G23)</f>
        <v>0</v>
      </c>
      <c r="C6" s="2511">
        <f ca="1">IF(B6=G14,结果表!H108,ROUND(B6*10000/$B$1,0))</f>
        <v>0</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'比较法-住宅'!C33</f>
        <v>489.2</v>
      </c>
      <c r="C14" s="2517">
        <f>'数据-汇总表'!D3</f>
        <v>1397.71</v>
      </c>
      <c r="D14" s="2517">
        <f ca="1">结果表!G22</f>
        <v>1879.5553199999999</v>
      </c>
      <c r="E14" s="2517">
        <f ca="1">ROUND(D14*10000/B14,0)</f>
        <v>38421</v>
      </c>
      <c r="F14" s="2517">
        <f ca="1">ROUND(D14*10000/C14,0)</f>
        <v>13447</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J18" sqref="J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3445</v>
      </c>
      <c r="D1" s="1746"/>
      <c r="E1" s="1746"/>
      <c r="F1" s="1748" t="s">
        <v>1263</v>
      </c>
      <c r="G1" s="1560" t="s">
        <v>3387</v>
      </c>
      <c r="H1" s="1749" t="str">
        <f>IF(G1="现房","——","估价对象范围")</f>
        <v>——</v>
      </c>
      <c r="I1" s="1750" t="s">
        <v>3386</v>
      </c>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3" t="s">
        <v>1265</v>
      </c>
      <c r="B4" s="1754" t="s">
        <v>1266</v>
      </c>
      <c r="C4" s="1755" t="s">
        <v>3501</v>
      </c>
      <c r="D4" s="1755" t="s">
        <v>3385</v>
      </c>
      <c r="E4" s="3659" t="s">
        <v>1267</v>
      </c>
      <c r="F4" s="3660"/>
      <c r="G4" s="3660"/>
      <c r="H4" s="3660"/>
      <c r="I4" s="366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653">
        <v>25</v>
      </c>
      <c r="C5" s="3656">
        <v>80</v>
      </c>
      <c r="D5" s="3644">
        <f>100-C5</f>
        <v>20</v>
      </c>
      <c r="E5" s="131" t="s">
        <v>1269</v>
      </c>
      <c r="F5" s="1756"/>
      <c r="G5" s="1756"/>
      <c r="H5" s="1756"/>
      <c r="I5" s="1372"/>
    </row>
    <row r="6" spans="1:12" ht="12.75">
      <c r="A6" s="3598"/>
      <c r="B6" s="3653"/>
      <c r="C6" s="3658"/>
      <c r="D6" s="3644"/>
      <c r="E6" s="131" t="s">
        <v>1270</v>
      </c>
      <c r="F6" s="1756"/>
      <c r="G6" s="1756"/>
      <c r="H6" s="1756"/>
      <c r="I6" s="1372"/>
    </row>
    <row r="7" spans="1:12" ht="24.75" customHeight="1">
      <c r="A7" s="3598"/>
      <c r="B7" s="3653"/>
      <c r="C7" s="3657"/>
      <c r="D7" s="3644"/>
      <c r="E7" s="131" t="s">
        <v>1271</v>
      </c>
      <c r="F7" s="1756"/>
      <c r="G7" s="1756"/>
      <c r="H7" s="1756"/>
      <c r="I7" s="1372"/>
    </row>
    <row r="8" spans="1:12" ht="12.75">
      <c r="A8" s="3598" t="s">
        <v>1272</v>
      </c>
      <c r="B8" s="3653">
        <v>15</v>
      </c>
      <c r="C8" s="3656"/>
      <c r="D8" s="3644"/>
      <c r="E8" s="131" t="s">
        <v>1273</v>
      </c>
      <c r="F8" s="1756"/>
      <c r="G8" s="1756"/>
      <c r="H8" s="1756"/>
      <c r="I8" s="1372"/>
    </row>
    <row r="9" spans="1:12" ht="12.75">
      <c r="A9" s="3598"/>
      <c r="B9" s="3653"/>
      <c r="C9" s="3657"/>
      <c r="D9" s="3644"/>
      <c r="E9" s="131" t="s">
        <v>1274</v>
      </c>
      <c r="F9" s="1756"/>
      <c r="G9" s="1756"/>
      <c r="H9" s="1756"/>
      <c r="I9" s="1372"/>
    </row>
    <row r="10" spans="1:12" ht="12.75">
      <c r="A10" s="3598" t="s">
        <v>1275</v>
      </c>
      <c r="B10" s="3653">
        <v>15</v>
      </c>
      <c r="C10" s="3656"/>
      <c r="D10" s="3644"/>
      <c r="E10" s="131" t="s">
        <v>1276</v>
      </c>
      <c r="F10" s="1756"/>
      <c r="G10" s="1756"/>
      <c r="H10" s="1756"/>
      <c r="I10" s="1372"/>
    </row>
    <row r="11" spans="1:12" ht="12.75">
      <c r="A11" s="3598"/>
      <c r="B11" s="3653"/>
      <c r="C11" s="3657"/>
      <c r="D11" s="3644"/>
      <c r="E11" s="131" t="s">
        <v>1277</v>
      </c>
      <c r="F11" s="1756"/>
      <c r="G11" s="1756"/>
      <c r="H11" s="1756"/>
      <c r="I11" s="1372"/>
    </row>
    <row r="12" spans="1:12" ht="12.75">
      <c r="A12" s="3598" t="s">
        <v>1278</v>
      </c>
      <c r="B12" s="3653">
        <v>15</v>
      </c>
      <c r="C12" s="3656"/>
      <c r="D12" s="3644"/>
      <c r="E12" s="131" t="s">
        <v>1279</v>
      </c>
      <c r="F12" s="1756"/>
      <c r="G12" s="1756"/>
      <c r="H12" s="1756"/>
      <c r="I12" s="1372"/>
    </row>
    <row r="13" spans="1:12" ht="12.75">
      <c r="A13" s="3598"/>
      <c r="B13" s="3653"/>
      <c r="C13" s="3657"/>
      <c r="D13" s="3644"/>
      <c r="E13" s="131" t="s">
        <v>1280</v>
      </c>
      <c r="F13" s="1756"/>
      <c r="G13" s="1756"/>
      <c r="H13" s="1756"/>
      <c r="I13" s="1372"/>
    </row>
    <row r="14" spans="1:12" ht="12.75">
      <c r="A14" s="3598" t="s">
        <v>1281</v>
      </c>
      <c r="B14" s="3653">
        <v>30</v>
      </c>
      <c r="C14" s="3656"/>
      <c r="D14" s="3644"/>
      <c r="E14" s="131" t="s">
        <v>1282</v>
      </c>
      <c r="F14" s="1756"/>
      <c r="G14" s="1756"/>
      <c r="H14" s="1756"/>
      <c r="I14" s="1372"/>
    </row>
    <row r="15" spans="1:12" ht="12.75">
      <c r="A15" s="3598"/>
      <c r="B15" s="3653"/>
      <c r="C15" s="3658"/>
      <c r="D15" s="3644"/>
      <c r="E15" s="131" t="s">
        <v>1283</v>
      </c>
      <c r="F15" s="1756"/>
      <c r="G15" s="1756"/>
      <c r="H15" s="1756"/>
      <c r="I15" s="1372"/>
    </row>
    <row r="16" spans="1:12" ht="12.75">
      <c r="A16" s="3598"/>
      <c r="B16" s="3653"/>
      <c r="C16" s="3657"/>
      <c r="D16" s="3644"/>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675" t="s">
        <v>2131</v>
      </c>
      <c r="F18" s="3676"/>
      <c r="G18" s="3676"/>
      <c r="H18" s="3676"/>
      <c r="I18" s="3676"/>
      <c r="K18" s="302" t="s">
        <v>1289</v>
      </c>
      <c r="L18" s="302">
        <f>IF(C1="",'数据-汇总表'!E3,SUMIF(项目类型,C1,'数据-汇总表'!E17:E26)+SUMIF(项目类型,C1,'数据-汇总表'!I17:I26))</f>
        <v>489.2</v>
      </c>
      <c r="M18" s="302">
        <f>IF(C1="",'数据-汇总表'!E3,SUMIF(项目类型,C1,'数据-汇总表'!E17:E26))</f>
        <v>489.2</v>
      </c>
    </row>
    <row r="19" spans="1:36" ht="15">
      <c r="A19" s="1760" t="s">
        <v>1290</v>
      </c>
      <c r="B19" s="1761" t="s">
        <v>1291</v>
      </c>
      <c r="C19" s="134">
        <f ca="1">SUMIF(INDIRECT("'"&amp;C4&amp;"'"&amp;"!A:A"),结果表!B19,INDIRECT("'"&amp;C4&amp;"'"&amp;"!B:B"))</f>
        <v>0</v>
      </c>
      <c r="D19" s="135">
        <f ca="1">SUMIF(INDIRECT("'"&amp;D4&amp;"'"&amp;"!A:A"),结果表!B19,INDIRECT("'"&amp;D4&amp;"'"&amp;"!B:B"))</f>
        <v>1259</v>
      </c>
      <c r="E19" s="1760" t="s">
        <v>1292</v>
      </c>
      <c r="F19" s="1761" t="s">
        <v>1291</v>
      </c>
      <c r="G19" s="136">
        <f ca="1">ROUND(C19*$C$18+D19*$D$18,0)</f>
        <v>252</v>
      </c>
      <c r="H19" s="1762" t="s">
        <v>1293</v>
      </c>
      <c r="I19" s="129"/>
      <c r="K19" s="302" t="s">
        <v>1294</v>
      </c>
      <c r="L19" s="302">
        <f>IF(C1="",'数据-汇总表'!D3,SUMIF(项目类型,C1,'数据-汇总表'!D17:D26)+SUMIF(项目类型,C1,'数据-汇总表'!H17:H27))</f>
        <v>1397.71</v>
      </c>
      <c r="M19" s="302">
        <f>IF(C1="",'数据-汇总表'!D3,SUMIF(项目类型,C1,'数据-汇总表'!D17:D26))</f>
        <v>1397.71</v>
      </c>
    </row>
    <row r="20" spans="1:36" ht="15">
      <c r="A20" s="1763"/>
      <c r="B20" s="1026" t="s">
        <v>1295</v>
      </c>
      <c r="C20" s="137">
        <f ca="1">SUMIF(INDIRECT("'"&amp;C4&amp;"'"&amp;"!A:A"),结果表!B20,INDIRECT("'"&amp;C4&amp;"'"&amp;"!B:B"))</f>
        <v>41592</v>
      </c>
      <c r="D20" s="138">
        <f ca="1">SUMIF(INDIRECT("'"&amp;D4&amp;"'"&amp;"!A:A"),结果表!B20,INDIRECT("'"&amp;D4&amp;"'"&amp;"!B:B"))</f>
        <v>25736</v>
      </c>
      <c r="E20" s="1763"/>
      <c r="F20" s="1026" t="s">
        <v>1295</v>
      </c>
      <c r="G20" s="139">
        <f ca="1">ROUND(C20*$C$18+D20*$D$18,0)</f>
        <v>38421</v>
      </c>
      <c r="H20" s="808" t="s">
        <v>1296</v>
      </c>
      <c r="I20" s="129"/>
    </row>
    <row r="21" spans="1:36" ht="15" customHeight="1" thickBot="1">
      <c r="A21" s="828"/>
      <c r="B21" s="1764" t="s">
        <v>1297</v>
      </c>
      <c r="C21" s="719">
        <f ca="1">ROUND(C19*10000/L19,0)</f>
        <v>0</v>
      </c>
      <c r="D21" s="720">
        <f ca="1">ROUND(D19*10000/L19,0)</f>
        <v>9008</v>
      </c>
      <c r="E21" s="828"/>
      <c r="F21" s="1764" t="s">
        <v>1297</v>
      </c>
      <c r="G21" s="140">
        <f ca="1">ROUND(G19*10000/L19,0)</f>
        <v>1803</v>
      </c>
      <c r="H21" s="1765" t="s">
        <v>1296</v>
      </c>
      <c r="I21" s="129"/>
    </row>
    <row r="22" spans="1:36" ht="16.5" customHeight="1" thickBot="1">
      <c r="A22" s="1687" t="s">
        <v>1298</v>
      </c>
      <c r="B22" s="1766"/>
      <c r="C22" s="1767"/>
      <c r="D22" s="721" t="e">
        <f ca="1">IF(C19&lt;D19,D19/C19-1,C19/D19-1)</f>
        <v>#DIV/0!</v>
      </c>
      <c r="E22" s="129"/>
      <c r="F22" s="129"/>
      <c r="G22" s="129">
        <f ca="1">G20*'比较法-住宅'!C33/10000</f>
        <v>1879.5553199999999</v>
      </c>
      <c r="H22" s="129"/>
      <c r="I22" s="129"/>
    </row>
    <row r="23" spans="1:36" ht="13.5" thickBot="1">
      <c r="A23" s="1746"/>
      <c r="B23" s="1746"/>
      <c r="C23" s="1746"/>
      <c r="D23" s="1746"/>
      <c r="E23" s="129"/>
      <c r="F23" s="129"/>
      <c r="G23" s="129"/>
      <c r="H23" s="129"/>
      <c r="I23" s="129"/>
    </row>
    <row r="24" spans="1:36" ht="14.25">
      <c r="A24" s="3668" t="s">
        <v>1299</v>
      </c>
      <c r="B24" s="1761" t="s">
        <v>1291</v>
      </c>
      <c r="C24" s="136">
        <f>IF(B30=0,0,D30)</f>
        <v>0</v>
      </c>
      <c r="D24" s="1768"/>
      <c r="E24" s="129"/>
      <c r="F24" s="129"/>
      <c r="G24" s="129"/>
      <c r="H24" s="129"/>
      <c r="I24" s="129"/>
    </row>
    <row r="25" spans="1:36" ht="14.25">
      <c r="A25" s="366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38421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5" t="s">
        <v>1312</v>
      </c>
      <c r="B36" s="1786" t="s">
        <v>1313</v>
      </c>
      <c r="C36" s="145"/>
      <c r="D36" s="1787"/>
      <c r="E36" s="1788"/>
      <c r="F36" s="1789"/>
      <c r="G36" s="129"/>
      <c r="H36" s="129"/>
      <c r="I36" s="129"/>
    </row>
    <row r="37" spans="1:15" ht="15.75" thickBot="1">
      <c r="A37" s="3646"/>
      <c r="B37" s="1673" t="s">
        <v>1314</v>
      </c>
      <c r="C37" s="147"/>
      <c r="D37" s="1139"/>
      <c r="E37" s="1139"/>
      <c r="F37" s="1789"/>
      <c r="G37" s="129"/>
      <c r="H37" s="129"/>
      <c r="I37" s="129"/>
    </row>
    <row r="38" spans="1:15" ht="15.75" thickBot="1">
      <c r="A38" s="364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5" t="s">
        <v>1326</v>
      </c>
      <c r="B45" s="3666"/>
      <c r="C45" s="3667"/>
      <c r="D45" s="155" t="e">
        <f ca="1">ROUND(H101*F45,0)</f>
        <v>#REF!</v>
      </c>
      <c r="E45" s="156" t="s">
        <v>1327</v>
      </c>
      <c r="F45" s="157">
        <v>1</v>
      </c>
      <c r="G45" s="158" t="s">
        <v>1328</v>
      </c>
      <c r="H45" s="129"/>
      <c r="I45" s="129"/>
      <c r="J45" s="3585" t="s">
        <v>1329</v>
      </c>
      <c r="K45" s="3585"/>
      <c r="L45" s="3585"/>
      <c r="M45" s="3585"/>
      <c r="N45" s="3585"/>
      <c r="O45" s="3585"/>
    </row>
    <row r="46" spans="1:15" ht="14.25" customHeight="1">
      <c r="A46" s="3662" t="s">
        <v>1330</v>
      </c>
      <c r="B46" s="3663"/>
      <c r="C46" s="3663"/>
      <c r="D46" s="3663"/>
      <c r="E46" s="3663"/>
      <c r="F46" s="3663"/>
      <c r="G46" s="3664"/>
      <c r="H46" s="1805"/>
      <c r="I46" s="159"/>
      <c r="J46" s="2522">
        <v>1</v>
      </c>
      <c r="K46" s="3586" t="s">
        <v>1331</v>
      </c>
      <c r="L46" s="3586"/>
      <c r="M46" s="3587"/>
      <c r="N46" s="3587"/>
      <c r="O46" s="3587"/>
    </row>
    <row r="47" spans="1:15" ht="12" customHeight="1">
      <c r="A47" s="160" t="s">
        <v>1332</v>
      </c>
      <c r="B47" s="161"/>
      <c r="C47" s="162"/>
      <c r="D47" s="1087" t="s">
        <v>1333</v>
      </c>
      <c r="E47" s="302" t="s">
        <v>1334</v>
      </c>
      <c r="F47" s="163" t="s">
        <v>1335</v>
      </c>
      <c r="G47" s="2545" t="s">
        <v>1336</v>
      </c>
      <c r="H47" s="2546"/>
      <c r="I47" s="159"/>
      <c r="J47" s="2522">
        <v>2</v>
      </c>
      <c r="K47" s="3586" t="s">
        <v>1337</v>
      </c>
      <c r="L47" s="3586"/>
      <c r="M47" s="3588">
        <f>'数据-取费表'!B2</f>
        <v>45183</v>
      </c>
      <c r="N47" s="3588"/>
      <c r="O47" s="3588"/>
    </row>
    <row r="48" spans="1:15" ht="25.5">
      <c r="A48" s="3648" t="s">
        <v>1338</v>
      </c>
      <c r="B48" s="3649"/>
      <c r="C48" s="364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86" t="s">
        <v>1340</v>
      </c>
      <c r="L48" s="3586"/>
      <c r="M48" s="3589" t="e">
        <f ca="1">H101</f>
        <v>#REF!</v>
      </c>
      <c r="N48" s="3589"/>
      <c r="O48" s="3589"/>
    </row>
    <row r="49" spans="1:35" ht="25.5" customHeight="1">
      <c r="A49" s="2332" t="s">
        <v>1341</v>
      </c>
      <c r="B49" s="3634" t="s">
        <v>1342</v>
      </c>
      <c r="C49" s="3634"/>
      <c r="D49" s="1589">
        <v>0</v>
      </c>
      <c r="E49" s="324" t="s">
        <v>1343</v>
      </c>
      <c r="F49" s="2423" t="s">
        <v>28</v>
      </c>
      <c r="G49" s="3617"/>
      <c r="H49" s="2309" t="s">
        <v>2134</v>
      </c>
      <c r="I49" s="2310"/>
      <c r="J49" s="2522">
        <v>4</v>
      </c>
      <c r="K49" s="3586" t="str">
        <f>IF(项目基本情况!E8="房地产抵押价值","房地产抵押价值","抵押担保权已注销时的房地产抵押价值")</f>
        <v>抵押担保权已注销时的房地产抵押价值</v>
      </c>
      <c r="L49" s="3586"/>
      <c r="M49" s="3589" t="str">
        <f>IF(项目基本情况!E8="房地产抵押价值",H107,H109)</f>
        <v>——</v>
      </c>
      <c r="N49" s="3589"/>
      <c r="O49" s="3589"/>
    </row>
    <row r="50" spans="1:35" ht="25.5" customHeight="1">
      <c r="A50" s="2550"/>
      <c r="B50" s="3634" t="s">
        <v>1344</v>
      </c>
      <c r="C50" s="3634"/>
      <c r="D50" s="2551"/>
      <c r="E50" s="332"/>
      <c r="F50" s="2423"/>
      <c r="G50" s="3618"/>
      <c r="H50" s="2311" t="s">
        <v>2135</v>
      </c>
      <c r="I50" s="2310"/>
      <c r="J50" s="3585" t="s">
        <v>1345</v>
      </c>
      <c r="K50" s="3585"/>
      <c r="L50" s="3585"/>
      <c r="M50" s="3585"/>
      <c r="N50" s="3585"/>
      <c r="O50" s="3585"/>
    </row>
    <row r="51" spans="1:35" ht="20.45" customHeight="1">
      <c r="A51" s="2552"/>
      <c r="B51" s="3634" t="s">
        <v>1346</v>
      </c>
      <c r="C51" s="3634"/>
      <c r="D51" s="1087"/>
      <c r="E51" s="327"/>
      <c r="F51" s="2423"/>
      <c r="G51" s="3619"/>
      <c r="H51" s="2311" t="s">
        <v>2136</v>
      </c>
      <c r="I51" s="2310"/>
      <c r="J51" s="2523" t="s">
        <v>1347</v>
      </c>
      <c r="K51" s="3586" t="s">
        <v>1348</v>
      </c>
      <c r="L51" s="3586"/>
      <c r="M51" s="2523" t="s">
        <v>1349</v>
      </c>
      <c r="N51" s="2523" t="s">
        <v>1350</v>
      </c>
      <c r="O51" s="2523" t="s">
        <v>1351</v>
      </c>
    </row>
    <row r="52" spans="1:35" ht="24" customHeight="1">
      <c r="A52" s="2334" t="s">
        <v>1352</v>
      </c>
      <c r="B52" s="3634" t="s">
        <v>1353</v>
      </c>
      <c r="C52" s="3634"/>
      <c r="D52" s="1087" t="e">
        <f ca="1">ROUND(D45*'数据-取费表'!B41/(1+'数据-取费表'!C42),0)</f>
        <v>#REF!</v>
      </c>
      <c r="E52" s="2333" t="s">
        <v>1354</v>
      </c>
      <c r="F52" s="2553">
        <f>'数据-取费表'!B41</f>
        <v>5.5000000000000007E-2</v>
      </c>
      <c r="G52" s="2554"/>
      <c r="H52" s="2543"/>
      <c r="I52" s="1806"/>
      <c r="J52" s="2522">
        <v>1</v>
      </c>
      <c r="K52" s="3611" t="s">
        <v>1355</v>
      </c>
      <c r="L52" s="3611"/>
      <c r="M52" s="2524" t="b">
        <f>D48</f>
        <v>0</v>
      </c>
      <c r="N52" s="2522" t="str">
        <f>E48</f>
        <v>销售额×税（费）率</v>
      </c>
      <c r="O52" s="2525">
        <f>F48</f>
        <v>5.5000000000000007E-2</v>
      </c>
    </row>
    <row r="53" spans="1:35" ht="12" customHeight="1">
      <c r="A53" s="2334" t="s">
        <v>1356</v>
      </c>
      <c r="B53" s="3635" t="s">
        <v>2291</v>
      </c>
      <c r="C53" s="3636"/>
      <c r="D53" s="1087" t="e">
        <f ca="1">ROUND(D45*'数据-取费表'!B41/(1+'数据-取费表'!C42),0)</f>
        <v>#REF!</v>
      </c>
      <c r="E53" s="2333" t="s">
        <v>1354</v>
      </c>
      <c r="F53" s="2553">
        <f>'数据-取费表'!B41</f>
        <v>5.5000000000000007E-2</v>
      </c>
      <c r="G53" s="2554"/>
      <c r="H53" s="2543"/>
      <c r="I53" s="1806"/>
      <c r="J53" s="2522">
        <v>2</v>
      </c>
      <c r="K53" s="3611" t="s">
        <v>1357</v>
      </c>
      <c r="L53" s="3611"/>
      <c r="M53" s="2524" t="e">
        <f t="shared" ref="M53:O54" ca="1" si="0">D55</f>
        <v>#REF!</v>
      </c>
      <c r="N53" s="2522" t="str">
        <f t="shared" si="0"/>
        <v>销售额×税（费）率</v>
      </c>
      <c r="O53" s="2525" t="str">
        <f t="shared" si="0"/>
        <v>免征</v>
      </c>
    </row>
    <row r="54" spans="1:35" ht="12" customHeight="1">
      <c r="A54" s="2334" t="s">
        <v>1358</v>
      </c>
      <c r="B54" s="3635" t="s">
        <v>2292</v>
      </c>
      <c r="C54" s="3636"/>
      <c r="D54" s="1087" t="e">
        <f ca="1">C68</f>
        <v>#REF!</v>
      </c>
      <c r="E54" s="327" t="s">
        <v>1359</v>
      </c>
      <c r="F54" s="2553">
        <f>'数据-取费表'!B41</f>
        <v>5.5000000000000007E-2</v>
      </c>
      <c r="G54" s="2554"/>
      <c r="H54" s="2555"/>
      <c r="I54" s="1806"/>
      <c r="J54" s="2522">
        <v>3</v>
      </c>
      <c r="K54" s="3611" t="s">
        <v>1360</v>
      </c>
      <c r="L54" s="3611"/>
      <c r="M54" s="2524" t="e">
        <f t="shared" ca="1" si="0"/>
        <v>#REF!</v>
      </c>
      <c r="N54" s="2522" t="str">
        <f t="shared" si="0"/>
        <v>增值额×税（费）率</v>
      </c>
      <c r="O54" s="2526" t="str">
        <f t="shared" si="0"/>
        <v>免征</v>
      </c>
    </row>
    <row r="55" spans="1:35" ht="24" customHeight="1">
      <c r="A55" s="3671" t="s">
        <v>1361</v>
      </c>
      <c r="B55" s="3649"/>
      <c r="C55" s="3649"/>
      <c r="D55" s="2323" t="e">
        <f ca="1">IF(H55="个人住宅",0,ROUND(D45*I55,0))</f>
        <v>#REF!</v>
      </c>
      <c r="E55" s="2333" t="s">
        <v>1362</v>
      </c>
      <c r="F55" s="2553" t="str">
        <f>IF(H55="正常",I55,"免征")</f>
        <v>免征</v>
      </c>
      <c r="G55" s="2554"/>
      <c r="H55" s="2549"/>
      <c r="I55" s="165">
        <f>'数据-取费表'!B49</f>
        <v>5.0000000000000001E-4</v>
      </c>
      <c r="J55" s="2522">
        <f>IF(H59="非个人房产","",4)</f>
        <v>4</v>
      </c>
      <c r="K55" s="3611" t="str">
        <f>IF(H59="非个人房产","——","个人所得税")</f>
        <v>个人所得税</v>
      </c>
      <c r="L55" s="3611"/>
      <c r="M55" s="2527" t="e">
        <f ca="1">D59</f>
        <v>#REF!</v>
      </c>
      <c r="N55" s="2039" t="str">
        <f>E59</f>
        <v>差额计税</v>
      </c>
      <c r="O55" s="2528">
        <f>F59</f>
        <v>0.01</v>
      </c>
    </row>
    <row r="56" spans="1:35" ht="24.75">
      <c r="A56" s="3671" t="s">
        <v>1363</v>
      </c>
      <c r="B56" s="3649"/>
      <c r="C56" s="3649"/>
      <c r="D56" s="2323" t="e">
        <f ca="1">IF(H56="个人住宅",D57,D58)</f>
        <v>#REF!</v>
      </c>
      <c r="E56" s="2333" t="s">
        <v>1364</v>
      </c>
      <c r="F56" s="2553" t="str">
        <f>IF(H56="正常",F58,"免征")</f>
        <v>免征</v>
      </c>
      <c r="G56" s="2556" t="s">
        <v>1365</v>
      </c>
      <c r="H56" s="2557"/>
      <c r="I56" s="1807"/>
      <c r="J56" s="2522" t="str">
        <f>IF(项目基本情况!K6="上海银行",IF(J55="",4,J55+1),"")</f>
        <v/>
      </c>
      <c r="K56" s="3592" t="str">
        <f>IF(项目基本情况!K6="上海银行","其他处置费用","")</f>
        <v/>
      </c>
      <c r="L56" s="3593"/>
      <c r="M56" s="2524" t="str">
        <f>IF(项目基本情况!K6="上海银行",M69,"")</f>
        <v/>
      </c>
      <c r="N56" s="3592" t="str">
        <f>IF(项目基本情况!K6="上海银行","包含处置中涉及的律师、诉讼、拍卖、评估等费用","")</f>
        <v/>
      </c>
      <c r="O56" s="3595"/>
    </row>
    <row r="57" spans="1:35" ht="12.75">
      <c r="A57" s="2334" t="s">
        <v>1341</v>
      </c>
      <c r="B57" s="3635" t="s">
        <v>1366</v>
      </c>
      <c r="C57" s="3636"/>
      <c r="D57" s="1589">
        <v>0</v>
      </c>
      <c r="E57" s="324" t="s">
        <v>1343</v>
      </c>
      <c r="F57" s="302"/>
      <c r="G57" s="2554"/>
      <c r="H57" s="2558"/>
      <c r="I57" s="1807"/>
      <c r="J57" s="3611">
        <f>IF(AND(J55="",J56=""),4,IF(项目基本情况!K6="上海银行",结果表!J56+1,结果表!J55+1))</f>
        <v>5</v>
      </c>
      <c r="K57" s="3611" t="s">
        <v>1367</v>
      </c>
      <c r="L57" s="2529" t="s">
        <v>1368</v>
      </c>
      <c r="M57" s="2530"/>
      <c r="N57" s="2531">
        <f ca="1">SUMIF(M52:M56,"&lt;9e307")</f>
        <v>0</v>
      </c>
      <c r="O57" s="2532"/>
      <c r="P57" s="2689" t="e">
        <f ca="1">N57/M49</f>
        <v>#VALUE!</v>
      </c>
    </row>
    <row r="58" spans="1:35" ht="24.75">
      <c r="A58" s="2334" t="s">
        <v>1352</v>
      </c>
      <c r="B58" s="3635" t="s">
        <v>1369</v>
      </c>
      <c r="C58" s="3634"/>
      <c r="D58" s="2323" t="e">
        <f ca="1">IF(H58="转让取得",C81,C97)</f>
        <v>#REF!</v>
      </c>
      <c r="E58" s="2333" t="s">
        <v>1364</v>
      </c>
      <c r="F58" s="302" t="s">
        <v>28</v>
      </c>
      <c r="G58" s="2554"/>
      <c r="H58" s="2557"/>
      <c r="I58" s="1807"/>
      <c r="J58" s="3611"/>
      <c r="K58" s="3611"/>
      <c r="L58" s="2529" t="s">
        <v>1370</v>
      </c>
      <c r="M58" s="2533"/>
      <c r="N58" s="2534" t="str">
        <f ca="1">NUMBERSTRING(INT(N57*10000),2)&amp;"元整"</f>
        <v>零元整</v>
      </c>
      <c r="O58" s="2535"/>
    </row>
    <row r="59" spans="1:35" ht="24.75" thickBot="1">
      <c r="A59" s="3615" t="s">
        <v>1371</v>
      </c>
      <c r="B59" s="3616"/>
      <c r="C59" s="3616"/>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3">
        <f>J57+1</f>
        <v>6</v>
      </c>
      <c r="K59" s="3611" t="s">
        <v>1372</v>
      </c>
      <c r="L59" s="2522" t="s">
        <v>1368</v>
      </c>
      <c r="M59" s="2536"/>
      <c r="N59" s="2537" t="e">
        <f ca="1">M49-N57</f>
        <v>#VALUE!</v>
      </c>
      <c r="O59" s="2538"/>
    </row>
    <row r="60" spans="1:35" ht="12" customHeight="1">
      <c r="A60" s="1808"/>
      <c r="B60" s="1746"/>
      <c r="C60" s="1746"/>
      <c r="D60" s="1746"/>
      <c r="E60" s="1577"/>
      <c r="F60" s="1807"/>
      <c r="G60" s="1807"/>
      <c r="H60" s="1809"/>
      <c r="I60" s="129"/>
      <c r="J60" s="3614"/>
      <c r="K60" s="3611"/>
      <c r="L60" s="2529" t="s">
        <v>1370</v>
      </c>
      <c r="M60" s="2533"/>
      <c r="N60" s="2534" t="e">
        <f ca="1">NUMBERSTRING(INT(N59*10000),2)&amp;"元整"</f>
        <v>#VALUE!</v>
      </c>
      <c r="O60" s="2535"/>
    </row>
    <row r="61" spans="1:35" ht="13.5" thickBot="1">
      <c r="A61" s="3670" t="s">
        <v>1373</v>
      </c>
      <c r="B61" s="3670"/>
      <c r="C61" s="3670"/>
      <c r="D61" s="3670"/>
      <c r="E61" s="3670"/>
      <c r="F61" s="1807"/>
      <c r="G61" s="1807"/>
      <c r="H61" s="1809"/>
      <c r="I61" s="129"/>
      <c r="J61" s="2522">
        <f>J59+1</f>
        <v>7</v>
      </c>
      <c r="K61" s="3611" t="s">
        <v>1374</v>
      </c>
      <c r="L61" s="3611"/>
      <c r="M61" s="2539"/>
      <c r="N61" s="2540" t="e">
        <f ca="1">ROUND(N59*10000/'数据-汇总表'!E3,0)</f>
        <v>#VALUE!</v>
      </c>
      <c r="O61" s="2541"/>
    </row>
    <row r="62" spans="1:35" ht="12.75">
      <c r="A62" s="3630" t="s">
        <v>1375</v>
      </c>
      <c r="B62" s="3631"/>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94"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59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94"/>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94"/>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9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594"/>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94"/>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8" t="s">
        <v>1394</v>
      </c>
      <c r="B70" s="3639"/>
      <c r="C70" s="3639"/>
      <c r="D70" s="3639"/>
      <c r="E70" s="3639"/>
      <c r="F70" s="3639"/>
      <c r="G70" s="3639"/>
      <c r="H70" s="363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0" t="s">
        <v>1375</v>
      </c>
      <c r="B71" s="363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35" t="s">
        <v>1402</v>
      </c>
      <c r="F76" s="3634"/>
      <c r="G76" s="3634"/>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627" t="s">
        <v>1406</v>
      </c>
      <c r="F78" s="3628"/>
      <c r="G78" s="3628"/>
      <c r="H78" s="362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8" t="s">
        <v>1410</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0" t="s">
        <v>1375</v>
      </c>
      <c r="B84" s="363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6" t="s">
        <v>2129</v>
      </c>
      <c r="H90" s="359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7" t="s">
        <v>1419</v>
      </c>
      <c r="F91" s="3628"/>
      <c r="G91" s="362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7" t="s">
        <v>1422</v>
      </c>
      <c r="F92" s="3628"/>
      <c r="G92" s="3628"/>
      <c r="H92" s="362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627" t="s">
        <v>1406</v>
      </c>
      <c r="F93" s="3628"/>
      <c r="G93" s="3628"/>
      <c r="H93" s="362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2" t="s">
        <v>1426</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7" t="s">
        <v>1428</v>
      </c>
      <c r="B100" s="3578"/>
      <c r="C100" s="3578"/>
      <c r="D100" s="3612"/>
      <c r="E100" s="3578" t="s">
        <v>1429</v>
      </c>
      <c r="F100" s="3578"/>
      <c r="G100" s="3578"/>
      <c r="H100" s="3612"/>
      <c r="I100" s="129"/>
    </row>
    <row r="101" spans="1:35" ht="18.75" customHeight="1">
      <c r="A101" s="3620" t="s">
        <v>1430</v>
      </c>
      <c r="B101" s="3621"/>
      <c r="C101" s="2584" t="str">
        <f>C4</f>
        <v>比较法-住宅</v>
      </c>
      <c r="D101" s="2585" t="str">
        <f>D4</f>
        <v>收益法</v>
      </c>
      <c r="E101" s="3590" t="s">
        <v>1431</v>
      </c>
      <c r="F101" s="3591"/>
      <c r="G101" s="1826" t="s">
        <v>1432</v>
      </c>
      <c r="H101" s="2594" t="e">
        <f ca="1">H118</f>
        <v>#REF!</v>
      </c>
      <c r="I101" s="129"/>
    </row>
    <row r="102" spans="1:35" ht="18.75" customHeight="1">
      <c r="A102" s="3622" t="s">
        <v>1433</v>
      </c>
      <c r="B102" s="2583" t="s">
        <v>1432</v>
      </c>
      <c r="C102" s="2584">
        <f ca="1">IF(D32="楼面单价",ROUND(C19,0),C19)</f>
        <v>0</v>
      </c>
      <c r="D102" s="2585">
        <f ca="1">IF(D32="楼面单价",ROUND(D19,0),D19)</f>
        <v>1259</v>
      </c>
      <c r="E102" s="3590"/>
      <c r="F102" s="3591"/>
      <c r="G102" s="1826" t="s">
        <v>1434</v>
      </c>
      <c r="H102" s="2554" t="e">
        <f ca="1">I118</f>
        <v>#REF!</v>
      </c>
      <c r="I102" s="129"/>
    </row>
    <row r="103" spans="1:35" ht="42.75" customHeight="1">
      <c r="A103" s="3622"/>
      <c r="B103" s="2583" t="s">
        <v>1434</v>
      </c>
      <c r="C103" s="2586">
        <f ca="1">C20</f>
        <v>41592</v>
      </c>
      <c r="D103" s="2587">
        <f ca="1">D20</f>
        <v>25736</v>
      </c>
      <c r="E103" s="3583" t="s">
        <v>1435</v>
      </c>
      <c r="F103" s="3584"/>
      <c r="G103" s="1827" t="s">
        <v>1436</v>
      </c>
      <c r="H103" s="2594">
        <f>IF(D36="正常操作",H104+H105+H106,H105+H106)</f>
        <v>0</v>
      </c>
      <c r="I103" s="129"/>
    </row>
    <row r="104" spans="1:35" ht="18.75" customHeight="1">
      <c r="A104" s="3622"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32"/>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3" t="str">
        <f>IF(项目基本情况!E8="已注销","——","3.房地产抵押价值")</f>
        <v>3.房地产抵押价值</v>
      </c>
      <c r="F107" s="3591"/>
      <c r="G107" s="1826" t="s">
        <v>1432</v>
      </c>
      <c r="H107" s="2594" t="e">
        <f ca="1">IF(E107="——","——",H101-H103)</f>
        <v>#REF!</v>
      </c>
      <c r="I107" s="129"/>
    </row>
    <row r="108" spans="1:35" ht="18.75" customHeight="1">
      <c r="A108" s="129"/>
      <c r="B108" s="129"/>
      <c r="C108" s="129"/>
      <c r="D108" s="129"/>
      <c r="E108" s="3623"/>
      <c r="F108" s="3591"/>
      <c r="G108" s="1826" t="s">
        <v>1434</v>
      </c>
      <c r="H108" s="2554">
        <f ca="1">IF(H107=H101,H102,ROUND(H107*10000/'数据-汇总表'!E3,0))</f>
        <v>0</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6" t="s">
        <v>1432</v>
      </c>
      <c r="H109" s="2597" t="str">
        <f>IF(E109="——","——",H101-H105-H106)</f>
        <v>——</v>
      </c>
      <c r="I109" s="129"/>
    </row>
    <row r="110" spans="1:35" ht="18.75" customHeight="1">
      <c r="A110" s="129"/>
      <c r="B110" s="129"/>
      <c r="C110" s="129"/>
      <c r="D110" s="129"/>
      <c r="E110" s="3623"/>
      <c r="F110" s="3591"/>
      <c r="G110" s="1826" t="s">
        <v>1434</v>
      </c>
      <c r="H110" s="2554"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610"/>
      <c r="G111" s="1826" t="s">
        <v>1432</v>
      </c>
      <c r="H111" s="2594" t="str">
        <f>IF(E111="——","——",N59)</f>
        <v>——</v>
      </c>
      <c r="I111" s="129"/>
    </row>
    <row r="112" spans="1:35" ht="18.75" customHeight="1" thickBot="1">
      <c r="A112" s="129"/>
      <c r="B112" s="129"/>
      <c r="C112" s="129"/>
      <c r="D112" s="129"/>
      <c r="E112" s="3625"/>
      <c r="F112" s="3626"/>
      <c r="G112" s="1829" t="s">
        <v>1434</v>
      </c>
      <c r="H112" s="2598" t="str">
        <f>IF(E111="——","——",N61)</f>
        <v>——</v>
      </c>
      <c r="I112" s="129"/>
    </row>
    <row r="113" spans="1:27" ht="18.75" customHeight="1">
      <c r="A113" s="129"/>
      <c r="B113" s="129"/>
      <c r="C113" s="129"/>
      <c r="D113" s="129"/>
      <c r="E113" s="3633" t="s">
        <v>1440</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1" t="s">
        <v>1442</v>
      </c>
      <c r="B115" s="3642"/>
      <c r="C115" s="3642"/>
      <c r="D115" s="3642"/>
      <c r="E115" s="3642"/>
      <c r="F115" s="3642"/>
      <c r="G115" s="3642"/>
      <c r="H115" s="3642"/>
      <c r="I115" s="3643"/>
    </row>
    <row r="116" spans="1:27" ht="27" customHeight="1">
      <c r="A116" s="3598" t="s">
        <v>1443</v>
      </c>
      <c r="B116" s="3602" t="s">
        <v>1444</v>
      </c>
      <c r="C116" s="3602" t="s">
        <v>1445</v>
      </c>
      <c r="D116" s="3608" t="s">
        <v>1446</v>
      </c>
      <c r="E116" s="3609"/>
      <c r="F116" s="3640" t="s">
        <v>1447</v>
      </c>
      <c r="G116" s="3640"/>
      <c r="H116" s="3598" t="s">
        <v>1448</v>
      </c>
      <c r="I116" s="3598"/>
    </row>
    <row r="117" spans="1:27" ht="18.75" customHeight="1">
      <c r="A117" s="3598"/>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489.2</v>
      </c>
      <c r="C118" s="2328">
        <f>M19</f>
        <v>1397.71</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98" t="s">
        <v>1452</v>
      </c>
      <c r="B119" s="3598"/>
      <c r="C119" s="3598"/>
      <c r="D119" s="3604" t="e">
        <f ca="1">NUMBERSTRING(INT(D118*10000),2)&amp;"元整"</f>
        <v>#REF!</v>
      </c>
      <c r="E119" s="3605"/>
      <c r="F119" s="3604" t="e">
        <f ca="1">NUMBERSTRING(INT(F118*10000),2)&amp;"元整"</f>
        <v>#REF!</v>
      </c>
      <c r="G119" s="3605"/>
      <c r="H119" s="3604" t="e">
        <f ca="1">NUMBERSTRING(INT(H118*10000),2)&amp;"元整"</f>
        <v>#REF!</v>
      </c>
      <c r="I119" s="3605"/>
    </row>
    <row r="120" spans="1:27" ht="18.75" customHeight="1">
      <c r="A120" s="3599" t="str">
        <f>IF(项目基本情况!B9="房地产市场价值","",MID(E103,3,LEN(E103)-2))</f>
        <v/>
      </c>
      <c r="B120" s="3600"/>
      <c r="C120" s="3601"/>
      <c r="D120" s="3599">
        <f>H103</f>
        <v>0</v>
      </c>
      <c r="E120" s="3600"/>
      <c r="F120" s="3600"/>
      <c r="G120" s="3600"/>
      <c r="H120" s="3600"/>
      <c r="I120" s="360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4" t="s">
        <v>1452</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
      </c>
      <c r="B122" s="3610"/>
      <c r="C122" s="3610"/>
      <c r="D122" s="3599" t="e">
        <f ca="1">H107</f>
        <v>#REF!</v>
      </c>
      <c r="E122" s="3600"/>
      <c r="F122" s="3600"/>
      <c r="G122" s="3600"/>
      <c r="H122" s="3600"/>
      <c r="I122" s="3601"/>
      <c r="AA122" s="725"/>
    </row>
    <row r="123" spans="1:27" ht="18.75" customHeight="1">
      <c r="A123" s="3598" t="s">
        <v>1452</v>
      </c>
      <c r="B123" s="3598"/>
      <c r="C123" s="3598"/>
      <c r="D123" s="3604" t="e">
        <f ca="1">NUMBERSTRING(INT(D122*10000),2)&amp;"元整"</f>
        <v>#REF!</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1452</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
      </c>
      <c r="B126" s="3610"/>
      <c r="C126" s="3610"/>
      <c r="D126" s="3599" t="str">
        <f>H111</f>
        <v>——</v>
      </c>
      <c r="E126" s="3600"/>
      <c r="F126" s="3600"/>
      <c r="G126" s="3600"/>
      <c r="H126" s="3600"/>
      <c r="I126" s="3601"/>
      <c r="AA126" s="725"/>
    </row>
    <row r="127" spans="1:27" ht="18.75" customHeight="1">
      <c r="A127" s="3598" t="s">
        <v>1452</v>
      </c>
      <c r="B127" s="3598"/>
      <c r="C127" s="3598"/>
      <c r="D127" s="3604" t="e">
        <f>NUMBERSTRING(INT(D126*10000),2)&amp;"元整"</f>
        <v>#VALUE!</v>
      </c>
      <c r="E127" s="3606"/>
      <c r="F127" s="3606"/>
      <c r="G127" s="3606"/>
      <c r="H127" s="3606"/>
      <c r="I127" s="3605"/>
      <c r="AA127" s="725"/>
    </row>
    <row r="128" spans="1:27" ht="21.75" customHeight="1">
      <c r="A128" s="3607" t="s">
        <v>1453</v>
      </c>
      <c r="B128" s="3607"/>
      <c r="C128" s="3607"/>
      <c r="D128" s="3607"/>
      <c r="E128" s="3607"/>
      <c r="F128" s="3607"/>
      <c r="G128" s="3607"/>
      <c r="H128" s="3607"/>
      <c r="I128" s="360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4" t="str">
        <f>项目基本情况!B1</f>
        <v>北京市房地产市场价值预评估</v>
      </c>
      <c r="C37" s="3494"/>
      <c r="D37" s="3494"/>
      <c r="E37" s="3494"/>
      <c r="F37" s="3494"/>
      <c r="G37" s="3494"/>
      <c r="H37" s="3494"/>
      <c r="I37" s="349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E10" sqref="E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3445</v>
      </c>
      <c r="D1" s="1361" t="s">
        <v>43</v>
      </c>
      <c r="E1" s="1362" t="s">
        <v>678</v>
      </c>
      <c r="F1" s="1062">
        <f ca="1">J53</f>
        <v>50</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1259</v>
      </c>
      <c r="C2" s="1386" t="s">
        <v>805</v>
      </c>
      <c r="D2" s="1386"/>
      <c r="E2" s="1387"/>
      <c r="F2" s="1388"/>
      <c r="G2" s="2705"/>
      <c r="H2" s="2694"/>
      <c r="I2" s="2694"/>
      <c r="J2" s="2694"/>
      <c r="K2" s="2695"/>
      <c r="L2" s="2694"/>
      <c r="M2" s="2694"/>
    </row>
    <row r="3" spans="1:37" ht="18" customHeight="1" thickBot="1">
      <c r="A3" s="1389" t="s">
        <v>806</v>
      </c>
      <c r="B3" s="1390">
        <f ca="1">IF(ISERROR(B2*10000/F43),0,ROUND(B2*10000/F43,0))</f>
        <v>25736</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46</v>
      </c>
      <c r="D5" s="1363" t="s">
        <v>693</v>
      </c>
      <c r="E5" s="1071"/>
      <c r="F5" s="1072"/>
      <c r="G5" s="1383"/>
      <c r="H5" s="299">
        <v>1</v>
      </c>
      <c r="I5" s="300" t="s">
        <v>692</v>
      </c>
      <c r="J5" s="1070">
        <f ca="1">J6+J10+J12</f>
        <v>0</v>
      </c>
      <c r="K5" s="1363" t="s">
        <v>693</v>
      </c>
      <c r="L5" s="1071"/>
      <c r="M5" s="1072"/>
    </row>
    <row r="6" spans="1:37" ht="18" customHeight="1">
      <c r="A6" s="1069" t="s">
        <v>398</v>
      </c>
      <c r="B6" s="3679" t="s">
        <v>694</v>
      </c>
      <c r="C6" s="1074">
        <f ca="1">ROUND(F6*F8*F7*(1-F9)/10000,0)</f>
        <v>46</v>
      </c>
      <c r="D6" s="155" t="s">
        <v>2109</v>
      </c>
      <c r="E6" s="302" t="s">
        <v>696</v>
      </c>
      <c r="F6" s="303">
        <f ca="1">INDIRECT("'数据-取费表'!u"&amp;$G$1)</f>
        <v>40000</v>
      </c>
      <c r="G6" s="1383"/>
      <c r="H6" s="1069" t="s">
        <v>398</v>
      </c>
      <c r="I6" s="3679" t="s">
        <v>694</v>
      </c>
      <c r="J6" s="301">
        <f ca="1">ROUND(M6*M8*M7*(1-M9)/10000,0)</f>
        <v>0</v>
      </c>
      <c r="K6" s="155" t="s">
        <v>2108</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1</v>
      </c>
      <c r="G7" s="1383"/>
      <c r="H7" s="304"/>
      <c r="I7" s="3680"/>
      <c r="J7" s="306"/>
      <c r="K7" s="307"/>
      <c r="L7" s="302" t="s">
        <v>697</v>
      </c>
      <c r="M7" s="303">
        <f ca="1">F7</f>
        <v>1</v>
      </c>
    </row>
    <row r="8" spans="1:37" ht="18" customHeight="1">
      <c r="A8" s="304"/>
      <c r="B8" s="3680"/>
      <c r="C8" s="306"/>
      <c r="D8" s="307"/>
      <c r="E8" s="302" t="s">
        <v>698</v>
      </c>
      <c r="F8" s="303">
        <f ca="1">INDIRECT("'数据-取费表'!ai"&amp;$G$1)</f>
        <v>12</v>
      </c>
      <c r="G8" s="1383"/>
      <c r="H8" s="304"/>
      <c r="I8" s="3680"/>
      <c r="J8" s="306"/>
      <c r="K8" s="307"/>
      <c r="L8" s="302" t="s">
        <v>698</v>
      </c>
      <c r="M8" s="303">
        <f ca="1">INDIRECT("'数据-取费表'!ai"&amp;$G$1)</f>
        <v>12</v>
      </c>
    </row>
    <row r="9" spans="1:37" ht="18" customHeight="1">
      <c r="A9" s="304"/>
      <c r="B9" s="3681"/>
      <c r="C9" s="306"/>
      <c r="D9" s="307"/>
      <c r="E9" s="302" t="s">
        <v>699</v>
      </c>
      <c r="F9" s="312">
        <f ca="1">INDIRECT("'数据-取费表'!w"&amp;$G$1)</f>
        <v>0.05</v>
      </c>
      <c r="G9" s="1383"/>
      <c r="H9" s="304"/>
      <c r="I9" s="368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3399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223</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196</v>
      </c>
      <c r="D14" s="1344" t="s">
        <v>708</v>
      </c>
      <c r="E14" s="1341"/>
      <c r="F14" s="319"/>
      <c r="G14" s="1383"/>
      <c r="H14" s="982" t="s">
        <v>398</v>
      </c>
      <c r="I14" s="302" t="s">
        <v>709</v>
      </c>
      <c r="J14" s="21">
        <f ca="1">C29</f>
        <v>318</v>
      </c>
      <c r="K14" s="12"/>
      <c r="L14" s="807"/>
      <c r="M14" s="808"/>
    </row>
    <row r="15" spans="1:37" s="1396" customFormat="1" ht="18" customHeight="1" thickBot="1">
      <c r="A15" s="982" t="s">
        <v>399</v>
      </c>
      <c r="B15" s="302" t="s">
        <v>710</v>
      </c>
      <c r="C15" s="21">
        <f ca="1">ROUND(C14*F15,0)</f>
        <v>6</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10</v>
      </c>
      <c r="D16" s="302" t="s">
        <v>711</v>
      </c>
      <c r="E16" s="302" t="s">
        <v>712</v>
      </c>
      <c r="F16" s="322">
        <f ca="1">IF(INDIRECT("'数据-取费表'!c"&amp;$G$1)="住宅",'数据-取费表'!B34,0)</f>
        <v>0.05</v>
      </c>
      <c r="G16" s="1383"/>
      <c r="H16" s="1079" t="s">
        <v>393</v>
      </c>
      <c r="I16" s="1080" t="s">
        <v>714</v>
      </c>
      <c r="J16" s="310">
        <f ca="1">ROUND(J17+J22+J23+J24,0)</f>
        <v>3</v>
      </c>
      <c r="K16" s="1087" t="s">
        <v>715</v>
      </c>
      <c r="L16" s="1088"/>
      <c r="M16" s="1072"/>
    </row>
    <row r="17" spans="1:37" s="1396" customFormat="1" ht="18" customHeight="1">
      <c r="A17" s="982" t="s">
        <v>681</v>
      </c>
      <c r="B17" s="302" t="s">
        <v>716</v>
      </c>
      <c r="C17" s="21">
        <f ca="1">ROUND(F17*(F43+INDIRECT("'数据-取费表'!S"&amp;$G$1))/10000,0)</f>
        <v>10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225</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5</v>
      </c>
      <c r="D20" s="323" t="s">
        <v>729</v>
      </c>
      <c r="E20" s="302" t="s">
        <v>712</v>
      </c>
      <c r="F20" s="322">
        <f>'数据-取费表'!B37</f>
        <v>0.02</v>
      </c>
      <c r="G20" s="1395"/>
      <c r="H20" s="982" t="s">
        <v>680</v>
      </c>
      <c r="I20" s="155" t="s">
        <v>730</v>
      </c>
      <c r="J20" s="22">
        <f ca="1">ROUND(M20*M21/10000,2)</f>
        <v>0.21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1397.71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3.18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v>
      </c>
      <c r="K25" s="1095" t="s">
        <v>753</v>
      </c>
      <c r="L25" s="1096"/>
      <c r="M25" s="1097"/>
    </row>
    <row r="26" spans="1:37">
      <c r="A26" s="982" t="s">
        <v>397</v>
      </c>
      <c r="B26" s="302" t="s">
        <v>754</v>
      </c>
      <c r="C26" s="21">
        <f ca="1">ROUND((C19+C20)*F26,0)</f>
        <v>58</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0.71999999999999886</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318</v>
      </c>
      <c r="D29" s="1092"/>
      <c r="E29" s="1090"/>
      <c r="F29" s="1093"/>
      <c r="G29" s="1395"/>
      <c r="H29" s="334" t="s">
        <v>396</v>
      </c>
      <c r="I29" s="335" t="s">
        <v>768</v>
      </c>
      <c r="J29" s="336">
        <f ca="1">ROUND(J26/(1+F40)^F41,0)</f>
        <v>0</v>
      </c>
      <c r="K29" s="337" t="s">
        <v>769</v>
      </c>
      <c r="L29" s="338"/>
      <c r="M29" s="339">
        <f ca="1">INDIRECT("'数据-取费表'!k"&amp;$G$1)</f>
        <v>489.2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1.1000000000000001</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1397.71</v>
      </c>
      <c r="G35" s="1383"/>
      <c r="H35" s="2696"/>
      <c r="I35" s="1397"/>
      <c r="J35" s="1398"/>
      <c r="K35" s="2700"/>
      <c r="L35" s="2699"/>
      <c r="M35" s="2699"/>
    </row>
    <row r="36" spans="1:18" ht="18" customHeight="1">
      <c r="A36" s="1102" t="s">
        <v>402</v>
      </c>
      <c r="B36" s="302" t="s">
        <v>738</v>
      </c>
      <c r="C36" s="21">
        <f ca="1">ROUND(C29*F36,2)</f>
        <v>3.18</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0.22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0.46</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41</v>
      </c>
      <c r="D39" s="1095" t="s">
        <v>773</v>
      </c>
      <c r="E39" s="1096"/>
      <c r="F39" s="1097"/>
      <c r="G39" s="1383"/>
      <c r="H39" s="2699"/>
      <c r="I39" s="1397"/>
      <c r="J39" s="1398"/>
      <c r="K39" s="2703"/>
      <c r="L39" s="2699"/>
      <c r="M39" s="2699"/>
    </row>
    <row r="40" spans="1:18" ht="18" customHeight="1">
      <c r="A40" s="299" t="s">
        <v>395</v>
      </c>
      <c r="B40" s="300" t="s">
        <v>774</v>
      </c>
      <c r="C40" s="301">
        <f ca="1">ROUND(C39*(1-((1+F42)/(1+F40))^F41)/(F40-F42),0)</f>
        <v>1259</v>
      </c>
      <c r="D40" s="324" t="s">
        <v>758</v>
      </c>
      <c r="E40" s="302" t="s">
        <v>759</v>
      </c>
      <c r="F40" s="312">
        <f ca="1">INDIRECT("'数据-取费表'!I"&amp;$G$1)</f>
        <v>4.4999999999999998E-2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49.28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25736</v>
      </c>
      <c r="D43" s="337" t="s">
        <v>777</v>
      </c>
      <c r="E43" s="338" t="s">
        <v>778</v>
      </c>
      <c r="F43" s="339">
        <f ca="1">INDIRECT("'数据-取费表'!k"&amp;$G$1)</f>
        <v>489.2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-1318</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3400</v>
      </c>
      <c r="K47" s="1415" t="s">
        <v>816</v>
      </c>
      <c r="L47" s="1416">
        <f ca="1">INDIRECT("'数据-取费表'!d"&amp;$G$1)</f>
        <v>70</v>
      </c>
      <c r="M47" s="1379" t="str">
        <f>IF(ISNUMBER(FIND("住宅",C1)),"住宅","非住宅")</f>
        <v>住宅</v>
      </c>
      <c r="O47" s="1417" t="s">
        <v>403</v>
      </c>
      <c r="P47" s="1418" t="s">
        <v>817</v>
      </c>
      <c r="Q47" s="1419">
        <f ca="1">C40+J29</f>
        <v>1259</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49.28</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2013</v>
      </c>
      <c r="K49" s="1422" t="s">
        <v>824</v>
      </c>
      <c r="L49" s="1426"/>
      <c r="O49" s="1427" t="s">
        <v>405</v>
      </c>
      <c r="P49" s="1418" t="s">
        <v>825</v>
      </c>
      <c r="Q49" s="1419">
        <f ca="1">C29</f>
        <v>318</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50</v>
      </c>
      <c r="K51" s="1433" t="s">
        <v>830</v>
      </c>
      <c r="L51" s="1434">
        <f ca="1">ROUND(-PV(INDIRECT("'数据-取费表'!h"&amp;$G$1),J51,(C39-C13*C76),0),0)</f>
        <v>569</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50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50</v>
      </c>
      <c r="K53" s="3677" t="s">
        <v>837</v>
      </c>
      <c r="L53" s="3678"/>
      <c r="O53" s="1417" t="s">
        <v>409</v>
      </c>
      <c r="P53" s="1418" t="s">
        <v>838</v>
      </c>
      <c r="Q53" s="1419">
        <f ca="1">Q47+Q48</f>
        <v>1259</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223</v>
      </c>
      <c r="D56" s="1446"/>
      <c r="E56" s="1447"/>
      <c r="F56" s="1439"/>
      <c r="I56" s="1448" t="s">
        <v>842</v>
      </c>
      <c r="J56" s="1449" t="s">
        <v>3402</v>
      </c>
      <c r="K56" s="1420" t="s">
        <v>843</v>
      </c>
      <c r="L56" s="1423" t="str">
        <f ca="1">IF(L48&lt;J51,"——",L48-J53)</f>
        <v>——</v>
      </c>
      <c r="O56" s="1417" t="s">
        <v>403</v>
      </c>
      <c r="P56" s="1418" t="s">
        <v>817</v>
      </c>
      <c r="Q56" s="1419">
        <f ca="1">C40+J29</f>
        <v>1259</v>
      </c>
      <c r="R56" s="1419" t="s">
        <v>818</v>
      </c>
    </row>
    <row r="57" spans="1:18" s="1383" customFormat="1" ht="24.75" thickBot="1">
      <c r="A57" s="1450"/>
      <c r="B57" s="950" t="s">
        <v>767</v>
      </c>
      <c r="C57" s="238">
        <f ca="1">C29</f>
        <v>318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1259</v>
      </c>
      <c r="R62" s="1419" t="s">
        <v>410</v>
      </c>
    </row>
    <row r="63" spans="1:18" s="1383" customFormat="1" ht="13.5" thickBot="1">
      <c r="A63" s="326"/>
      <c r="B63" s="956"/>
      <c r="C63" s="26"/>
      <c r="D63" s="966"/>
      <c r="E63" s="950" t="s">
        <v>788</v>
      </c>
      <c r="F63" s="303">
        <f t="shared" ca="1" si="0"/>
        <v>1397.71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3.18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0.22</v>
      </c>
      <c r="D65" s="964" t="s">
        <v>743</v>
      </c>
      <c r="E65" s="950" t="s">
        <v>744</v>
      </c>
      <c r="F65" s="330">
        <f t="shared" ca="1" si="0"/>
        <v>1E-3</v>
      </c>
      <c r="I65" s="1461" t="s">
        <v>867</v>
      </c>
      <c r="J65" s="1462">
        <v>40</v>
      </c>
      <c r="K65" s="1462">
        <v>30</v>
      </c>
      <c r="L65" s="1462">
        <v>50</v>
      </c>
      <c r="M65" s="1464">
        <v>0.02</v>
      </c>
      <c r="O65" s="1417" t="s">
        <v>403</v>
      </c>
      <c r="P65" s="1418" t="s">
        <v>868</v>
      </c>
      <c r="Q65" s="1419">
        <f ca="1">C40+J29</f>
        <v>1259</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569</v>
      </c>
      <c r="R67" s="1419" t="s">
        <v>870</v>
      </c>
    </row>
    <row r="68" spans="1:18" s="1383" customFormat="1" ht="16.5" thickBot="1">
      <c r="A68" s="947" t="s">
        <v>395</v>
      </c>
      <c r="B68" s="948" t="s">
        <v>774</v>
      </c>
      <c r="C68" s="301">
        <f ca="1">ROUND(C67*(1-((1+F70)/(1+F68))^F69)/(F68-F70),0)</f>
        <v>-59</v>
      </c>
      <c r="D68" s="965" t="s">
        <v>758</v>
      </c>
      <c r="E68" s="950" t="s">
        <v>759</v>
      </c>
      <c r="F68" s="312">
        <f ca="1">F40</f>
        <v>4.4999999999999998E-2</v>
      </c>
      <c r="O68" s="1427" t="s">
        <v>406</v>
      </c>
      <c r="P68" s="1466" t="s">
        <v>871</v>
      </c>
      <c r="Q68" s="1419">
        <f ca="1">ROUND(Q69-Q70*Q71,0)</f>
        <v>27</v>
      </c>
      <c r="R68" s="1419" t="s">
        <v>414</v>
      </c>
    </row>
    <row r="69" spans="1:18" s="1383" customFormat="1" ht="13.5" thickBot="1">
      <c r="A69" s="951"/>
      <c r="B69" s="952"/>
      <c r="C69" s="306"/>
      <c r="D69" s="970" t="s">
        <v>762</v>
      </c>
      <c r="E69" s="950" t="s">
        <v>763</v>
      </c>
      <c r="F69" s="333">
        <f ca="1">F41</f>
        <v>49.28</v>
      </c>
      <c r="O69" s="1427" t="s">
        <v>411</v>
      </c>
      <c r="P69" s="1466" t="s">
        <v>872</v>
      </c>
      <c r="Q69" s="1419">
        <f ca="1">C39</f>
        <v>41</v>
      </c>
      <c r="R69" s="1419" t="s">
        <v>818</v>
      </c>
    </row>
    <row r="70" spans="1:18" s="1383" customFormat="1" ht="13.5" thickBot="1">
      <c r="A70" s="954"/>
      <c r="B70" s="955"/>
      <c r="C70" s="310"/>
      <c r="D70" s="966"/>
      <c r="E70" s="950" t="s">
        <v>766</v>
      </c>
      <c r="F70" s="1054"/>
      <c r="O70" s="1427" t="s">
        <v>412</v>
      </c>
      <c r="P70" s="1466" t="s">
        <v>873</v>
      </c>
      <c r="Q70" s="1419">
        <f ca="1">C13</f>
        <v>223</v>
      </c>
      <c r="R70" s="1419" t="s">
        <v>818</v>
      </c>
    </row>
    <row r="71" spans="1:18" s="1383" customFormat="1" ht="13.5" thickBot="1">
      <c r="A71" s="971" t="s">
        <v>396</v>
      </c>
      <c r="B71" s="972" t="s">
        <v>776</v>
      </c>
      <c r="C71" s="336">
        <f ca="1">ROUND(C68*10000/F71,0)</f>
        <v>-1206</v>
      </c>
      <c r="D71" s="973" t="s">
        <v>777</v>
      </c>
      <c r="E71" s="974" t="s">
        <v>778</v>
      </c>
      <c r="F71" s="339">
        <f ca="1">F43</f>
        <v>489.2</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14</v>
      </c>
      <c r="D75" s="1383"/>
      <c r="E75" s="1383"/>
      <c r="F75" s="1383"/>
      <c r="K75" s="1401"/>
      <c r="L75" s="1383"/>
      <c r="O75" s="1417" t="s">
        <v>409</v>
      </c>
      <c r="P75" s="1418" t="s">
        <v>838</v>
      </c>
      <c r="Q75" s="1419">
        <f ca="1">Q65+Q66</f>
        <v>1259</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0.65900000000000003</v>
      </c>
    </row>
    <row r="80" spans="1:18">
      <c r="B80" s="340" t="s">
        <v>800</v>
      </c>
      <c r="C80" s="274">
        <f ca="1">ROUND(C75/C39,3)</f>
        <v>0.34100000000000003</v>
      </c>
    </row>
    <row r="81" spans="2:3">
      <c r="B81" s="270" t="s">
        <v>801</v>
      </c>
      <c r="C81" s="238"/>
    </row>
    <row r="82" spans="2:3">
      <c r="B82" s="273" t="s">
        <v>802</v>
      </c>
      <c r="C82" s="275">
        <f ca="1">1-C83</f>
        <v>0.82299999999999995</v>
      </c>
    </row>
    <row r="83" spans="2:3">
      <c r="B83" s="273" t="s">
        <v>803</v>
      </c>
      <c r="C83" s="274">
        <f ca="1">ROUND(C13/C40,3)</f>
        <v>0.17699999999999999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A1CB-01DD-4275-B208-211BE5314A43}">
  <dimension ref="L2:N7"/>
  <sheetViews>
    <sheetView workbookViewId="0">
      <selection activeCell="O16" sqref="O16"/>
    </sheetView>
  </sheetViews>
  <sheetFormatPr defaultRowHeight="13.5"/>
  <sheetData>
    <row r="2" spans="12:14">
      <c r="L2">
        <v>32000</v>
      </c>
      <c r="M2">
        <v>411</v>
      </c>
      <c r="N2">
        <f>L2/M2</f>
        <v>77.858880778588812</v>
      </c>
    </row>
    <row r="3" spans="12:14">
      <c r="L3">
        <v>46000</v>
      </c>
      <c r="M3">
        <v>440</v>
      </c>
      <c r="N3">
        <f t="shared" ref="N3:N4" si="0">L3/M3</f>
        <v>104.54545454545455</v>
      </c>
    </row>
    <row r="4" spans="12:14">
      <c r="L4">
        <v>40000</v>
      </c>
      <c r="M4">
        <v>420</v>
      </c>
      <c r="N4">
        <f t="shared" si="0"/>
        <v>95.238095238095241</v>
      </c>
    </row>
    <row r="5" spans="12:14">
      <c r="M5">
        <f>'数据-基础表'!I13</f>
        <v>489.2</v>
      </c>
      <c r="N5">
        <f>AVERAGE(N2:N4)</f>
        <v>92.547476854046195</v>
      </c>
    </row>
    <row r="6" spans="12:14">
      <c r="N6">
        <f>M5*N5</f>
        <v>45274.225676999398</v>
      </c>
    </row>
    <row r="7" spans="12:14">
      <c r="N7">
        <f>M5*N4</f>
        <v>46590.476190476191</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15" sqref="I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c r="F1" s="1878" t="s">
        <v>3437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t="s">
        <v>43</v>
      </c>
      <c r="D2" s="1115">
        <f ca="1">IF(E1="项目模式",SUMIF(INDIRECT("'"&amp;F2&amp;"'"&amp;"!A:A"),"承租人权益价值",INDIRECT("'"&amp;F2&amp;"'"&amp;"!c:c")),SUMIF(INDIRECT("'"&amp;F2&amp;"'"&amp;"!A:A"),"承租人权益价值（单套）",INDIRECT("'"&amp;F2&amp;"'"&amp;"!c:c")))</f>
        <v>0</v>
      </c>
      <c r="E2" s="1881" t="s">
        <v>1463</v>
      </c>
      <c r="F2" s="1882" t="s">
        <v>3438</v>
      </c>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t="e">
        <f>IF(C2="——",C49,ROUND(B2*10000/D3,0))</f>
        <v>#REF!</v>
      </c>
      <c r="C3" s="354" t="s">
        <v>1768</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688" t="s">
        <v>1771</v>
      </c>
      <c r="S4" s="3689"/>
      <c r="T4" s="3688" t="s">
        <v>1772</v>
      </c>
      <c r="U4" s="3689"/>
      <c r="V4" s="3685" t="s">
        <v>1773</v>
      </c>
      <c r="W4" s="3685"/>
      <c r="X4" s="1354"/>
      <c r="Y4" s="3688" t="s">
        <v>1775</v>
      </c>
      <c r="Z4" s="3689"/>
      <c r="AA4" s="3682" t="s">
        <v>1771</v>
      </c>
      <c r="AB4" s="3685" t="s">
        <v>1772</v>
      </c>
      <c r="AC4" s="3682" t="s">
        <v>1773</v>
      </c>
    </row>
    <row r="5" spans="1:29" ht="15">
      <c r="A5" s="358"/>
      <c r="B5" s="359"/>
      <c r="C5" s="3694" t="s">
        <v>3404</v>
      </c>
      <c r="D5" s="3695"/>
      <c r="E5" s="3692" t="e">
        <f>#REF!</f>
        <v>#REF!</v>
      </c>
      <c r="F5" s="3693"/>
      <c r="G5" s="3698" t="e">
        <f>#REF!</f>
        <v>#REF!</v>
      </c>
      <c r="H5" s="3695"/>
      <c r="I5" s="3698" t="e">
        <f>#REF!</f>
        <v>#REF!</v>
      </c>
      <c r="J5" s="3695"/>
      <c r="K5" s="559"/>
      <c r="L5" s="2714"/>
      <c r="M5" s="2715"/>
      <c r="N5" s="2715"/>
      <c r="O5" s="2715"/>
      <c r="P5" s="3708"/>
      <c r="Q5" s="3709"/>
      <c r="R5" s="3690"/>
      <c r="S5" s="3691"/>
      <c r="T5" s="3690"/>
      <c r="U5" s="3691"/>
      <c r="V5" s="3685"/>
      <c r="W5" s="3685"/>
      <c r="X5" s="1354"/>
      <c r="Y5" s="3690"/>
      <c r="Z5" s="3691"/>
      <c r="AA5" s="3683"/>
      <c r="AB5" s="3685"/>
      <c r="AC5" s="3683"/>
    </row>
    <row r="6" spans="1:29" ht="15.75" thickBot="1">
      <c r="A6" s="360"/>
      <c r="B6" s="361"/>
      <c r="C6" s="3696" t="s">
        <v>1677</v>
      </c>
      <c r="D6" s="3697"/>
      <c r="E6" s="3699" t="s">
        <v>1677</v>
      </c>
      <c r="F6" s="3700"/>
      <c r="G6" s="3696" t="s">
        <v>1677</v>
      </c>
      <c r="H6" s="3697"/>
      <c r="I6" s="3696" t="s">
        <v>1677</v>
      </c>
      <c r="J6" s="3697"/>
      <c r="K6" s="559" t="s">
        <v>1678</v>
      </c>
      <c r="L6" s="2714"/>
      <c r="M6" s="2715"/>
      <c r="N6" s="2715"/>
      <c r="O6" s="2715"/>
      <c r="P6" s="3710"/>
      <c r="Q6" s="3711"/>
      <c r="R6" s="3690"/>
      <c r="S6" s="3691"/>
      <c r="T6" s="3712"/>
      <c r="U6" s="3713"/>
      <c r="V6" s="3685"/>
      <c r="W6" s="3685"/>
      <c r="X6" s="1354"/>
      <c r="Y6" s="3712"/>
      <c r="Z6" s="3713"/>
      <c r="AA6" s="3684"/>
      <c r="AB6" s="3685"/>
      <c r="AC6" s="3684"/>
    </row>
    <row r="7" spans="1:29" s="108" customFormat="1" ht="15.75" thickBot="1">
      <c r="A7" s="362" t="s">
        <v>1679</v>
      </c>
      <c r="B7" s="363"/>
      <c r="C7" s="364">
        <f>'数据-取费表'!B2</f>
        <v>45183</v>
      </c>
      <c r="D7" s="365">
        <v>100</v>
      </c>
      <c r="E7" s="366" t="e">
        <f>#REF!</f>
        <v>#REF!</v>
      </c>
      <c r="F7" s="367">
        <f>SUMIF(58:58,YEAR(E7)&amp;"-"&amp;MONTH(E7),59:59)</f>
        <v>0</v>
      </c>
      <c r="G7" s="366" t="e">
        <f>#REF!</f>
        <v>#REF!</v>
      </c>
      <c r="H7" s="365">
        <f>SUMIF(58:58,YEAR(G7)&amp;"-"&amp;MONTH(G7),59:59)</f>
        <v>0</v>
      </c>
      <c r="I7" s="366" t="e">
        <f>#REF!</f>
        <v>#REF!</v>
      </c>
      <c r="J7" s="365">
        <f>SUMIF(58:58,YEAR(I7)&amp;"-"&amp;MONTH(I7),59:59)</f>
        <v>0</v>
      </c>
      <c r="K7" s="560"/>
      <c r="L7" s="2716"/>
      <c r="M7" s="2717"/>
      <c r="N7" s="2717"/>
      <c r="O7" s="2717"/>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3405</v>
      </c>
      <c r="D8" s="365">
        <v>100</v>
      </c>
      <c r="E8" s="368" t="s">
        <v>3405</v>
      </c>
      <c r="F8" s="367">
        <f>SUMIF(61:61,E8,62:62)-SUMIF(61:61,C8,62:62)+100</f>
        <v>100</v>
      </c>
      <c r="G8" s="368" t="s">
        <v>3405</v>
      </c>
      <c r="H8" s="365">
        <f>SUMIF(61:61,G8,62:62)-SUMIF(61:61,C8,62:62)+100</f>
        <v>100</v>
      </c>
      <c r="I8" s="368" t="s">
        <v>3405</v>
      </c>
      <c r="J8" s="365">
        <f>SUMIF(61:61,I8,62:62)-SUMIF(61:61,C8,62:62)+100</f>
        <v>100</v>
      </c>
      <c r="K8" s="560"/>
      <c r="L8" s="2716"/>
      <c r="M8" s="2717"/>
      <c r="N8" s="2717"/>
      <c r="O8" s="2717"/>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ht="15" thickBot="1">
      <c r="A9" s="369" t="s">
        <v>1684</v>
      </c>
      <c r="B9" s="63" t="s">
        <v>1685</v>
      </c>
      <c r="C9" s="3452" t="s">
        <v>3406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0"/>
      <c r="M11" s="2715"/>
      <c r="N11" s="2715"/>
      <c r="O11" s="2715"/>
      <c r="P11" s="3701"/>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15" t="s">
        <v>1691</v>
      </c>
      <c r="Q15" s="1351" t="str">
        <f t="shared" si="6"/>
        <v>商业繁华度</v>
      </c>
      <c r="R15" s="705" t="s">
        <v>14</v>
      </c>
      <c r="S15" s="706">
        <f t="shared" si="0"/>
        <v>100</v>
      </c>
      <c r="T15" s="705" t="s">
        <v>14</v>
      </c>
      <c r="U15" s="706">
        <f t="shared" si="1"/>
        <v>100</v>
      </c>
      <c r="V15" s="705" t="s">
        <v>14</v>
      </c>
      <c r="W15" s="706">
        <f t="shared" si="2"/>
        <v>100</v>
      </c>
      <c r="X15" s="1354"/>
      <c r="Y15" s="3717"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716"/>
      <c r="Q16" s="1351"/>
      <c r="R16" s="705"/>
      <c r="S16" s="706"/>
      <c r="T16" s="705"/>
      <c r="U16" s="706"/>
      <c r="V16" s="705"/>
      <c r="W16" s="706"/>
      <c r="X16" s="1354"/>
      <c r="Y16" s="371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6"/>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716"/>
      <c r="Q18" s="1351"/>
      <c r="R18" s="705"/>
      <c r="S18" s="706"/>
      <c r="T18" s="705"/>
      <c r="U18" s="706"/>
      <c r="V18" s="705"/>
      <c r="W18" s="706"/>
      <c r="X18" s="1354"/>
      <c r="Y18" s="371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6"/>
      <c r="Q19" s="1351" t="str">
        <f>B19</f>
        <v>公共配套设施</v>
      </c>
      <c r="R19" s="705" t="s">
        <v>14</v>
      </c>
      <c r="S19" s="706">
        <f>F19</f>
        <v>100</v>
      </c>
      <c r="T19" s="705" t="s">
        <v>14</v>
      </c>
      <c r="U19" s="706">
        <f>H19</f>
        <v>100</v>
      </c>
      <c r="V19" s="705" t="s">
        <v>14</v>
      </c>
      <c r="W19" s="706">
        <f>J19</f>
        <v>100</v>
      </c>
      <c r="X19" s="1354"/>
      <c r="Y19" s="3718"/>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716"/>
      <c r="Q20" s="1351"/>
      <c r="R20" s="705"/>
      <c r="S20" s="706"/>
      <c r="T20" s="705"/>
      <c r="U20" s="706"/>
      <c r="V20" s="705"/>
      <c r="W20" s="706"/>
      <c r="X20" s="1354"/>
      <c r="Y20" s="371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6"/>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1"/>
      <c r="C22" s="1900" t="s">
        <v>3444</v>
      </c>
      <c r="D22" s="399"/>
      <c r="E22" s="1900" t="s">
        <v>3444</v>
      </c>
      <c r="F22" s="400"/>
      <c r="G22" s="1900" t="s">
        <v>3444</v>
      </c>
      <c r="H22" s="399"/>
      <c r="I22" s="1900" t="s">
        <v>3444</v>
      </c>
      <c r="J22" s="399"/>
      <c r="K22" s="1130"/>
      <c r="L22" s="2721"/>
      <c r="M22" s="2715"/>
      <c r="N22" s="2715"/>
      <c r="O22" s="2715"/>
      <c r="P22" s="3716"/>
      <c r="Q22" s="1351"/>
      <c r="R22" s="705"/>
      <c r="S22" s="706"/>
      <c r="T22" s="705"/>
      <c r="U22" s="706"/>
      <c r="V22" s="705"/>
      <c r="W22" s="706"/>
      <c r="X22" s="1354"/>
      <c r="Y22" s="371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6"/>
      <c r="Q23" s="1351" t="str">
        <f>B23</f>
        <v>自然及人文环境</v>
      </c>
      <c r="R23" s="705" t="s">
        <v>14</v>
      </c>
      <c r="S23" s="706">
        <f>F23</f>
        <v>100</v>
      </c>
      <c r="T23" s="705" t="s">
        <v>14</v>
      </c>
      <c r="U23" s="706">
        <f>H23</f>
        <v>100</v>
      </c>
      <c r="V23" s="705" t="s">
        <v>14</v>
      </c>
      <c r="W23" s="706">
        <f>J23</f>
        <v>100</v>
      </c>
      <c r="X23" s="1354"/>
      <c r="Y23" s="3718"/>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16"/>
      <c r="Q24" s="1351"/>
      <c r="R24" s="705"/>
      <c r="S24" s="706"/>
      <c r="T24" s="705"/>
      <c r="U24" s="706"/>
      <c r="V24" s="705"/>
      <c r="W24" s="706"/>
      <c r="X24" s="1354"/>
      <c r="Y24" s="3718"/>
      <c r="Z24" s="1355"/>
      <c r="AA24" s="1352">
        <v>1</v>
      </c>
      <c r="AB24" s="1352">
        <v>1</v>
      </c>
      <c r="AC24" s="1352">
        <v>1</v>
      </c>
    </row>
    <row r="25" spans="1:29" ht="15">
      <c r="A25" s="379"/>
      <c r="B25" s="375" t="s">
        <v>1780</v>
      </c>
      <c r="C25" s="565" t="s">
        <v>3411</v>
      </c>
      <c r="D25" s="386">
        <v>100</v>
      </c>
      <c r="E25" s="565" t="s">
        <v>3415</v>
      </c>
      <c r="F25" s="412">
        <f>SUMIF(86:86,E25,87:87)-SUMIF(86:86,C25,87:87)+100</f>
        <v>98</v>
      </c>
      <c r="G25" s="565" t="s">
        <v>3413</v>
      </c>
      <c r="H25" s="386">
        <f>SUMIF(86:86,G25,87:87)-SUMIF(86:86,C25,87:87)+100</f>
        <v>99</v>
      </c>
      <c r="I25" s="565" t="s">
        <v>3415</v>
      </c>
      <c r="J25" s="386">
        <f>SUMIF(86:86,I25,87:87)-SUMIF(86:86,C25,87:87)+100</f>
        <v>98</v>
      </c>
      <c r="K25" s="561">
        <v>1</v>
      </c>
      <c r="L25" s="2721"/>
      <c r="M25" s="2715"/>
      <c r="N25" s="2715"/>
      <c r="O25" s="2715"/>
      <c r="P25" s="3716"/>
      <c r="Q25" s="1351" t="str">
        <f t="shared" ref="Q25:Q46" si="11">B25</f>
        <v>临街状况</v>
      </c>
      <c r="R25" s="705" t="s">
        <v>14</v>
      </c>
      <c r="S25" s="706">
        <f>F25</f>
        <v>98</v>
      </c>
      <c r="T25" s="705" t="s">
        <v>14</v>
      </c>
      <c r="U25" s="706">
        <f>H25</f>
        <v>99</v>
      </c>
      <c r="V25" s="705" t="s">
        <v>14</v>
      </c>
      <c r="W25" s="706">
        <f>J25</f>
        <v>98</v>
      </c>
      <c r="X25" s="1354"/>
      <c r="Y25" s="3718"/>
      <c r="Z25" s="1355" t="str">
        <f>Q25</f>
        <v>临街状况</v>
      </c>
      <c r="AA25" s="1352">
        <f t="shared" si="3"/>
        <v>1.0204081632653061</v>
      </c>
      <c r="AB25" s="1352">
        <f t="shared" si="4"/>
        <v>1.0101010101010102</v>
      </c>
      <c r="AC25" s="1352">
        <f t="shared" si="5"/>
        <v>1.0204081632653061</v>
      </c>
    </row>
    <row r="26" spans="1:29" ht="15">
      <c r="A26" s="379"/>
      <c r="B26" s="1133" t="s">
        <v>1781</v>
      </c>
      <c r="C26" s="3456" t="s">
        <v>3418</v>
      </c>
      <c r="D26" s="386">
        <v>100</v>
      </c>
      <c r="E26" s="3456" t="s">
        <v>3419</v>
      </c>
      <c r="F26" s="412">
        <f>SUMIF(88:88,E26,89:89)-SUMIF(88:88,C26,89:89)+100</f>
        <v>99</v>
      </c>
      <c r="G26" s="3456" t="s">
        <v>3419</v>
      </c>
      <c r="H26" s="386">
        <f>SUMIF(88:88,G26,89:89)-SUMIF(88:88,C26,89:89)+100</f>
        <v>99</v>
      </c>
      <c r="I26" s="3456" t="s">
        <v>3418</v>
      </c>
      <c r="J26" s="386">
        <f>SUMIF(88:88,I26,89:89)-SUMIF(88:88,C26,89:89)+100</f>
        <v>100</v>
      </c>
      <c r="K26" s="562"/>
      <c r="L26" s="2721"/>
      <c r="M26" s="2715"/>
      <c r="N26" s="2715"/>
      <c r="O26" s="2715"/>
      <c r="P26" s="3716"/>
      <c r="Q26" s="1351" t="str">
        <f t="shared" si="11"/>
        <v>平面位置/可视性</v>
      </c>
      <c r="R26" s="705" t="s">
        <v>14</v>
      </c>
      <c r="S26" s="706">
        <f>F26</f>
        <v>99</v>
      </c>
      <c r="T26" s="705" t="s">
        <v>14</v>
      </c>
      <c r="U26" s="706">
        <f>H26</f>
        <v>99</v>
      </c>
      <c r="V26" s="705" t="s">
        <v>14</v>
      </c>
      <c r="W26" s="706">
        <f>J26</f>
        <v>100</v>
      </c>
      <c r="X26" s="1354"/>
      <c r="Y26" s="3718"/>
      <c r="Z26" s="1355" t="str">
        <f>Q26</f>
        <v>平面位置/可视性</v>
      </c>
      <c r="AA26" s="1352">
        <f t="shared" si="3"/>
        <v>1.0101010101010102</v>
      </c>
      <c r="AB26" s="1352">
        <f t="shared" si="4"/>
        <v>1.0101010101010102</v>
      </c>
      <c r="AC26" s="1352">
        <f t="shared" si="5"/>
        <v>1</v>
      </c>
    </row>
    <row r="27" spans="1:29" s="108" customFormat="1" ht="15">
      <c r="A27" s="382"/>
      <c r="B27" s="402" t="s">
        <v>1782</v>
      </c>
      <c r="C27" s="1955" t="s">
        <v>3397</v>
      </c>
      <c r="D27" s="413">
        <v>100</v>
      </c>
      <c r="E27" s="1955" t="s">
        <v>3397</v>
      </c>
      <c r="F27" s="415">
        <f>SUMIF(90:90,E27,91:91)-SUMIF(90:90,C27,91:91)+100</f>
        <v>100</v>
      </c>
      <c r="G27" s="1955" t="s">
        <v>3397</v>
      </c>
      <c r="H27" s="413">
        <f>SUMIF(90:90,G27,91:91)-SUMIF(90:90,C27,91:91)+100</f>
        <v>100</v>
      </c>
      <c r="I27" s="1955" t="s">
        <v>3397</v>
      </c>
      <c r="J27" s="413">
        <f>SUMIF(90:90,I27,91:91)-SUMIF(90:90,C27,91:91)+100</f>
        <v>100</v>
      </c>
      <c r="K27" s="561">
        <v>2</v>
      </c>
      <c r="L27" s="2716"/>
      <c r="M27" s="2717"/>
      <c r="N27" s="2717"/>
      <c r="O27" s="2717"/>
      <c r="P27" s="3716"/>
      <c r="Q27" s="1342" t="str">
        <f t="shared" si="11"/>
        <v>人流量</v>
      </c>
      <c r="R27" s="701" t="s">
        <v>14</v>
      </c>
      <c r="S27" s="702">
        <f>F27</f>
        <v>100</v>
      </c>
      <c r="T27" s="701" t="s">
        <v>14</v>
      </c>
      <c r="U27" s="702">
        <f>H27</f>
        <v>100</v>
      </c>
      <c r="V27" s="701" t="s">
        <v>14</v>
      </c>
      <c r="W27" s="702">
        <f>J27</f>
        <v>100</v>
      </c>
      <c r="X27" s="703"/>
      <c r="Y27" s="3718"/>
      <c r="Z27" s="52" t="str">
        <f>Q27</f>
        <v>人流量</v>
      </c>
      <c r="AA27" s="1352">
        <f>D27/F27</f>
        <v>1</v>
      </c>
      <c r="AB27" s="1352">
        <f>D27/H27</f>
        <v>1</v>
      </c>
      <c r="AC27" s="1352">
        <f>D27/J27</f>
        <v>1</v>
      </c>
    </row>
    <row r="28" spans="1:29" ht="15.75" thickBot="1">
      <c r="A28" s="379"/>
      <c r="B28" s="375" t="s">
        <v>1783</v>
      </c>
      <c r="C28" s="565" t="s">
        <v>3436</v>
      </c>
      <c r="D28" s="386">
        <v>100</v>
      </c>
      <c r="E28" s="565" t="s">
        <v>3436</v>
      </c>
      <c r="F28" s="412">
        <f>SUMIF(92:92,E28,93:93)-SUMIF(92:92,C28,93:93)+100</f>
        <v>100</v>
      </c>
      <c r="G28" s="565" t="s">
        <v>3436</v>
      </c>
      <c r="H28" s="386">
        <f>SUMIF(92:92,G28,93:93)-SUMIF(92:92,C28,93:93)+100</f>
        <v>100</v>
      </c>
      <c r="I28" s="565" t="s">
        <v>3436</v>
      </c>
      <c r="J28" s="386">
        <f>SUMIF(92:92,I28,93:93)-SUMIF(92:92,C28,93:93)+100</f>
        <v>100</v>
      </c>
      <c r="K28" s="562"/>
      <c r="L28" s="2721"/>
      <c r="M28" s="2715"/>
      <c r="N28" s="2715"/>
      <c r="O28" s="2715"/>
      <c r="P28" s="371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8"/>
      <c r="Z28" s="1355" t="str">
        <f t="shared" ref="Z28:Z46" si="15">Q28</f>
        <v>楼层</v>
      </c>
      <c r="AA28" s="1352">
        <f t="shared" si="3"/>
        <v>1</v>
      </c>
      <c r="AB28" s="1352">
        <f t="shared" si="4"/>
        <v>1</v>
      </c>
      <c r="AC28" s="1352">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1">
        <f t="shared" si="11"/>
        <v>111</v>
      </c>
      <c r="R29" s="705" t="s">
        <v>14</v>
      </c>
      <c r="S29" s="706">
        <f t="shared" si="12"/>
        <v>100</v>
      </c>
      <c r="T29" s="705" t="s">
        <v>14</v>
      </c>
      <c r="U29" s="706">
        <f t="shared" si="13"/>
        <v>100</v>
      </c>
      <c r="V29" s="705" t="s">
        <v>14</v>
      </c>
      <c r="W29" s="706">
        <f t="shared" si="14"/>
        <v>100</v>
      </c>
      <c r="X29" s="1354"/>
      <c r="Y29" s="3718"/>
      <c r="Z29" s="1355">
        <f t="shared" si="15"/>
        <v>111</v>
      </c>
      <c r="AA29" s="1352">
        <f t="shared" si="3"/>
        <v>1</v>
      </c>
      <c r="AB29" s="1352">
        <f t="shared" si="4"/>
        <v>1</v>
      </c>
      <c r="AC29" s="1352">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1">
        <f t="shared" si="11"/>
        <v>111</v>
      </c>
      <c r="R30" s="705" t="s">
        <v>14</v>
      </c>
      <c r="S30" s="706">
        <f t="shared" si="12"/>
        <v>100</v>
      </c>
      <c r="T30" s="705" t="s">
        <v>14</v>
      </c>
      <c r="U30" s="706">
        <f t="shared" si="13"/>
        <v>100</v>
      </c>
      <c r="V30" s="705" t="s">
        <v>14</v>
      </c>
      <c r="W30" s="706">
        <f t="shared" si="14"/>
        <v>100</v>
      </c>
      <c r="X30" s="1354"/>
      <c r="Y30" s="3718"/>
      <c r="Z30" s="1355">
        <f t="shared" si="15"/>
        <v>111</v>
      </c>
      <c r="AA30" s="1352">
        <f t="shared" si="3"/>
        <v>1</v>
      </c>
      <c r="AB30" s="1352">
        <f t="shared" si="4"/>
        <v>1</v>
      </c>
      <c r="AC30" s="1352">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1">
        <f t="shared" si="11"/>
        <v>111</v>
      </c>
      <c r="R31" s="705" t="s">
        <v>14</v>
      </c>
      <c r="S31" s="706">
        <f t="shared" si="12"/>
        <v>100</v>
      </c>
      <c r="T31" s="705" t="s">
        <v>14</v>
      </c>
      <c r="U31" s="706">
        <f t="shared" si="13"/>
        <v>100</v>
      </c>
      <c r="V31" s="705" t="s">
        <v>14</v>
      </c>
      <c r="W31" s="706">
        <f t="shared" si="14"/>
        <v>100</v>
      </c>
      <c r="X31" s="1354"/>
      <c r="Y31" s="3718"/>
      <c r="Z31" s="1355">
        <f t="shared" si="15"/>
        <v>111</v>
      </c>
      <c r="AA31" s="1352">
        <f t="shared" si="3"/>
        <v>1</v>
      </c>
      <c r="AB31" s="1352">
        <f t="shared" si="4"/>
        <v>1</v>
      </c>
      <c r="AC31" s="1352">
        <f t="shared" si="5"/>
        <v>1</v>
      </c>
    </row>
    <row r="32" spans="1:29" ht="15">
      <c r="A32" s="391" t="s">
        <v>1694</v>
      </c>
      <c r="B32" s="63" t="s">
        <v>1784</v>
      </c>
      <c r="C32" s="1909" t="s">
        <v>3423</v>
      </c>
      <c r="D32" s="418">
        <v>100</v>
      </c>
      <c r="E32" s="1909" t="s">
        <v>3423</v>
      </c>
      <c r="F32" s="412">
        <f>SUMIF(100:100,E32,101:101)-SUMIF(100:100,C32,101:101)+100</f>
        <v>100</v>
      </c>
      <c r="G32" s="1909" t="s">
        <v>3423</v>
      </c>
      <c r="H32" s="386">
        <f>SUMIF(100:100,G32,101:101)-SUMIF(100:100,C32,101:101)+100</f>
        <v>100</v>
      </c>
      <c r="I32" s="1909" t="s">
        <v>3423</v>
      </c>
      <c r="J32" s="418">
        <f>SUMIF(100:100,I32,101:101)-SUMIF(100:100,C32,101:101)+100</f>
        <v>100</v>
      </c>
      <c r="K32" s="561"/>
      <c r="L32" s="2721"/>
      <c r="M32" s="2715"/>
      <c r="N32" s="2715"/>
      <c r="O32" s="2715"/>
      <c r="P32" s="3719" t="s">
        <v>1696</v>
      </c>
      <c r="Q32" s="1351" t="str">
        <f t="shared" si="11"/>
        <v>商业类型</v>
      </c>
      <c r="R32" s="705" t="s">
        <v>14</v>
      </c>
      <c r="S32" s="706">
        <f t="shared" si="12"/>
        <v>100</v>
      </c>
      <c r="T32" s="705" t="s">
        <v>14</v>
      </c>
      <c r="U32" s="706">
        <f t="shared" si="13"/>
        <v>100</v>
      </c>
      <c r="V32" s="705" t="s">
        <v>14</v>
      </c>
      <c r="W32" s="706">
        <f t="shared" si="14"/>
        <v>100</v>
      </c>
      <c r="X32" s="1354"/>
      <c r="Y32" s="3722" t="s">
        <v>1696</v>
      </c>
      <c r="Z32" s="1355" t="str">
        <f t="shared" si="15"/>
        <v>商业类型</v>
      </c>
      <c r="AA32" s="1352">
        <f t="shared" si="3"/>
        <v>1</v>
      </c>
      <c r="AB32" s="1352">
        <f t="shared" si="4"/>
        <v>1</v>
      </c>
      <c r="AC32" s="1352">
        <f t="shared" si="5"/>
        <v>1</v>
      </c>
    </row>
    <row r="33" spans="1:29" s="422" customFormat="1" ht="15">
      <c r="A33" s="419"/>
      <c r="B33" s="375" t="s">
        <v>1697</v>
      </c>
      <c r="C33" s="420" t="e">
        <f>#REF!</f>
        <v>#REF!</v>
      </c>
      <c r="D33" s="127">
        <v>100</v>
      </c>
      <c r="E33" s="381" t="e">
        <f>#REF!</f>
        <v>#REF!</v>
      </c>
      <c r="F33" s="376" t="e">
        <f>LOOKUP(E33,103:103,104:104)-LOOKUP(C33,103:103,104:104)+100</f>
        <v>#REF!</v>
      </c>
      <c r="G33" s="380" t="e">
        <f>#REF!</f>
        <v>#REF!</v>
      </c>
      <c r="H33" s="127" t="e">
        <f>LOOKUP(G33,103:103,104:104)-LOOKUP(C33,103:103,104:104)+100</f>
        <v>#REF!</v>
      </c>
      <c r="I33" s="380" t="e">
        <f>#REF!</f>
        <v>#REF!</v>
      </c>
      <c r="J33" s="127" t="e">
        <f>LOOKUP(I33,103:103,104:104)-LOOKUP(C33,103:103,104:104)+100</f>
        <v>#REF!</v>
      </c>
      <c r="K33" s="562"/>
      <c r="L33" s="2720"/>
      <c r="M33" s="2722"/>
      <c r="N33" s="2722"/>
      <c r="O33" s="2722"/>
      <c r="P33" s="3720"/>
      <c r="Q33" s="707" t="str">
        <f t="shared" si="11"/>
        <v>项目建筑规模</v>
      </c>
      <c r="R33" s="708" t="s">
        <v>14</v>
      </c>
      <c r="S33" s="709" t="e">
        <f t="shared" si="12"/>
        <v>#REF!</v>
      </c>
      <c r="T33" s="708" t="s">
        <v>14</v>
      </c>
      <c r="U33" s="709" t="e">
        <f t="shared" si="13"/>
        <v>#REF!</v>
      </c>
      <c r="V33" s="708" t="s">
        <v>14</v>
      </c>
      <c r="W33" s="709" t="e">
        <f t="shared" si="14"/>
        <v>#REF!</v>
      </c>
      <c r="X33" s="710"/>
      <c r="Y33" s="3722"/>
      <c r="Z33" s="711" t="str">
        <f t="shared" si="15"/>
        <v>项目建筑规模</v>
      </c>
      <c r="AA33" s="1352" t="e">
        <f t="shared" si="3"/>
        <v>#REF!</v>
      </c>
      <c r="AB33" s="1352" t="e">
        <f t="shared" si="4"/>
        <v>#REF!</v>
      </c>
      <c r="AC33" s="1352" t="e">
        <f t="shared" si="5"/>
        <v>#REF!</v>
      </c>
    </row>
    <row r="34" spans="1:29" ht="15">
      <c r="A34" s="423"/>
      <c r="B34" s="375" t="s">
        <v>1698</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561">
        <v>2</v>
      </c>
      <c r="L34" s="2721"/>
      <c r="M34" s="2715"/>
      <c r="N34" s="2715"/>
      <c r="O34" s="2715"/>
      <c r="P34" s="3720"/>
      <c r="Q34" s="1351" t="str">
        <f t="shared" si="11"/>
        <v>建筑结构</v>
      </c>
      <c r="R34" s="705" t="s">
        <v>14</v>
      </c>
      <c r="S34" s="706">
        <f t="shared" si="12"/>
        <v>100</v>
      </c>
      <c r="T34" s="705" t="s">
        <v>14</v>
      </c>
      <c r="U34" s="706">
        <f t="shared" si="13"/>
        <v>100</v>
      </c>
      <c r="V34" s="705" t="s">
        <v>14</v>
      </c>
      <c r="W34" s="706">
        <f t="shared" si="14"/>
        <v>100</v>
      </c>
      <c r="X34" s="1354"/>
      <c r="Y34" s="3722"/>
      <c r="Z34" s="1355" t="str">
        <f t="shared" si="15"/>
        <v>建筑结构</v>
      </c>
      <c r="AA34" s="1352">
        <f t="shared" si="3"/>
        <v>1</v>
      </c>
      <c r="AB34" s="1352">
        <f t="shared" si="4"/>
        <v>1</v>
      </c>
      <c r="AC34" s="1352">
        <f t="shared" si="5"/>
        <v>1</v>
      </c>
    </row>
    <row r="35" spans="1:29" ht="15">
      <c r="A35" s="423"/>
      <c r="B35" s="375" t="s">
        <v>1785</v>
      </c>
      <c r="C35" s="1905" t="s">
        <v>3427</v>
      </c>
      <c r="D35" s="386">
        <v>100</v>
      </c>
      <c r="E35" s="1905" t="s">
        <v>3427</v>
      </c>
      <c r="F35" s="412">
        <f>SUMIF(107:107,E35,108:108)-SUMIF(107:107,C35,108:108)+100</f>
        <v>100</v>
      </c>
      <c r="G35" s="1905" t="s">
        <v>3427</v>
      </c>
      <c r="H35" s="386">
        <f>SUMIF(107:107,G35,108:108)-SUMIF(107:107,C35,108:108)+100</f>
        <v>100</v>
      </c>
      <c r="I35" s="1905" t="s">
        <v>3427</v>
      </c>
      <c r="J35" s="386">
        <f>SUMIF(107:107,I35,108:108)-SUMIF(107:107,C35,108:108)+100</f>
        <v>100</v>
      </c>
      <c r="K35" s="561">
        <v>2</v>
      </c>
      <c r="L35" s="2721"/>
      <c r="M35" s="2715"/>
      <c r="N35" s="2715"/>
      <c r="O35" s="2715"/>
      <c r="P35" s="3720"/>
      <c r="Q35" s="1351" t="str">
        <f t="shared" si="11"/>
        <v>公共部分装修</v>
      </c>
      <c r="R35" s="705" t="s">
        <v>14</v>
      </c>
      <c r="S35" s="706">
        <f t="shared" si="12"/>
        <v>100</v>
      </c>
      <c r="T35" s="705" t="s">
        <v>14</v>
      </c>
      <c r="U35" s="706">
        <f t="shared" si="13"/>
        <v>100</v>
      </c>
      <c r="V35" s="705" t="s">
        <v>14</v>
      </c>
      <c r="W35" s="706">
        <f t="shared" si="14"/>
        <v>100</v>
      </c>
      <c r="X35" s="1354"/>
      <c r="Y35" s="3722"/>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21"/>
      <c r="M36" s="2715"/>
      <c r="N36" s="2715"/>
      <c r="O36" s="2715"/>
      <c r="P36" s="3720"/>
      <c r="Q36" s="1351" t="str">
        <f t="shared" si="11"/>
        <v>成新度</v>
      </c>
      <c r="R36" s="705" t="s">
        <v>14</v>
      </c>
      <c r="S36" s="706">
        <f t="shared" si="12"/>
        <v>101</v>
      </c>
      <c r="T36" s="705" t="s">
        <v>14</v>
      </c>
      <c r="U36" s="706">
        <f t="shared" si="13"/>
        <v>101</v>
      </c>
      <c r="V36" s="705" t="s">
        <v>14</v>
      </c>
      <c r="W36" s="706">
        <f t="shared" si="14"/>
        <v>101</v>
      </c>
      <c r="X36" s="1354"/>
      <c r="Y36" s="3722"/>
      <c r="Z36" s="1355" t="str">
        <f t="shared" si="15"/>
        <v>成新度</v>
      </c>
      <c r="AA36" s="1352">
        <f t="shared" si="3"/>
        <v>0.99009900990099009</v>
      </c>
      <c r="AB36" s="1352">
        <f t="shared" si="4"/>
        <v>0.99009900990099009</v>
      </c>
      <c r="AC36" s="1352">
        <f t="shared" si="5"/>
        <v>0.99009900990099009</v>
      </c>
    </row>
    <row r="37" spans="1:29" s="108" customFormat="1" ht="15">
      <c r="A37" s="424"/>
      <c r="B37" s="375" t="s">
        <v>1787</v>
      </c>
      <c r="C37" s="1905" t="s">
        <v>3431</v>
      </c>
      <c r="D37" s="127">
        <v>100</v>
      </c>
      <c r="E37" s="1905" t="s">
        <v>3407</v>
      </c>
      <c r="F37" s="412">
        <f>SUMIF(112:112,E37,113:113)-SUMIF(112:112,C37,113:113)+100</f>
        <v>99</v>
      </c>
      <c r="G37" s="1905" t="s">
        <v>3407</v>
      </c>
      <c r="H37" s="386">
        <f>SUMIF(112:112,G37,113:113)-SUMIF(112:112,C37,113:113)+100</f>
        <v>99</v>
      </c>
      <c r="I37" s="1905" t="s">
        <v>3407</v>
      </c>
      <c r="J37" s="386">
        <f>SUMIF(112:112,I37,113:113)-SUMIF(112:112,C37,113:113)+100</f>
        <v>99</v>
      </c>
      <c r="K37" s="561">
        <v>1</v>
      </c>
      <c r="L37" s="2716"/>
      <c r="M37" s="2717"/>
      <c r="N37" s="2717"/>
      <c r="O37" s="2717"/>
      <c r="P37" s="3720"/>
      <c r="Q37" s="1342" t="str">
        <f t="shared" si="11"/>
        <v>市政基础设施</v>
      </c>
      <c r="R37" s="701" t="s">
        <v>14</v>
      </c>
      <c r="S37" s="702">
        <f t="shared" si="12"/>
        <v>99</v>
      </c>
      <c r="T37" s="701" t="s">
        <v>14</v>
      </c>
      <c r="U37" s="702">
        <f t="shared" si="13"/>
        <v>99</v>
      </c>
      <c r="V37" s="701" t="s">
        <v>14</v>
      </c>
      <c r="W37" s="702">
        <f t="shared" si="14"/>
        <v>99</v>
      </c>
      <c r="X37" s="703"/>
      <c r="Y37" s="3722"/>
      <c r="Z37" s="52" t="str">
        <f t="shared" si="15"/>
        <v>市政基础设施</v>
      </c>
      <c r="AA37" s="704">
        <f t="shared" si="3"/>
        <v>1.0101010101010102</v>
      </c>
      <c r="AB37" s="704">
        <f t="shared" si="4"/>
        <v>1.0101010101010102</v>
      </c>
      <c r="AC37" s="704">
        <f t="shared" si="5"/>
        <v>1.0101010101010102</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0" t="s">
        <v>1696</v>
      </c>
      <c r="Q38" s="1351" t="str">
        <f t="shared" si="11"/>
        <v>业态</v>
      </c>
      <c r="R38" s="705" t="s">
        <v>14</v>
      </c>
      <c r="S38" s="706">
        <f t="shared" si="12"/>
        <v>100</v>
      </c>
      <c r="T38" s="705" t="s">
        <v>14</v>
      </c>
      <c r="U38" s="706">
        <f t="shared" si="13"/>
        <v>100</v>
      </c>
      <c r="V38" s="705" t="s">
        <v>14</v>
      </c>
      <c r="W38" s="706">
        <f t="shared" si="14"/>
        <v>100</v>
      </c>
      <c r="X38" s="1354"/>
      <c r="Y38" s="3722" t="s">
        <v>1696</v>
      </c>
      <c r="Z38" s="1355" t="str">
        <f t="shared" si="15"/>
        <v>业态</v>
      </c>
      <c r="AA38" s="1352">
        <f t="shared" si="3"/>
        <v>1</v>
      </c>
      <c r="AB38" s="1352">
        <f t="shared" si="4"/>
        <v>1</v>
      </c>
      <c r="AC38" s="1352">
        <f t="shared" si="5"/>
        <v>1</v>
      </c>
    </row>
    <row r="39" spans="1:29" ht="15">
      <c r="A39" s="423"/>
      <c r="B39" s="375" t="s">
        <v>1789</v>
      </c>
      <c r="C39" s="1905" t="s">
        <v>3434</v>
      </c>
      <c r="D39" s="386">
        <v>100</v>
      </c>
      <c r="E39" s="1905" t="s">
        <v>3434</v>
      </c>
      <c r="F39" s="412">
        <f>SUMIF(116:116,E39,117:117)-SUMIF(116:116,C39,117:117)+100</f>
        <v>100</v>
      </c>
      <c r="G39" s="1905" t="s">
        <v>3434</v>
      </c>
      <c r="H39" s="386">
        <f>SUMIF(116:116,G39,117:117)-SUMIF(116:116,C39,117:117)+100</f>
        <v>100</v>
      </c>
      <c r="I39" s="1905" t="s">
        <v>3434</v>
      </c>
      <c r="J39" s="386">
        <f>SUMIF(116:116,I39,117:117)-SUMIF(116:116,C39,117:117)+100</f>
        <v>100</v>
      </c>
      <c r="K39" s="561">
        <v>2</v>
      </c>
      <c r="L39" s="2721"/>
      <c r="M39" s="2715"/>
      <c r="N39" s="2715"/>
      <c r="O39" s="2715"/>
      <c r="P39" s="3720"/>
      <c r="Q39" s="1351" t="str">
        <f t="shared" si="11"/>
        <v>层高</v>
      </c>
      <c r="R39" s="705" t="s">
        <v>14</v>
      </c>
      <c r="S39" s="706">
        <f t="shared" si="12"/>
        <v>100</v>
      </c>
      <c r="T39" s="705" t="s">
        <v>14</v>
      </c>
      <c r="U39" s="706">
        <f t="shared" si="13"/>
        <v>100</v>
      </c>
      <c r="V39" s="705" t="s">
        <v>14</v>
      </c>
      <c r="W39" s="706">
        <f t="shared" si="14"/>
        <v>100</v>
      </c>
      <c r="X39" s="1354"/>
      <c r="Y39" s="372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0"/>
      <c r="Q40" s="1351" t="str">
        <f t="shared" si="11"/>
        <v>单套建筑面积</v>
      </c>
      <c r="R40" s="705" t="s">
        <v>14</v>
      </c>
      <c r="S40" s="706">
        <f t="shared" si="12"/>
        <v>100</v>
      </c>
      <c r="T40" s="705" t="s">
        <v>14</v>
      </c>
      <c r="U40" s="706">
        <f t="shared" si="13"/>
        <v>100</v>
      </c>
      <c r="V40" s="705" t="s">
        <v>14</v>
      </c>
      <c r="W40" s="706">
        <f t="shared" si="14"/>
        <v>100</v>
      </c>
      <c r="X40" s="1354"/>
      <c r="Y40" s="372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2</v>
      </c>
      <c r="L42" s="2721"/>
      <c r="M42" s="2715"/>
      <c r="N42" s="2715"/>
      <c r="O42" s="2715"/>
      <c r="P42" s="3720"/>
      <c r="Q42" s="1351" t="str">
        <f t="shared" si="11"/>
        <v>内部装修</v>
      </c>
      <c r="R42" s="705" t="s">
        <v>14</v>
      </c>
      <c r="S42" s="706">
        <f t="shared" si="12"/>
        <v>100</v>
      </c>
      <c r="T42" s="705" t="s">
        <v>14</v>
      </c>
      <c r="U42" s="706">
        <f t="shared" si="13"/>
        <v>100</v>
      </c>
      <c r="V42" s="705" t="s">
        <v>14</v>
      </c>
      <c r="W42" s="706">
        <f t="shared" si="14"/>
        <v>100</v>
      </c>
      <c r="X42" s="1354"/>
      <c r="Y42" s="3722"/>
      <c r="Z42" s="1355" t="str">
        <f t="shared" si="15"/>
        <v>内部装修</v>
      </c>
      <c r="AA42" s="1352">
        <f t="shared" si="3"/>
        <v>1</v>
      </c>
      <c r="AB42" s="1352">
        <f t="shared" si="4"/>
        <v>1</v>
      </c>
      <c r="AC42" s="1352">
        <f t="shared" si="5"/>
        <v>1</v>
      </c>
    </row>
    <row r="43" spans="1:29" ht="15">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c r="L43" s="2721"/>
      <c r="M43" s="2715"/>
      <c r="N43" s="2715"/>
      <c r="O43" s="2715"/>
      <c r="P43" s="3720"/>
      <c r="Q43" s="1351" t="str">
        <f t="shared" si="11"/>
        <v>内部装修维护情况</v>
      </c>
      <c r="R43" s="705" t="s">
        <v>14</v>
      </c>
      <c r="S43" s="706">
        <f t="shared" si="12"/>
        <v>100</v>
      </c>
      <c r="T43" s="705" t="s">
        <v>14</v>
      </c>
      <c r="U43" s="706">
        <f t="shared" si="13"/>
        <v>100</v>
      </c>
      <c r="V43" s="705" t="s">
        <v>14</v>
      </c>
      <c r="W43" s="706">
        <f t="shared" si="14"/>
        <v>100</v>
      </c>
      <c r="X43" s="1354"/>
      <c r="Y43" s="372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1342">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1351">
        <f t="shared" si="11"/>
        <v>111</v>
      </c>
      <c r="R45" s="705" t="s">
        <v>14</v>
      </c>
      <c r="S45" s="706">
        <f t="shared" si="12"/>
        <v>100</v>
      </c>
      <c r="T45" s="705" t="s">
        <v>14</v>
      </c>
      <c r="U45" s="706">
        <f t="shared" si="13"/>
        <v>100</v>
      </c>
      <c r="V45" s="705" t="s">
        <v>14</v>
      </c>
      <c r="W45" s="706">
        <f t="shared" si="14"/>
        <v>100</v>
      </c>
      <c r="X45" s="1354"/>
      <c r="Y45" s="372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1351">
        <f t="shared" si="11"/>
        <v>111</v>
      </c>
      <c r="R46" s="705" t="s">
        <v>14</v>
      </c>
      <c r="S46" s="706">
        <f t="shared" si="12"/>
        <v>100</v>
      </c>
      <c r="T46" s="705" t="s">
        <v>14</v>
      </c>
      <c r="U46" s="706">
        <f t="shared" si="13"/>
        <v>100</v>
      </c>
      <c r="V46" s="705" t="s">
        <v>14</v>
      </c>
      <c r="W46" s="706">
        <f t="shared" si="14"/>
        <v>100</v>
      </c>
      <c r="X46" s="1354"/>
      <c r="Y46" s="3723"/>
      <c r="Z46" s="1355">
        <f t="shared" si="15"/>
        <v>111</v>
      </c>
      <c r="AA46" s="1352">
        <f t="shared" si="3"/>
        <v>1</v>
      </c>
      <c r="AB46" s="1352">
        <f t="shared" si="4"/>
        <v>1</v>
      </c>
      <c r="AC46" s="1352">
        <f t="shared" si="5"/>
        <v>1</v>
      </c>
    </row>
    <row r="47" spans="1:29" ht="15">
      <c r="A47" s="430" t="s">
        <v>1708</v>
      </c>
      <c r="B47" s="431"/>
      <c r="C47" s="1154" t="s">
        <v>0</v>
      </c>
      <c r="D47" s="1155"/>
      <c r="E47" s="1156" t="e">
        <f>#REF!</f>
        <v>#REF!</v>
      </c>
      <c r="F47" s="1157"/>
      <c r="G47" s="1158" t="e">
        <f>#REF!</f>
        <v>#REF!</v>
      </c>
      <c r="H47" s="1159"/>
      <c r="I47" s="1156" t="e">
        <f>#REF!</f>
        <v>#REF!</v>
      </c>
      <c r="J47" s="1159"/>
      <c r="K47" s="714"/>
      <c r="L47" s="2723"/>
      <c r="M47" s="2724"/>
      <c r="N47" s="2715"/>
      <c r="O47" s="2724"/>
      <c r="P47" s="3724" t="str">
        <f>A47</f>
        <v>成交单价（元/平方米）</v>
      </c>
      <c r="Q47" s="3724"/>
      <c r="R47" s="3685" t="e">
        <f>E47</f>
        <v>#REF!</v>
      </c>
      <c r="S47" s="3685"/>
      <c r="T47" s="3685" t="e">
        <f>G47</f>
        <v>#REF!</v>
      </c>
      <c r="U47" s="3685"/>
      <c r="V47" s="3685" t="e">
        <f>I47</f>
        <v>#REF!</v>
      </c>
      <c r="W47" s="3685"/>
      <c r="X47" s="690"/>
      <c r="Y47" s="712"/>
      <c r="Z47" s="690"/>
      <c r="AA47" s="690"/>
      <c r="AB47" s="690"/>
      <c r="AC47" s="690"/>
    </row>
    <row r="48" spans="1:29" ht="15.75" thickBot="1">
      <c r="A48" s="437" t="s">
        <v>1793</v>
      </c>
      <c r="B48" s="438"/>
      <c r="C48" s="1160" t="e">
        <f>R49</f>
        <v>#REF!</v>
      </c>
      <c r="D48" s="2316" t="s">
        <v>2138</v>
      </c>
      <c r="E48" s="1161" t="e">
        <f>R48</f>
        <v>#REF!</v>
      </c>
      <c r="F48" s="2317"/>
      <c r="G48" s="1160" t="e">
        <f>T48</f>
        <v>#REF!</v>
      </c>
      <c r="H48" s="2317"/>
      <c r="I48" s="1161" t="e">
        <f>V48</f>
        <v>#REF!</v>
      </c>
      <c r="J48" s="2317"/>
      <c r="K48" s="2319">
        <f>F48+H48+J48</f>
        <v>0</v>
      </c>
      <c r="L48" s="2723"/>
      <c r="M48" s="2724"/>
      <c r="N48" s="2715"/>
      <c r="O48" s="2724"/>
      <c r="P48" s="3724" t="str">
        <f>A48</f>
        <v>比较价值（元/平方米）</v>
      </c>
      <c r="Q48" s="3724"/>
      <c r="R48" s="3725" t="e">
        <f>IF(F1="售价",ROUND(PRODUCT(R47,AA7:AA46),0),ROUND(PRODUCT(R47,AA7:AA46),1))</f>
        <v>#REF!</v>
      </c>
      <c r="S48" s="3725"/>
      <c r="T48" s="3725" t="e">
        <f>IF(F1="售价",ROUND(PRODUCT(T47,AB7:AB46),0),ROUND(PRODUCT(T47,AB7:AB46),1))</f>
        <v>#REF!</v>
      </c>
      <c r="U48" s="3725"/>
      <c r="V48" s="3725" t="e">
        <f>IF(F1="售价",ROUND(PRODUCT(V47,AC7:AC46),0),ROUND(PRODUCT(V47,AC7:AC46),1))</f>
        <v>#REF!</v>
      </c>
      <c r="W48" s="3725"/>
      <c r="X48" s="690"/>
      <c r="Y48" s="690"/>
      <c r="Z48" s="690"/>
      <c r="AA48" s="690"/>
      <c r="AB48" s="690"/>
      <c r="AC48" s="690"/>
    </row>
    <row r="49" spans="1:29" ht="15.75" thickBot="1">
      <c r="A49" s="441" t="s">
        <v>1794</v>
      </c>
      <c r="B49" s="442"/>
      <c r="C49" s="1163" t="e">
        <f>R49</f>
        <v>#REF!</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#REF!</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v>99.5</v>
      </c>
      <c r="F59" s="461">
        <v>99.5</v>
      </c>
      <c r="G59" s="461">
        <v>99.5</v>
      </c>
      <c r="H59" s="461">
        <v>99</v>
      </c>
      <c r="I59" s="461">
        <v>99</v>
      </c>
      <c r="J59" s="461">
        <v>99</v>
      </c>
      <c r="K59" s="461">
        <v>98.5</v>
      </c>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1（含）-1.5</v>
      </c>
      <c r="D67" s="496" t="str">
        <f t="shared" ref="D67:L67" si="17">D68&amp;"（含）"&amp;"-"&amp;E68</f>
        <v>1.5（含）-2</v>
      </c>
      <c r="E67" s="496" t="str">
        <f t="shared" si="17"/>
        <v>2（含）-2.5</v>
      </c>
      <c r="F67" s="496" t="str">
        <f t="shared" si="17"/>
        <v>2.5（含）-3</v>
      </c>
      <c r="G67" s="496" t="str">
        <f t="shared" si="17"/>
        <v>3（含）-3.5</v>
      </c>
      <c r="H67" s="496" t="str">
        <f t="shared" si="17"/>
        <v>3.5（含）-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1</v>
      </c>
      <c r="D68" s="498">
        <v>1.5</v>
      </c>
      <c r="E68" s="498">
        <v>2</v>
      </c>
      <c r="F68" s="498">
        <v>2.5</v>
      </c>
      <c r="G68" s="498">
        <v>3</v>
      </c>
      <c r="H68" s="498">
        <v>3.5</v>
      </c>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3409</v>
      </c>
      <c r="D86" s="3453" t="s">
        <v>3410</v>
      </c>
      <c r="E86" s="3453" t="s">
        <v>3412</v>
      </c>
      <c r="F86" s="3453" t="s">
        <v>3414</v>
      </c>
      <c r="G86" s="3453" t="s">
        <v>3416</v>
      </c>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3417</v>
      </c>
      <c r="D88" s="3453" t="s">
        <v>3418</v>
      </c>
      <c r="E88" s="3453" t="s">
        <v>3419</v>
      </c>
      <c r="F88" s="3454" t="s">
        <v>3420</v>
      </c>
      <c r="G88" s="3453" t="s">
        <v>3421</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99</v>
      </c>
      <c r="E89" s="485">
        <v>98</v>
      </c>
      <c r="F89" s="485">
        <v>97</v>
      </c>
      <c r="G89" s="485">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3" t="s">
        <v>3417</v>
      </c>
      <c r="D90" s="3453" t="s">
        <v>3418</v>
      </c>
      <c r="E90" s="3453" t="s">
        <v>3419</v>
      </c>
      <c r="F90" s="3454" t="s">
        <v>3420</v>
      </c>
      <c r="G90" s="3453"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5" t="s">
        <v>3424</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0(含)-500</v>
      </c>
      <c r="D102" s="527" t="str">
        <f t="shared" ref="D102:L102" si="23">D103&amp;"(含)"&amp;"-"&amp;E103</f>
        <v>500(含)-800</v>
      </c>
      <c r="E102" s="527" t="str">
        <f t="shared" si="23"/>
        <v>800(含)-1000</v>
      </c>
      <c r="F102" s="527" t="str">
        <f t="shared" si="23"/>
        <v>1000(含)-2000</v>
      </c>
      <c r="G102" s="527" t="str">
        <f t="shared" si="23"/>
        <v>2000(含)-4000</v>
      </c>
      <c r="H102" s="527" t="str">
        <f t="shared" si="23"/>
        <v>4000(含)-6000</v>
      </c>
      <c r="I102" s="527" t="str">
        <f t="shared" si="23"/>
        <v>6000(含)-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500</v>
      </c>
      <c r="E103" s="544">
        <v>800</v>
      </c>
      <c r="F103" s="544">
        <v>1000</v>
      </c>
      <c r="G103" s="544">
        <v>2000</v>
      </c>
      <c r="H103" s="544">
        <v>4000</v>
      </c>
      <c r="I103" s="544">
        <v>6000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102</v>
      </c>
      <c r="E104" s="485">
        <v>104</v>
      </c>
      <c r="F104" s="485">
        <v>102</v>
      </c>
      <c r="G104" s="485">
        <v>100</v>
      </c>
      <c r="H104" s="485">
        <v>98</v>
      </c>
      <c r="I104" s="485">
        <v>96</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3425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3426</v>
      </c>
      <c r="D107" s="3453" t="s">
        <v>3428</v>
      </c>
      <c r="E107" s="3453" t="s">
        <v>3429</v>
      </c>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3430</v>
      </c>
      <c r="D112" s="3453" t="s">
        <v>3432</v>
      </c>
      <c r="E112" s="3453" t="s">
        <v>3433</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3435</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3426</v>
      </c>
      <c r="D122" s="3453" t="s">
        <v>3428</v>
      </c>
      <c r="E122" s="3453"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1" priority="21" stopIfTrue="1" operator="containsText" text="超过">
      <formula>NOT(ISERROR(SEARCH("超过",F52)))</formula>
    </cfRule>
  </conditionalFormatting>
  <conditionalFormatting sqref="H54">
    <cfRule type="containsText" dxfId="180" priority="19" stopIfTrue="1" operator="containsText" text="超过">
      <formula>NOT(ISERROR(SEARCH("超过",H54)))</formula>
    </cfRule>
  </conditionalFormatting>
  <conditionalFormatting sqref="F54">
    <cfRule type="containsText" dxfId="179" priority="18" stopIfTrue="1" operator="containsText" text="超过">
      <formula>NOT(ISERROR(SEARCH("超过",F54)))</formula>
    </cfRule>
  </conditionalFormatting>
  <conditionalFormatting sqref="F53 H53">
    <cfRule type="containsText" dxfId="178" priority="17" stopIfTrue="1" operator="containsText" text="超过">
      <formula>NOT(ISERROR(SEARCH("超过",F53)))</formula>
    </cfRule>
  </conditionalFormatting>
  <conditionalFormatting sqref="E52">
    <cfRule type="expression" dxfId="177" priority="16" stopIfTrue="1">
      <formula>$F$52="超过30%"</formula>
    </cfRule>
  </conditionalFormatting>
  <conditionalFormatting sqref="E53">
    <cfRule type="expression" dxfId="176" priority="15" stopIfTrue="1">
      <formula>$F$53="超过20%"</formula>
    </cfRule>
  </conditionalFormatting>
  <conditionalFormatting sqref="E54">
    <cfRule type="expression" dxfId="175" priority="14" stopIfTrue="1">
      <formula>$F$54="超过30%"</formula>
    </cfRule>
  </conditionalFormatting>
  <conditionalFormatting sqref="G54">
    <cfRule type="expression" dxfId="174" priority="13" stopIfTrue="1">
      <formula>$H$54="超过30%"</formula>
    </cfRule>
  </conditionalFormatting>
  <conditionalFormatting sqref="G52">
    <cfRule type="expression" dxfId="173" priority="12" stopIfTrue="1">
      <formula>$H$52="超过30%"</formula>
    </cfRule>
  </conditionalFormatting>
  <conditionalFormatting sqref="G53">
    <cfRule type="expression" dxfId="172" priority="11" stopIfTrue="1">
      <formula>$H$53="超过20%"</formula>
    </cfRule>
  </conditionalFormatting>
  <conditionalFormatting sqref="J52">
    <cfRule type="containsText" dxfId="171" priority="10" stopIfTrue="1" operator="containsText" text="超过">
      <formula>NOT(ISERROR(SEARCH("超过",J52)))</formula>
    </cfRule>
  </conditionalFormatting>
  <conditionalFormatting sqref="J54">
    <cfRule type="containsText" dxfId="170" priority="9" stopIfTrue="1" operator="containsText" text="超过">
      <formula>NOT(ISERROR(SEARCH("超过",J54)))</formula>
    </cfRule>
  </conditionalFormatting>
  <conditionalFormatting sqref="J53">
    <cfRule type="containsText" dxfId="169" priority="8" stopIfTrue="1" operator="containsText" text="超过">
      <formula>NOT(ISERROR(SEARCH("超过",J53)))</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D6B0-2C8E-4647-A4E2-98619DE43190}">
  <sheetPr>
    <tabColor rgb="FF92D050"/>
    <pageSetUpPr fitToPage="1"/>
  </sheetPr>
  <dimension ref="A1:AC131"/>
  <sheetViews>
    <sheetView view="pageBreakPreview" topLeftCell="A7" zoomScale="90" zoomScaleNormal="70" zoomScaleSheetLayoutView="90" workbookViewId="0">
      <selection activeCell="F15" sqref="F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c r="F1" s="1878" t="s">
        <v>3437</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4" t="b">
        <f>IF(E1="项目模式",IF(C2="——",ROUND(C49*D3/10000,0),ROUND(C49*D3/10000,0)-D2),IF(E1="单套模式",IF(C2="——",ROUND(C49*D3/10000,4),ROUND(C49*D3/10000,4)-D2)))</f>
        <v>0</v>
      </c>
      <c r="C2" s="1880" t="s">
        <v>43</v>
      </c>
      <c r="D2" s="1115">
        <f ca="1">IF(E1="项目模式",SUMIF(INDIRECT("'"&amp;F2&amp;"'"&amp;"!A:A"),"承租人权益价值",INDIRECT("'"&amp;F2&amp;"'"&amp;"!c:c")),SUMIF(INDIRECT("'"&amp;F2&amp;"'"&amp;"!A:A"),"承租人权益价值（单套）",INDIRECT("'"&amp;F2&amp;"'"&amp;"!c:c")))</f>
        <v>0</v>
      </c>
      <c r="E2" s="1881" t="s">
        <v>1463</v>
      </c>
      <c r="F2" s="1882" t="s">
        <v>3438</v>
      </c>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686</v>
      </c>
      <c r="B3" s="558" t="e">
        <f>IF(C2="——",C49,ROUND(B2*10000/D3,0))</f>
        <v>#REF!</v>
      </c>
      <c r="C3" s="354" t="s">
        <v>1665</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1666</v>
      </c>
      <c r="B4" s="356"/>
      <c r="C4" s="3702" t="s">
        <v>1667</v>
      </c>
      <c r="D4" s="3703"/>
      <c r="E4" s="3704" t="s">
        <v>1668</v>
      </c>
      <c r="F4" s="3705"/>
      <c r="G4" s="3702" t="s">
        <v>1669</v>
      </c>
      <c r="H4" s="3703"/>
      <c r="I4" s="3702" t="s">
        <v>1670</v>
      </c>
      <c r="J4" s="3703"/>
      <c r="K4" s="559" t="s">
        <v>1671</v>
      </c>
      <c r="L4" s="2714"/>
      <c r="M4" s="2715"/>
      <c r="N4" s="2715"/>
      <c r="O4" s="2715"/>
      <c r="P4" s="3706" t="s">
        <v>1672</v>
      </c>
      <c r="Q4" s="3707"/>
      <c r="R4" s="3688" t="s">
        <v>1668</v>
      </c>
      <c r="S4" s="3689"/>
      <c r="T4" s="3688" t="s">
        <v>1669</v>
      </c>
      <c r="U4" s="3689"/>
      <c r="V4" s="3685" t="s">
        <v>1670</v>
      </c>
      <c r="W4" s="3685"/>
      <c r="X4" s="3463"/>
      <c r="Y4" s="3688" t="s">
        <v>1672</v>
      </c>
      <c r="Z4" s="3689"/>
      <c r="AA4" s="3682" t="s">
        <v>1668</v>
      </c>
      <c r="AB4" s="3685" t="s">
        <v>1669</v>
      </c>
      <c r="AC4" s="3682" t="s">
        <v>1670</v>
      </c>
    </row>
    <row r="5" spans="1:29" ht="15">
      <c r="A5" s="358"/>
      <c r="B5" s="359"/>
      <c r="C5" s="3694" t="s">
        <v>3404</v>
      </c>
      <c r="D5" s="3695"/>
      <c r="E5" s="3729" t="s">
        <v>3441</v>
      </c>
      <c r="F5" s="3693"/>
      <c r="G5" s="3694" t="s">
        <v>3442</v>
      </c>
      <c r="H5" s="3695"/>
      <c r="I5" s="3730" t="s">
        <v>3443</v>
      </c>
      <c r="J5" s="3695"/>
      <c r="K5" s="559"/>
      <c r="L5" s="2714"/>
      <c r="M5" s="2715"/>
      <c r="N5" s="2715"/>
      <c r="O5" s="2715"/>
      <c r="P5" s="3708"/>
      <c r="Q5" s="3709"/>
      <c r="R5" s="3690"/>
      <c r="S5" s="3691"/>
      <c r="T5" s="3690"/>
      <c r="U5" s="3691"/>
      <c r="V5" s="3685"/>
      <c r="W5" s="3685"/>
      <c r="X5" s="3463"/>
      <c r="Y5" s="3690"/>
      <c r="Z5" s="3691"/>
      <c r="AA5" s="3683"/>
      <c r="AB5" s="3685"/>
      <c r="AC5" s="3683"/>
    </row>
    <row r="6" spans="1:29" ht="15.75" thickBot="1">
      <c r="A6" s="360"/>
      <c r="B6" s="361"/>
      <c r="C6" s="3696" t="s">
        <v>1677</v>
      </c>
      <c r="D6" s="3697"/>
      <c r="E6" s="3699" t="s">
        <v>1677</v>
      </c>
      <c r="F6" s="3700"/>
      <c r="G6" s="3696" t="s">
        <v>1677</v>
      </c>
      <c r="H6" s="3697"/>
      <c r="I6" s="3696" t="s">
        <v>1677</v>
      </c>
      <c r="J6" s="3697"/>
      <c r="K6" s="559" t="s">
        <v>1678</v>
      </c>
      <c r="L6" s="2714"/>
      <c r="M6" s="2715"/>
      <c r="N6" s="2715"/>
      <c r="O6" s="2715"/>
      <c r="P6" s="3710"/>
      <c r="Q6" s="3711"/>
      <c r="R6" s="3690"/>
      <c r="S6" s="3691"/>
      <c r="T6" s="3712"/>
      <c r="U6" s="3713"/>
      <c r="V6" s="3685"/>
      <c r="W6" s="3685"/>
      <c r="X6" s="3463"/>
      <c r="Y6" s="3712"/>
      <c r="Z6" s="3713"/>
      <c r="AA6" s="3684"/>
      <c r="AB6" s="3685"/>
      <c r="AC6" s="3684"/>
    </row>
    <row r="7" spans="1:29" s="108" customFormat="1" ht="15.75" thickBot="1">
      <c r="A7" s="362" t="s">
        <v>1679</v>
      </c>
      <c r="B7" s="363"/>
      <c r="C7" s="364">
        <f>'数据-取费表'!B2</f>
        <v>45183</v>
      </c>
      <c r="D7" s="365">
        <v>100</v>
      </c>
      <c r="E7" s="366">
        <f>C7</f>
        <v>45183</v>
      </c>
      <c r="F7" s="367">
        <f>SUMIF(58:58,YEAR(E7)&amp;"-"&amp;MONTH(E7),59:59)</f>
        <v>100</v>
      </c>
      <c r="G7" s="366">
        <f>C7</f>
        <v>45183</v>
      </c>
      <c r="H7" s="365">
        <f>SUMIF(58:58,YEAR(G7)&amp;"-"&amp;MONTH(G7),59:59)</f>
        <v>100</v>
      </c>
      <c r="I7" s="366">
        <f>C7</f>
        <v>45183</v>
      </c>
      <c r="J7" s="365">
        <f>SUMIF(58:58,YEAR(I7)&amp;"-"&amp;MONTH(I7),59:59)</f>
        <v>100</v>
      </c>
      <c r="K7" s="560"/>
      <c r="L7" s="2716"/>
      <c r="M7" s="2717"/>
      <c r="N7" s="2717"/>
      <c r="O7" s="2717"/>
      <c r="P7" s="3686" t="s">
        <v>1680</v>
      </c>
      <c r="Q7" s="3714"/>
      <c r="R7" s="701" t="s">
        <v>14</v>
      </c>
      <c r="S7" s="702">
        <f t="shared" ref="S7:S15" si="0">F7</f>
        <v>100</v>
      </c>
      <c r="T7" s="701" t="s">
        <v>14</v>
      </c>
      <c r="U7" s="702">
        <f t="shared" ref="U7:U15" si="1">H7</f>
        <v>100</v>
      </c>
      <c r="V7" s="701" t="s">
        <v>14</v>
      </c>
      <c r="W7" s="702">
        <f t="shared" ref="W7:W15" si="2">J7</f>
        <v>100</v>
      </c>
      <c r="X7" s="703"/>
      <c r="Y7" s="3686" t="s">
        <v>1680</v>
      </c>
      <c r="Z7" s="3687"/>
      <c r="AA7" s="704">
        <f>D7/F7</f>
        <v>1</v>
      </c>
      <c r="AB7" s="704">
        <f>D7/H7</f>
        <v>1</v>
      </c>
      <c r="AC7" s="704">
        <f>D7/J7</f>
        <v>1</v>
      </c>
    </row>
    <row r="8" spans="1:29" s="108" customFormat="1" ht="15.75" thickBot="1">
      <c r="A8" s="362" t="s">
        <v>1681</v>
      </c>
      <c r="B8" s="363"/>
      <c r="C8" s="368" t="s">
        <v>3405</v>
      </c>
      <c r="D8" s="365">
        <v>100</v>
      </c>
      <c r="E8" s="368" t="s">
        <v>3405</v>
      </c>
      <c r="F8" s="367">
        <f>SUMIF(61:61,E8,62:62)-SUMIF(61:61,C8,62:62)+100</f>
        <v>100</v>
      </c>
      <c r="G8" s="368" t="s">
        <v>3405</v>
      </c>
      <c r="H8" s="365">
        <f>SUMIF(61:61,G8,62:62)-SUMIF(61:61,C8,62:62)+100</f>
        <v>100</v>
      </c>
      <c r="I8" s="368" t="s">
        <v>3405</v>
      </c>
      <c r="J8" s="365">
        <f>SUMIF(61:61,I8,62:62)-SUMIF(61:61,C8,62:62)+100</f>
        <v>100</v>
      </c>
      <c r="K8" s="560"/>
      <c r="L8" s="2716"/>
      <c r="M8" s="2717"/>
      <c r="N8" s="2717"/>
      <c r="O8" s="2717"/>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ht="15" thickBot="1">
      <c r="A9" s="369" t="s">
        <v>1684</v>
      </c>
      <c r="B9" s="63" t="s">
        <v>1685</v>
      </c>
      <c r="C9" s="3452" t="s">
        <v>3406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1686</v>
      </c>
      <c r="Q9" s="3458" t="str">
        <f t="shared" ref="Q9:Q15" si="6">B9</f>
        <v>用途</v>
      </c>
      <c r="R9" s="701" t="s">
        <v>14</v>
      </c>
      <c r="S9" s="702">
        <f t="shared" si="0"/>
        <v>100</v>
      </c>
      <c r="T9" s="701" t="s">
        <v>14</v>
      </c>
      <c r="U9" s="702">
        <f t="shared" si="1"/>
        <v>100</v>
      </c>
      <c r="V9" s="701" t="s">
        <v>14</v>
      </c>
      <c r="W9" s="702">
        <f t="shared" si="2"/>
        <v>100</v>
      </c>
      <c r="X9" s="703"/>
      <c r="Y9" s="3653" t="s">
        <v>1687</v>
      </c>
      <c r="Z9" s="3457" t="str">
        <f t="shared" ref="Z9:Z15" si="7">Q9</f>
        <v>用途</v>
      </c>
      <c r="AA9" s="704">
        <f t="shared" si="3"/>
        <v>1</v>
      </c>
      <c r="AB9" s="704">
        <f t="shared" si="4"/>
        <v>1</v>
      </c>
      <c r="AC9" s="704">
        <f t="shared" si="5"/>
        <v>1</v>
      </c>
    </row>
    <row r="10" spans="1:29" s="378" customFormat="1" ht="27.75" hidden="1" thickBot="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3458" t="str">
        <f t="shared" si="6"/>
        <v>土地使用年限（年）</v>
      </c>
      <c r="R10" s="701" t="s">
        <v>14</v>
      </c>
      <c r="S10" s="702">
        <f t="shared" si="0"/>
        <v>100</v>
      </c>
      <c r="T10" s="701" t="s">
        <v>14</v>
      </c>
      <c r="U10" s="702">
        <f t="shared" si="1"/>
        <v>100</v>
      </c>
      <c r="V10" s="701" t="s">
        <v>14</v>
      </c>
      <c r="W10" s="702">
        <f t="shared" si="2"/>
        <v>100</v>
      </c>
      <c r="X10" s="703"/>
      <c r="Y10" s="3653"/>
      <c r="Z10" s="3457" t="str">
        <f t="shared" si="7"/>
        <v>土地使用年限（年）</v>
      </c>
      <c r="AA10" s="704">
        <f t="shared" si="3"/>
        <v>1</v>
      </c>
      <c r="AB10" s="704">
        <f t="shared" si="4"/>
        <v>1</v>
      </c>
      <c r="AC10" s="704">
        <f t="shared" si="5"/>
        <v>1</v>
      </c>
    </row>
    <row r="11" spans="1:29" ht="15.75" hidden="1" thickBot="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0"/>
      <c r="M11" s="2715"/>
      <c r="N11" s="2715"/>
      <c r="O11" s="2715"/>
      <c r="P11" s="3701"/>
      <c r="Q11" s="3458" t="str">
        <f t="shared" si="6"/>
        <v>容积率</v>
      </c>
      <c r="R11" s="701" t="s">
        <v>14</v>
      </c>
      <c r="S11" s="702">
        <f t="shared" si="0"/>
        <v>100</v>
      </c>
      <c r="T11" s="701" t="s">
        <v>14</v>
      </c>
      <c r="U11" s="702">
        <f t="shared" si="1"/>
        <v>100</v>
      </c>
      <c r="V11" s="701" t="s">
        <v>14</v>
      </c>
      <c r="W11" s="702">
        <f t="shared" si="2"/>
        <v>100</v>
      </c>
      <c r="X11" s="703"/>
      <c r="Y11" s="3653"/>
      <c r="Z11" s="3457" t="str">
        <f t="shared" si="7"/>
        <v>容积率</v>
      </c>
      <c r="AA11" s="704">
        <f t="shared" si="3"/>
        <v>1</v>
      </c>
      <c r="AB11" s="704">
        <f t="shared" si="4"/>
        <v>1</v>
      </c>
      <c r="AC11" s="704">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3458">
        <f t="shared" si="6"/>
        <v>111</v>
      </c>
      <c r="R12" s="701" t="s">
        <v>14</v>
      </c>
      <c r="S12" s="702">
        <f t="shared" si="0"/>
        <v>100</v>
      </c>
      <c r="T12" s="701" t="s">
        <v>14</v>
      </c>
      <c r="U12" s="702">
        <f t="shared" si="1"/>
        <v>100</v>
      </c>
      <c r="V12" s="701" t="s">
        <v>14</v>
      </c>
      <c r="W12" s="702">
        <f t="shared" si="2"/>
        <v>100</v>
      </c>
      <c r="X12" s="703"/>
      <c r="Y12" s="3653"/>
      <c r="Z12" s="3457">
        <f t="shared" si="7"/>
        <v>111</v>
      </c>
      <c r="AA12" s="704">
        <f>D12/F12</f>
        <v>1</v>
      </c>
      <c r="AB12" s="704">
        <f>D12/H12</f>
        <v>1</v>
      </c>
      <c r="AC12" s="704">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3458">
        <f t="shared" si="6"/>
        <v>111</v>
      </c>
      <c r="R13" s="701" t="s">
        <v>14</v>
      </c>
      <c r="S13" s="702">
        <f t="shared" si="0"/>
        <v>100</v>
      </c>
      <c r="T13" s="701" t="s">
        <v>14</v>
      </c>
      <c r="U13" s="702">
        <f t="shared" si="1"/>
        <v>100</v>
      </c>
      <c r="V13" s="701" t="s">
        <v>14</v>
      </c>
      <c r="W13" s="702">
        <f t="shared" si="2"/>
        <v>100</v>
      </c>
      <c r="X13" s="703"/>
      <c r="Y13" s="3653"/>
      <c r="Z13" s="3457">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3458">
        <f t="shared" si="6"/>
        <v>111</v>
      </c>
      <c r="R14" s="701" t="s">
        <v>14</v>
      </c>
      <c r="S14" s="702">
        <f t="shared" si="0"/>
        <v>100</v>
      </c>
      <c r="T14" s="701" t="s">
        <v>14</v>
      </c>
      <c r="U14" s="702">
        <f t="shared" si="1"/>
        <v>100</v>
      </c>
      <c r="V14" s="701" t="s">
        <v>14</v>
      </c>
      <c r="W14" s="702">
        <f t="shared" si="2"/>
        <v>100</v>
      </c>
      <c r="X14" s="703"/>
      <c r="Y14" s="3653"/>
      <c r="Z14" s="3457">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15" t="s">
        <v>1691</v>
      </c>
      <c r="Q15" s="3459" t="str">
        <f t="shared" si="6"/>
        <v>商业繁华度</v>
      </c>
      <c r="R15" s="705" t="s">
        <v>14</v>
      </c>
      <c r="S15" s="706">
        <f t="shared" si="0"/>
        <v>100</v>
      </c>
      <c r="T15" s="705" t="s">
        <v>14</v>
      </c>
      <c r="U15" s="706">
        <f t="shared" si="1"/>
        <v>100</v>
      </c>
      <c r="V15" s="705" t="s">
        <v>14</v>
      </c>
      <c r="W15" s="706">
        <f t="shared" si="2"/>
        <v>100</v>
      </c>
      <c r="X15" s="3463"/>
      <c r="Y15" s="3717" t="s">
        <v>1691</v>
      </c>
      <c r="Z15" s="3462" t="str">
        <f t="shared" si="7"/>
        <v>商业繁华度</v>
      </c>
      <c r="AA15" s="3460">
        <f t="shared" si="3"/>
        <v>1</v>
      </c>
      <c r="AB15" s="3460">
        <f t="shared" si="4"/>
        <v>1</v>
      </c>
      <c r="AC15" s="3460">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716"/>
      <c r="Q16" s="3459"/>
      <c r="R16" s="705"/>
      <c r="S16" s="706"/>
      <c r="T16" s="705"/>
      <c r="U16" s="706"/>
      <c r="V16" s="705"/>
      <c r="W16" s="706"/>
      <c r="X16" s="3463"/>
      <c r="Y16" s="3718"/>
      <c r="Z16" s="3462"/>
      <c r="AA16" s="3460">
        <v>1</v>
      </c>
      <c r="AB16" s="3460">
        <v>1</v>
      </c>
      <c r="AC16" s="3460">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6"/>
      <c r="Q17" s="3459" t="str">
        <f>B17</f>
        <v>交通便捷度</v>
      </c>
      <c r="R17" s="705" t="s">
        <v>14</v>
      </c>
      <c r="S17" s="706">
        <f>F17</f>
        <v>100</v>
      </c>
      <c r="T17" s="705" t="s">
        <v>14</v>
      </c>
      <c r="U17" s="706">
        <f>H17</f>
        <v>100</v>
      </c>
      <c r="V17" s="705" t="s">
        <v>14</v>
      </c>
      <c r="W17" s="706">
        <f>J17</f>
        <v>100</v>
      </c>
      <c r="X17" s="3463"/>
      <c r="Y17" s="3718"/>
      <c r="Z17" s="3462" t="str">
        <f>Q17</f>
        <v>交通便捷度</v>
      </c>
      <c r="AA17" s="3460">
        <f t="shared" si="3"/>
        <v>1</v>
      </c>
      <c r="AB17" s="3460">
        <f t="shared" si="4"/>
        <v>1</v>
      </c>
      <c r="AC17" s="3460">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716"/>
      <c r="Q18" s="3459"/>
      <c r="R18" s="705"/>
      <c r="S18" s="706"/>
      <c r="T18" s="705"/>
      <c r="U18" s="706"/>
      <c r="V18" s="705"/>
      <c r="W18" s="706"/>
      <c r="X18" s="3463"/>
      <c r="Y18" s="3718"/>
      <c r="Z18" s="3462"/>
      <c r="AA18" s="3460">
        <v>1</v>
      </c>
      <c r="AB18" s="3460">
        <v>1</v>
      </c>
      <c r="AC18" s="3460">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6"/>
      <c r="Q19" s="3459" t="str">
        <f>B19</f>
        <v>公共配套设施</v>
      </c>
      <c r="R19" s="705" t="s">
        <v>14</v>
      </c>
      <c r="S19" s="706">
        <f>F19</f>
        <v>100</v>
      </c>
      <c r="T19" s="705" t="s">
        <v>14</v>
      </c>
      <c r="U19" s="706">
        <f>H19</f>
        <v>100</v>
      </c>
      <c r="V19" s="705" t="s">
        <v>14</v>
      </c>
      <c r="W19" s="706">
        <f>J19</f>
        <v>100</v>
      </c>
      <c r="X19" s="3463"/>
      <c r="Y19" s="3718"/>
      <c r="Z19" s="3462" t="str">
        <f>Q19</f>
        <v>公共配套设施</v>
      </c>
      <c r="AA19" s="3460">
        <f t="shared" si="3"/>
        <v>1</v>
      </c>
      <c r="AB19" s="3460">
        <f t="shared" si="4"/>
        <v>1</v>
      </c>
      <c r="AC19" s="3460">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716"/>
      <c r="Q20" s="3459"/>
      <c r="R20" s="705"/>
      <c r="S20" s="706"/>
      <c r="T20" s="705"/>
      <c r="U20" s="706"/>
      <c r="V20" s="705"/>
      <c r="W20" s="706"/>
      <c r="X20" s="3463"/>
      <c r="Y20" s="3718"/>
      <c r="Z20" s="3462"/>
      <c r="AA20" s="3460">
        <v>1</v>
      </c>
      <c r="AB20" s="3460">
        <v>1</v>
      </c>
      <c r="AC20" s="3460">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6"/>
      <c r="Q21" s="3459" t="str">
        <f>B21</f>
        <v>基础设施水平</v>
      </c>
      <c r="R21" s="705" t="s">
        <v>14</v>
      </c>
      <c r="S21" s="706">
        <f>F21</f>
        <v>100</v>
      </c>
      <c r="T21" s="705" t="s">
        <v>14</v>
      </c>
      <c r="U21" s="706">
        <f>H21</f>
        <v>100</v>
      </c>
      <c r="V21" s="705" t="s">
        <v>14</v>
      </c>
      <c r="W21" s="706">
        <f>J21</f>
        <v>100</v>
      </c>
      <c r="X21" s="3463"/>
      <c r="Y21" s="3718"/>
      <c r="Z21" s="3462" t="str">
        <f>Q21</f>
        <v>基础设施水平</v>
      </c>
      <c r="AA21" s="3460">
        <f t="shared" ref="AA21" si="8">D21/F21</f>
        <v>1</v>
      </c>
      <c r="AB21" s="3460">
        <f t="shared" ref="AB21" si="9">D21/H21</f>
        <v>1</v>
      </c>
      <c r="AC21" s="3460">
        <f t="shared" ref="AC21" si="10">D21/J21</f>
        <v>1</v>
      </c>
    </row>
    <row r="22" spans="1:29" ht="15">
      <c r="A22" s="379"/>
      <c r="B22" s="1131"/>
      <c r="C22" s="1900" t="s">
        <v>3444</v>
      </c>
      <c r="D22" s="399"/>
      <c r="E22" s="1900" t="s">
        <v>3444</v>
      </c>
      <c r="F22" s="400"/>
      <c r="G22" s="1900" t="s">
        <v>3444</v>
      </c>
      <c r="H22" s="399"/>
      <c r="I22" s="1900" t="s">
        <v>3444</v>
      </c>
      <c r="J22" s="399"/>
      <c r="K22" s="1130"/>
      <c r="L22" s="2721"/>
      <c r="M22" s="2715"/>
      <c r="N22" s="2715"/>
      <c r="O22" s="2715"/>
      <c r="P22" s="3716"/>
      <c r="Q22" s="3459"/>
      <c r="R22" s="705"/>
      <c r="S22" s="706"/>
      <c r="T22" s="705"/>
      <c r="U22" s="706"/>
      <c r="V22" s="705"/>
      <c r="W22" s="706"/>
      <c r="X22" s="3463"/>
      <c r="Y22" s="3718"/>
      <c r="Z22" s="3462"/>
      <c r="AA22" s="3460">
        <v>1</v>
      </c>
      <c r="AB22" s="3460">
        <v>1</v>
      </c>
      <c r="AC22" s="3460">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6"/>
      <c r="Q23" s="3459" t="str">
        <f>B23</f>
        <v>自然及人文环境</v>
      </c>
      <c r="R23" s="705" t="s">
        <v>14</v>
      </c>
      <c r="S23" s="706">
        <f>F23</f>
        <v>100</v>
      </c>
      <c r="T23" s="705" t="s">
        <v>14</v>
      </c>
      <c r="U23" s="706">
        <f>H23</f>
        <v>100</v>
      </c>
      <c r="V23" s="705" t="s">
        <v>14</v>
      </c>
      <c r="W23" s="706">
        <f>J23</f>
        <v>100</v>
      </c>
      <c r="X23" s="3463"/>
      <c r="Y23" s="3718"/>
      <c r="Z23" s="3462" t="str">
        <f>Q23</f>
        <v>自然及人文环境</v>
      </c>
      <c r="AA23" s="3460">
        <f t="shared" si="3"/>
        <v>1</v>
      </c>
      <c r="AB23" s="3460">
        <f t="shared" si="4"/>
        <v>1</v>
      </c>
      <c r="AC23" s="3460">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16"/>
      <c r="Q24" s="3459"/>
      <c r="R24" s="705"/>
      <c r="S24" s="706"/>
      <c r="T24" s="705"/>
      <c r="U24" s="706"/>
      <c r="V24" s="705"/>
      <c r="W24" s="706"/>
      <c r="X24" s="3463"/>
      <c r="Y24" s="3718"/>
      <c r="Z24" s="3462"/>
      <c r="AA24" s="3460">
        <v>1</v>
      </c>
      <c r="AB24" s="3460">
        <v>1</v>
      </c>
      <c r="AC24" s="3460">
        <v>1</v>
      </c>
    </row>
    <row r="25" spans="1:29" ht="15">
      <c r="A25" s="379"/>
      <c r="B25" s="375" t="s">
        <v>1780</v>
      </c>
      <c r="C25" s="565" t="s">
        <v>3411</v>
      </c>
      <c r="D25" s="386">
        <v>100</v>
      </c>
      <c r="E25" s="565" t="s">
        <v>3413</v>
      </c>
      <c r="F25" s="412">
        <f>SUMIF(86:86,E25,87:87)-SUMIF(86:86,C25,87:87)+100</f>
        <v>99</v>
      </c>
      <c r="G25" s="565" t="s">
        <v>3413</v>
      </c>
      <c r="H25" s="386">
        <f>SUMIF(86:86,G25,87:87)-SUMIF(86:86,C25,87:87)+100</f>
        <v>99</v>
      </c>
      <c r="I25" s="565" t="s">
        <v>3413</v>
      </c>
      <c r="J25" s="386">
        <f>SUMIF(86:86,I25,87:87)-SUMIF(86:86,C25,87:87)+100</f>
        <v>99</v>
      </c>
      <c r="K25" s="561">
        <v>1</v>
      </c>
      <c r="L25" s="2721"/>
      <c r="M25" s="2715"/>
      <c r="N25" s="2715"/>
      <c r="O25" s="2715"/>
      <c r="P25" s="3716"/>
      <c r="Q25" s="3459" t="str">
        <f t="shared" ref="Q25:Q46" si="11">B25</f>
        <v>临街状况</v>
      </c>
      <c r="R25" s="705" t="s">
        <v>14</v>
      </c>
      <c r="S25" s="706">
        <f>F25</f>
        <v>99</v>
      </c>
      <c r="T25" s="705" t="s">
        <v>14</v>
      </c>
      <c r="U25" s="706">
        <f>H25</f>
        <v>99</v>
      </c>
      <c r="V25" s="705" t="s">
        <v>14</v>
      </c>
      <c r="W25" s="706">
        <f>J25</f>
        <v>99</v>
      </c>
      <c r="X25" s="3463"/>
      <c r="Y25" s="3718"/>
      <c r="Z25" s="3462" t="str">
        <f>Q25</f>
        <v>临街状况</v>
      </c>
      <c r="AA25" s="3460">
        <f t="shared" si="3"/>
        <v>1.0101010101010102</v>
      </c>
      <c r="AB25" s="3460">
        <f t="shared" si="4"/>
        <v>1.0101010101010102</v>
      </c>
      <c r="AC25" s="3460">
        <f t="shared" si="5"/>
        <v>1.0101010101010102</v>
      </c>
    </row>
    <row r="26" spans="1:29" ht="15">
      <c r="A26" s="379"/>
      <c r="B26" s="1133" t="s">
        <v>1781</v>
      </c>
      <c r="C26" s="3456" t="s">
        <v>3418</v>
      </c>
      <c r="D26" s="386">
        <v>100</v>
      </c>
      <c r="E26" s="3456" t="s">
        <v>3418</v>
      </c>
      <c r="F26" s="412">
        <f>SUMIF(88:88,E26,89:89)-SUMIF(88:88,C26,89:89)+100</f>
        <v>100</v>
      </c>
      <c r="G26" s="3456" t="s">
        <v>3418</v>
      </c>
      <c r="H26" s="386">
        <f>SUMIF(88:88,G26,89:89)-SUMIF(88:88,C26,89:89)+100</f>
        <v>100</v>
      </c>
      <c r="I26" s="3456" t="s">
        <v>3418</v>
      </c>
      <c r="J26" s="386">
        <f>SUMIF(88:88,I26,89:89)-SUMIF(88:88,C26,89:89)+100</f>
        <v>100</v>
      </c>
      <c r="K26" s="562"/>
      <c r="L26" s="2721"/>
      <c r="M26" s="2715"/>
      <c r="N26" s="2715"/>
      <c r="O26" s="2715"/>
      <c r="P26" s="3716"/>
      <c r="Q26" s="3459" t="str">
        <f t="shared" si="11"/>
        <v>平面位置/可视性</v>
      </c>
      <c r="R26" s="705" t="s">
        <v>14</v>
      </c>
      <c r="S26" s="706">
        <f>F26</f>
        <v>100</v>
      </c>
      <c r="T26" s="705" t="s">
        <v>14</v>
      </c>
      <c r="U26" s="706">
        <f>H26</f>
        <v>100</v>
      </c>
      <c r="V26" s="705" t="s">
        <v>14</v>
      </c>
      <c r="W26" s="706">
        <f>J26</f>
        <v>100</v>
      </c>
      <c r="X26" s="3463"/>
      <c r="Y26" s="3718"/>
      <c r="Z26" s="3462" t="str">
        <f>Q26</f>
        <v>平面位置/可视性</v>
      </c>
      <c r="AA26" s="3460">
        <f t="shared" si="3"/>
        <v>1</v>
      </c>
      <c r="AB26" s="3460">
        <f t="shared" si="4"/>
        <v>1</v>
      </c>
      <c r="AC26" s="3460">
        <f t="shared" si="5"/>
        <v>1</v>
      </c>
    </row>
    <row r="27" spans="1:29" s="108" customFormat="1" ht="15">
      <c r="A27" s="382"/>
      <c r="B27" s="402" t="s">
        <v>1782</v>
      </c>
      <c r="C27" s="1955" t="s">
        <v>3397</v>
      </c>
      <c r="D27" s="413">
        <v>100</v>
      </c>
      <c r="E27" s="1955" t="s">
        <v>3397</v>
      </c>
      <c r="F27" s="415">
        <f>SUMIF(90:90,E27,91:91)-SUMIF(90:90,C27,91:91)+100</f>
        <v>100</v>
      </c>
      <c r="G27" s="1955" t="s">
        <v>3397</v>
      </c>
      <c r="H27" s="413">
        <f>SUMIF(90:90,G27,91:91)-SUMIF(90:90,C27,91:91)+100</f>
        <v>100</v>
      </c>
      <c r="I27" s="1955" t="s">
        <v>3397</v>
      </c>
      <c r="J27" s="413">
        <f>SUMIF(90:90,I27,91:91)-SUMIF(90:90,C27,91:91)+100</f>
        <v>100</v>
      </c>
      <c r="K27" s="561">
        <v>2</v>
      </c>
      <c r="L27" s="2716"/>
      <c r="M27" s="2717"/>
      <c r="N27" s="2717"/>
      <c r="O27" s="2717"/>
      <c r="P27" s="3716"/>
      <c r="Q27" s="3458" t="str">
        <f t="shared" si="11"/>
        <v>人流量</v>
      </c>
      <c r="R27" s="701" t="s">
        <v>14</v>
      </c>
      <c r="S27" s="702">
        <f>F27</f>
        <v>100</v>
      </c>
      <c r="T27" s="701" t="s">
        <v>14</v>
      </c>
      <c r="U27" s="702">
        <f>H27</f>
        <v>100</v>
      </c>
      <c r="V27" s="701" t="s">
        <v>14</v>
      </c>
      <c r="W27" s="702">
        <f>J27</f>
        <v>100</v>
      </c>
      <c r="X27" s="703"/>
      <c r="Y27" s="3718"/>
      <c r="Z27" s="3457" t="str">
        <f>Q27</f>
        <v>人流量</v>
      </c>
      <c r="AA27" s="3460">
        <f>D27/F27</f>
        <v>1</v>
      </c>
      <c r="AB27" s="3460">
        <f>D27/H27</f>
        <v>1</v>
      </c>
      <c r="AC27" s="3460">
        <f>D27/J27</f>
        <v>1</v>
      </c>
    </row>
    <row r="28" spans="1:29" ht="15.75" thickBot="1">
      <c r="A28" s="379"/>
      <c r="B28" s="375" t="s">
        <v>1783</v>
      </c>
      <c r="C28" s="565" t="s">
        <v>3436</v>
      </c>
      <c r="D28" s="386">
        <v>100</v>
      </c>
      <c r="E28" s="565" t="s">
        <v>3436</v>
      </c>
      <c r="F28" s="412">
        <f>SUMIF(92:92,E28,93:93)-SUMIF(92:92,C28,93:93)+100</f>
        <v>100</v>
      </c>
      <c r="G28" s="565" t="s">
        <v>3436</v>
      </c>
      <c r="H28" s="386">
        <f>SUMIF(92:92,G28,93:93)-SUMIF(92:92,C28,93:93)+100</f>
        <v>100</v>
      </c>
      <c r="I28" s="565" t="s">
        <v>3436</v>
      </c>
      <c r="J28" s="386">
        <f>SUMIF(92:92,I28,93:93)-SUMIF(92:92,C28,93:93)+100</f>
        <v>100</v>
      </c>
      <c r="K28" s="562"/>
      <c r="L28" s="2721"/>
      <c r="M28" s="2715"/>
      <c r="N28" s="2715"/>
      <c r="O28" s="2715"/>
      <c r="P28" s="3716"/>
      <c r="Q28" s="3459" t="str">
        <f t="shared" si="11"/>
        <v>楼层</v>
      </c>
      <c r="R28" s="705" t="s">
        <v>14</v>
      </c>
      <c r="S28" s="706">
        <f t="shared" ref="S28:S46" si="12">F28</f>
        <v>100</v>
      </c>
      <c r="T28" s="705" t="s">
        <v>14</v>
      </c>
      <c r="U28" s="706">
        <f t="shared" ref="U28:U46" si="13">H28</f>
        <v>100</v>
      </c>
      <c r="V28" s="705" t="s">
        <v>14</v>
      </c>
      <c r="W28" s="706">
        <f t="shared" ref="W28:W46" si="14">J28</f>
        <v>100</v>
      </c>
      <c r="X28" s="3463"/>
      <c r="Y28" s="3718"/>
      <c r="Z28" s="3462" t="str">
        <f t="shared" ref="Z28:Z46" si="15">Q28</f>
        <v>楼层</v>
      </c>
      <c r="AA28" s="3460">
        <f t="shared" si="3"/>
        <v>1</v>
      </c>
      <c r="AB28" s="3460">
        <f t="shared" si="4"/>
        <v>1</v>
      </c>
      <c r="AC28" s="3460">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3459">
        <f t="shared" si="11"/>
        <v>111</v>
      </c>
      <c r="R29" s="705" t="s">
        <v>14</v>
      </c>
      <c r="S29" s="706">
        <f t="shared" si="12"/>
        <v>100</v>
      </c>
      <c r="T29" s="705" t="s">
        <v>14</v>
      </c>
      <c r="U29" s="706">
        <f t="shared" si="13"/>
        <v>100</v>
      </c>
      <c r="V29" s="705" t="s">
        <v>14</v>
      </c>
      <c r="W29" s="706">
        <f t="shared" si="14"/>
        <v>100</v>
      </c>
      <c r="X29" s="3463"/>
      <c r="Y29" s="3718"/>
      <c r="Z29" s="3462">
        <f t="shared" si="15"/>
        <v>111</v>
      </c>
      <c r="AA29" s="3460">
        <f t="shared" si="3"/>
        <v>1</v>
      </c>
      <c r="AB29" s="3460">
        <f t="shared" si="4"/>
        <v>1</v>
      </c>
      <c r="AC29" s="3460">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3459">
        <f t="shared" si="11"/>
        <v>111</v>
      </c>
      <c r="R30" s="705" t="s">
        <v>14</v>
      </c>
      <c r="S30" s="706">
        <f t="shared" si="12"/>
        <v>100</v>
      </c>
      <c r="T30" s="705" t="s">
        <v>14</v>
      </c>
      <c r="U30" s="706">
        <f t="shared" si="13"/>
        <v>100</v>
      </c>
      <c r="V30" s="705" t="s">
        <v>14</v>
      </c>
      <c r="W30" s="706">
        <f t="shared" si="14"/>
        <v>100</v>
      </c>
      <c r="X30" s="3463"/>
      <c r="Y30" s="3718"/>
      <c r="Z30" s="3462">
        <f t="shared" si="15"/>
        <v>111</v>
      </c>
      <c r="AA30" s="3460">
        <f t="shared" si="3"/>
        <v>1</v>
      </c>
      <c r="AB30" s="3460">
        <f t="shared" si="4"/>
        <v>1</v>
      </c>
      <c r="AC30" s="3460">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3459">
        <f t="shared" si="11"/>
        <v>111</v>
      </c>
      <c r="R31" s="705" t="s">
        <v>14</v>
      </c>
      <c r="S31" s="706">
        <f t="shared" si="12"/>
        <v>100</v>
      </c>
      <c r="T31" s="705" t="s">
        <v>14</v>
      </c>
      <c r="U31" s="706">
        <f t="shared" si="13"/>
        <v>100</v>
      </c>
      <c r="V31" s="705" t="s">
        <v>14</v>
      </c>
      <c r="W31" s="706">
        <f t="shared" si="14"/>
        <v>100</v>
      </c>
      <c r="X31" s="3463"/>
      <c r="Y31" s="3718"/>
      <c r="Z31" s="3462">
        <f t="shared" si="15"/>
        <v>111</v>
      </c>
      <c r="AA31" s="3460">
        <f t="shared" si="3"/>
        <v>1</v>
      </c>
      <c r="AB31" s="3460">
        <f t="shared" si="4"/>
        <v>1</v>
      </c>
      <c r="AC31" s="3460">
        <f t="shared" si="5"/>
        <v>1</v>
      </c>
    </row>
    <row r="32" spans="1:29" ht="15">
      <c r="A32" s="391" t="s">
        <v>1694</v>
      </c>
      <c r="B32" s="63" t="s">
        <v>1784</v>
      </c>
      <c r="C32" s="1909" t="s">
        <v>3423</v>
      </c>
      <c r="D32" s="418">
        <v>100</v>
      </c>
      <c r="E32" s="1909" t="s">
        <v>3423</v>
      </c>
      <c r="F32" s="412">
        <f>SUMIF(100:100,E32,101:101)-SUMIF(100:100,C32,101:101)+100</f>
        <v>100</v>
      </c>
      <c r="G32" s="1909" t="s">
        <v>3423</v>
      </c>
      <c r="H32" s="386">
        <f>SUMIF(100:100,G32,101:101)-SUMIF(100:100,C32,101:101)+100</f>
        <v>100</v>
      </c>
      <c r="I32" s="1909" t="s">
        <v>3423</v>
      </c>
      <c r="J32" s="418">
        <f>SUMIF(100:100,I32,101:101)-SUMIF(100:100,C32,101:101)+100</f>
        <v>100</v>
      </c>
      <c r="K32" s="561"/>
      <c r="L32" s="2721"/>
      <c r="M32" s="2715"/>
      <c r="N32" s="2715"/>
      <c r="O32" s="2715"/>
      <c r="P32" s="3719" t="s">
        <v>1696</v>
      </c>
      <c r="Q32" s="3459" t="str">
        <f t="shared" si="11"/>
        <v>商业类型</v>
      </c>
      <c r="R32" s="705" t="s">
        <v>14</v>
      </c>
      <c r="S32" s="706">
        <f t="shared" si="12"/>
        <v>100</v>
      </c>
      <c r="T32" s="705" t="s">
        <v>14</v>
      </c>
      <c r="U32" s="706">
        <f t="shared" si="13"/>
        <v>100</v>
      </c>
      <c r="V32" s="705" t="s">
        <v>14</v>
      </c>
      <c r="W32" s="706">
        <f t="shared" si="14"/>
        <v>100</v>
      </c>
      <c r="X32" s="3463"/>
      <c r="Y32" s="3722" t="s">
        <v>1696</v>
      </c>
      <c r="Z32" s="3462" t="str">
        <f t="shared" si="15"/>
        <v>商业类型</v>
      </c>
      <c r="AA32" s="3460">
        <f t="shared" si="3"/>
        <v>1</v>
      </c>
      <c r="AB32" s="3460">
        <f t="shared" si="4"/>
        <v>1</v>
      </c>
      <c r="AC32" s="3460">
        <f t="shared" si="5"/>
        <v>1</v>
      </c>
    </row>
    <row r="33" spans="1:29" s="422" customFormat="1" ht="15">
      <c r="A33" s="419"/>
      <c r="B33" s="375" t="s">
        <v>1697</v>
      </c>
      <c r="C33" s="420" t="e">
        <f>'比较法-商业'!C33</f>
        <v>#REF!</v>
      </c>
      <c r="D33" s="127">
        <v>100</v>
      </c>
      <c r="E33" s="381">
        <v>1735</v>
      </c>
      <c r="F33" s="376" t="e">
        <f>LOOKUP(E33,103:103,104:104)-LOOKUP(C33,103:103,104:104)+100</f>
        <v>#REF!</v>
      </c>
      <c r="G33" s="380">
        <v>60</v>
      </c>
      <c r="H33" s="127" t="e">
        <f>LOOKUP(G33,103:103,104:104)-LOOKUP(C33,103:103,104:104)+100</f>
        <v>#REF!</v>
      </c>
      <c r="I33" s="380">
        <v>40</v>
      </c>
      <c r="J33" s="127" t="e">
        <f>LOOKUP(I33,103:103,104:104)-LOOKUP(C33,103:103,104:104)+100</f>
        <v>#REF!</v>
      </c>
      <c r="K33" s="562"/>
      <c r="L33" s="2720"/>
      <c r="M33" s="2722"/>
      <c r="N33" s="2722"/>
      <c r="O33" s="2722"/>
      <c r="P33" s="3720"/>
      <c r="Q33" s="707" t="str">
        <f t="shared" si="11"/>
        <v>项目建筑规模</v>
      </c>
      <c r="R33" s="708" t="s">
        <v>14</v>
      </c>
      <c r="S33" s="709" t="e">
        <f t="shared" si="12"/>
        <v>#REF!</v>
      </c>
      <c r="T33" s="708" t="s">
        <v>14</v>
      </c>
      <c r="U33" s="709" t="e">
        <f t="shared" si="13"/>
        <v>#REF!</v>
      </c>
      <c r="V33" s="708" t="s">
        <v>14</v>
      </c>
      <c r="W33" s="709" t="e">
        <f t="shared" si="14"/>
        <v>#REF!</v>
      </c>
      <c r="X33" s="710"/>
      <c r="Y33" s="3722"/>
      <c r="Z33" s="711" t="str">
        <f t="shared" si="15"/>
        <v>项目建筑规模</v>
      </c>
      <c r="AA33" s="3460" t="e">
        <f t="shared" si="3"/>
        <v>#REF!</v>
      </c>
      <c r="AB33" s="3460" t="e">
        <f t="shared" si="4"/>
        <v>#REF!</v>
      </c>
      <c r="AC33" s="3460" t="e">
        <f t="shared" si="5"/>
        <v>#REF!</v>
      </c>
    </row>
    <row r="34" spans="1:29" ht="15">
      <c r="A34" s="423"/>
      <c r="B34" s="375" t="s">
        <v>1698</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561">
        <v>2</v>
      </c>
      <c r="L34" s="2721"/>
      <c r="M34" s="2715"/>
      <c r="N34" s="2715"/>
      <c r="O34" s="2715"/>
      <c r="P34" s="3720"/>
      <c r="Q34" s="3459" t="str">
        <f t="shared" si="11"/>
        <v>建筑结构</v>
      </c>
      <c r="R34" s="705" t="s">
        <v>14</v>
      </c>
      <c r="S34" s="706">
        <f t="shared" si="12"/>
        <v>100</v>
      </c>
      <c r="T34" s="705" t="s">
        <v>14</v>
      </c>
      <c r="U34" s="706">
        <f t="shared" si="13"/>
        <v>100</v>
      </c>
      <c r="V34" s="705" t="s">
        <v>14</v>
      </c>
      <c r="W34" s="706">
        <f t="shared" si="14"/>
        <v>100</v>
      </c>
      <c r="X34" s="3463"/>
      <c r="Y34" s="3722"/>
      <c r="Z34" s="3462" t="str">
        <f t="shared" si="15"/>
        <v>建筑结构</v>
      </c>
      <c r="AA34" s="3460">
        <f t="shared" si="3"/>
        <v>1</v>
      </c>
      <c r="AB34" s="3460">
        <f t="shared" si="4"/>
        <v>1</v>
      </c>
      <c r="AC34" s="3460">
        <f t="shared" si="5"/>
        <v>1</v>
      </c>
    </row>
    <row r="35" spans="1:29" ht="15">
      <c r="A35" s="423"/>
      <c r="B35" s="375" t="s">
        <v>1785</v>
      </c>
      <c r="C35" s="1905" t="s">
        <v>3427</v>
      </c>
      <c r="D35" s="386">
        <v>100</v>
      </c>
      <c r="E35" s="1905" t="s">
        <v>3427</v>
      </c>
      <c r="F35" s="412">
        <f>SUMIF(107:107,E35,108:108)-SUMIF(107:107,C35,108:108)+100</f>
        <v>100</v>
      </c>
      <c r="G35" s="1905" t="s">
        <v>3427</v>
      </c>
      <c r="H35" s="386">
        <f>SUMIF(107:107,G35,108:108)-SUMIF(107:107,C35,108:108)+100</f>
        <v>100</v>
      </c>
      <c r="I35" s="1905" t="s">
        <v>3427</v>
      </c>
      <c r="J35" s="386">
        <f>SUMIF(107:107,I35,108:108)-SUMIF(107:107,C35,108:108)+100</f>
        <v>100</v>
      </c>
      <c r="K35" s="561">
        <v>2</v>
      </c>
      <c r="L35" s="2721"/>
      <c r="M35" s="2715"/>
      <c r="N35" s="2715"/>
      <c r="O35" s="2715"/>
      <c r="P35" s="3720"/>
      <c r="Q35" s="3459" t="str">
        <f t="shared" si="11"/>
        <v>公共部分装修</v>
      </c>
      <c r="R35" s="705" t="s">
        <v>14</v>
      </c>
      <c r="S35" s="706">
        <f t="shared" si="12"/>
        <v>100</v>
      </c>
      <c r="T35" s="705" t="s">
        <v>14</v>
      </c>
      <c r="U35" s="706">
        <f t="shared" si="13"/>
        <v>100</v>
      </c>
      <c r="V35" s="705" t="s">
        <v>14</v>
      </c>
      <c r="W35" s="706">
        <f t="shared" si="14"/>
        <v>100</v>
      </c>
      <c r="X35" s="3463"/>
      <c r="Y35" s="3722"/>
      <c r="Z35" s="3462" t="str">
        <f t="shared" si="15"/>
        <v>公共部分装修</v>
      </c>
      <c r="AA35" s="3460">
        <f t="shared" si="3"/>
        <v>1</v>
      </c>
      <c r="AB35" s="3460">
        <f t="shared" si="4"/>
        <v>1</v>
      </c>
      <c r="AC35" s="3460">
        <f t="shared" si="5"/>
        <v>1</v>
      </c>
    </row>
    <row r="36" spans="1:29" ht="15">
      <c r="A36" s="423"/>
      <c r="B36" s="375" t="s">
        <v>1786</v>
      </c>
      <c r="C36" s="425">
        <f>'数据-取费表'!N6</f>
        <v>0.7</v>
      </c>
      <c r="D36" s="386">
        <v>100</v>
      </c>
      <c r="E36" s="425">
        <v>0.8</v>
      </c>
      <c r="F36" s="412">
        <f>LOOKUP(E36,110:110,111:111)-LOOKUP(C36,110:110,111:111)+100</f>
        <v>101</v>
      </c>
      <c r="G36" s="425">
        <v>0.8</v>
      </c>
      <c r="H36" s="412">
        <f>LOOKUP(G36,110:110,111:111)-LOOKUP(C36,110:110,111:111)+100</f>
        <v>101</v>
      </c>
      <c r="I36" s="425">
        <v>0.8</v>
      </c>
      <c r="J36" s="386">
        <f>LOOKUP(I36,110:110,111:111)-LOOKUP(C36,110:110,111:111)+100</f>
        <v>101</v>
      </c>
      <c r="K36" s="561">
        <v>1</v>
      </c>
      <c r="L36" s="2721"/>
      <c r="M36" s="2715"/>
      <c r="N36" s="2715"/>
      <c r="O36" s="2715"/>
      <c r="P36" s="3720"/>
      <c r="Q36" s="3459" t="str">
        <f t="shared" si="11"/>
        <v>成新度</v>
      </c>
      <c r="R36" s="705" t="s">
        <v>14</v>
      </c>
      <c r="S36" s="706">
        <f t="shared" si="12"/>
        <v>101</v>
      </c>
      <c r="T36" s="705" t="s">
        <v>14</v>
      </c>
      <c r="U36" s="706">
        <f t="shared" si="13"/>
        <v>101</v>
      </c>
      <c r="V36" s="705" t="s">
        <v>14</v>
      </c>
      <c r="W36" s="706">
        <f t="shared" si="14"/>
        <v>101</v>
      </c>
      <c r="X36" s="3463"/>
      <c r="Y36" s="3722"/>
      <c r="Z36" s="3462" t="str">
        <f t="shared" si="15"/>
        <v>成新度</v>
      </c>
      <c r="AA36" s="3460">
        <f t="shared" si="3"/>
        <v>0.99009900990099009</v>
      </c>
      <c r="AB36" s="3460">
        <f t="shared" si="4"/>
        <v>0.99009900990099009</v>
      </c>
      <c r="AC36" s="3460">
        <f t="shared" si="5"/>
        <v>0.99009900990099009</v>
      </c>
    </row>
    <row r="37" spans="1:29" s="108" customFormat="1" ht="15">
      <c r="A37" s="424"/>
      <c r="B37" s="375" t="s">
        <v>1787</v>
      </c>
      <c r="C37" s="1905" t="s">
        <v>3431</v>
      </c>
      <c r="D37" s="127">
        <v>100</v>
      </c>
      <c r="E37" s="1905" t="s">
        <v>3407</v>
      </c>
      <c r="F37" s="412">
        <f>SUMIF(112:112,E37,113:113)-SUMIF(112:112,C37,113:113)+100</f>
        <v>99</v>
      </c>
      <c r="G37" s="1905" t="s">
        <v>3407</v>
      </c>
      <c r="H37" s="386">
        <f>SUMIF(112:112,G37,113:113)-SUMIF(112:112,C37,113:113)+100</f>
        <v>99</v>
      </c>
      <c r="I37" s="1905" t="s">
        <v>3407</v>
      </c>
      <c r="J37" s="386">
        <f>SUMIF(112:112,I37,113:113)-SUMIF(112:112,C37,113:113)+100</f>
        <v>99</v>
      </c>
      <c r="K37" s="561">
        <v>1</v>
      </c>
      <c r="L37" s="2716"/>
      <c r="M37" s="2717"/>
      <c r="N37" s="2717"/>
      <c r="O37" s="2717"/>
      <c r="P37" s="3720"/>
      <c r="Q37" s="3458" t="str">
        <f t="shared" si="11"/>
        <v>市政基础设施</v>
      </c>
      <c r="R37" s="701" t="s">
        <v>14</v>
      </c>
      <c r="S37" s="702">
        <f t="shared" si="12"/>
        <v>99</v>
      </c>
      <c r="T37" s="701" t="s">
        <v>14</v>
      </c>
      <c r="U37" s="702">
        <f t="shared" si="13"/>
        <v>99</v>
      </c>
      <c r="V37" s="701" t="s">
        <v>14</v>
      </c>
      <c r="W37" s="702">
        <f t="shared" si="14"/>
        <v>99</v>
      </c>
      <c r="X37" s="703"/>
      <c r="Y37" s="3722"/>
      <c r="Z37" s="3457" t="str">
        <f t="shared" si="15"/>
        <v>市政基础设施</v>
      </c>
      <c r="AA37" s="704">
        <f t="shared" si="3"/>
        <v>1.0101010101010102</v>
      </c>
      <c r="AB37" s="704">
        <f t="shared" si="4"/>
        <v>1.0101010101010102</v>
      </c>
      <c r="AC37" s="704">
        <f t="shared" si="5"/>
        <v>1.0101010101010102</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0" t="s">
        <v>1696</v>
      </c>
      <c r="Q38" s="3459" t="str">
        <f t="shared" si="11"/>
        <v>业态</v>
      </c>
      <c r="R38" s="705" t="s">
        <v>14</v>
      </c>
      <c r="S38" s="706">
        <f t="shared" si="12"/>
        <v>100</v>
      </c>
      <c r="T38" s="705" t="s">
        <v>14</v>
      </c>
      <c r="U38" s="706">
        <f t="shared" si="13"/>
        <v>100</v>
      </c>
      <c r="V38" s="705" t="s">
        <v>14</v>
      </c>
      <c r="W38" s="706">
        <f t="shared" si="14"/>
        <v>100</v>
      </c>
      <c r="X38" s="3463"/>
      <c r="Y38" s="3722" t="s">
        <v>1696</v>
      </c>
      <c r="Z38" s="3462" t="str">
        <f t="shared" si="15"/>
        <v>业态</v>
      </c>
      <c r="AA38" s="3460">
        <f t="shared" si="3"/>
        <v>1</v>
      </c>
      <c r="AB38" s="3460">
        <f t="shared" si="4"/>
        <v>1</v>
      </c>
      <c r="AC38" s="3460">
        <f t="shared" si="5"/>
        <v>1</v>
      </c>
    </row>
    <row r="39" spans="1:29" ht="15">
      <c r="A39" s="423"/>
      <c r="B39" s="375" t="s">
        <v>1789</v>
      </c>
      <c r="C39" s="1905" t="s">
        <v>3434</v>
      </c>
      <c r="D39" s="386">
        <v>100</v>
      </c>
      <c r="E39" s="1905" t="s">
        <v>3434</v>
      </c>
      <c r="F39" s="412">
        <f>SUMIF(116:116,E39,117:117)-SUMIF(116:116,C39,117:117)+100</f>
        <v>100</v>
      </c>
      <c r="G39" s="1905" t="s">
        <v>3434</v>
      </c>
      <c r="H39" s="386">
        <f>SUMIF(116:116,G39,117:117)-SUMIF(116:116,C39,117:117)+100</f>
        <v>100</v>
      </c>
      <c r="I39" s="1905" t="s">
        <v>3434</v>
      </c>
      <c r="J39" s="386">
        <f>SUMIF(116:116,I39,117:117)-SUMIF(116:116,C39,117:117)+100</f>
        <v>100</v>
      </c>
      <c r="K39" s="561">
        <v>2</v>
      </c>
      <c r="L39" s="2721"/>
      <c r="M39" s="2715"/>
      <c r="N39" s="2715"/>
      <c r="O39" s="2715"/>
      <c r="P39" s="3720"/>
      <c r="Q39" s="3459" t="str">
        <f t="shared" si="11"/>
        <v>层高</v>
      </c>
      <c r="R39" s="705" t="s">
        <v>14</v>
      </c>
      <c r="S39" s="706">
        <f t="shared" si="12"/>
        <v>100</v>
      </c>
      <c r="T39" s="705" t="s">
        <v>14</v>
      </c>
      <c r="U39" s="706">
        <f t="shared" si="13"/>
        <v>100</v>
      </c>
      <c r="V39" s="705" t="s">
        <v>14</v>
      </c>
      <c r="W39" s="706">
        <f t="shared" si="14"/>
        <v>100</v>
      </c>
      <c r="X39" s="3463"/>
      <c r="Y39" s="3722"/>
      <c r="Z39" s="3462" t="str">
        <f t="shared" si="15"/>
        <v>层高</v>
      </c>
      <c r="AA39" s="3460">
        <f t="shared" si="3"/>
        <v>1</v>
      </c>
      <c r="AB39" s="3460">
        <f t="shared" si="4"/>
        <v>1</v>
      </c>
      <c r="AC39" s="346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0"/>
      <c r="Q40" s="3459" t="str">
        <f t="shared" si="11"/>
        <v>单套建筑面积</v>
      </c>
      <c r="R40" s="705" t="s">
        <v>14</v>
      </c>
      <c r="S40" s="706">
        <f t="shared" si="12"/>
        <v>100</v>
      </c>
      <c r="T40" s="705" t="s">
        <v>14</v>
      </c>
      <c r="U40" s="706">
        <f t="shared" si="13"/>
        <v>100</v>
      </c>
      <c r="V40" s="705" t="s">
        <v>14</v>
      </c>
      <c r="W40" s="706">
        <f t="shared" si="14"/>
        <v>100</v>
      </c>
      <c r="X40" s="3463"/>
      <c r="Y40" s="3722"/>
      <c r="Z40" s="3462" t="str">
        <f t="shared" si="15"/>
        <v>单套建筑面积</v>
      </c>
      <c r="AA40" s="3460">
        <f t="shared" si="3"/>
        <v>1</v>
      </c>
      <c r="AB40" s="3460">
        <f t="shared" si="4"/>
        <v>1</v>
      </c>
      <c r="AC40" s="3460">
        <f t="shared" si="5"/>
        <v>1</v>
      </c>
    </row>
    <row r="41" spans="1:29" s="422" customFormat="1" ht="15">
      <c r="A41" s="419"/>
      <c r="B41" s="346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3460">
        <f t="shared" si="3"/>
        <v>1</v>
      </c>
      <c r="AB41" s="3460">
        <f t="shared" si="4"/>
        <v>1</v>
      </c>
      <c r="AC41" s="3460">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2</v>
      </c>
      <c r="L42" s="2721"/>
      <c r="M42" s="2715"/>
      <c r="N42" s="2715"/>
      <c r="O42" s="2715"/>
      <c r="P42" s="3720"/>
      <c r="Q42" s="3459" t="str">
        <f t="shared" si="11"/>
        <v>内部装修</v>
      </c>
      <c r="R42" s="705" t="s">
        <v>14</v>
      </c>
      <c r="S42" s="706">
        <f t="shared" si="12"/>
        <v>100</v>
      </c>
      <c r="T42" s="705" t="s">
        <v>14</v>
      </c>
      <c r="U42" s="706">
        <f t="shared" si="13"/>
        <v>100</v>
      </c>
      <c r="V42" s="705" t="s">
        <v>14</v>
      </c>
      <c r="W42" s="706">
        <f t="shared" si="14"/>
        <v>100</v>
      </c>
      <c r="X42" s="3463"/>
      <c r="Y42" s="3722"/>
      <c r="Z42" s="3462" t="str">
        <f t="shared" si="15"/>
        <v>内部装修</v>
      </c>
      <c r="AA42" s="3460">
        <f t="shared" si="3"/>
        <v>1</v>
      </c>
      <c r="AB42" s="3460">
        <f t="shared" si="4"/>
        <v>1</v>
      </c>
      <c r="AC42" s="3460">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0"/>
      <c r="Q43" s="3459" t="str">
        <f t="shared" si="11"/>
        <v>内部装修维护情况</v>
      </c>
      <c r="R43" s="705" t="s">
        <v>14</v>
      </c>
      <c r="S43" s="706">
        <f t="shared" si="12"/>
        <v>100</v>
      </c>
      <c r="T43" s="705" t="s">
        <v>14</v>
      </c>
      <c r="U43" s="706">
        <f t="shared" si="13"/>
        <v>100</v>
      </c>
      <c r="V43" s="705" t="s">
        <v>14</v>
      </c>
      <c r="W43" s="706">
        <f t="shared" si="14"/>
        <v>100</v>
      </c>
      <c r="X43" s="3463"/>
      <c r="Y43" s="3722"/>
      <c r="Z43" s="3462" t="str">
        <f t="shared" si="15"/>
        <v>内部装修维护情况</v>
      </c>
      <c r="AA43" s="3460">
        <f t="shared" si="3"/>
        <v>1</v>
      </c>
      <c r="AB43" s="3460">
        <f t="shared" si="4"/>
        <v>1</v>
      </c>
      <c r="AC43" s="346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3458">
        <f t="shared" si="11"/>
        <v>111</v>
      </c>
      <c r="R44" s="701" t="s">
        <v>14</v>
      </c>
      <c r="S44" s="702">
        <f t="shared" si="12"/>
        <v>100</v>
      </c>
      <c r="T44" s="701" t="s">
        <v>14</v>
      </c>
      <c r="U44" s="702">
        <f t="shared" si="13"/>
        <v>100</v>
      </c>
      <c r="V44" s="701" t="s">
        <v>14</v>
      </c>
      <c r="W44" s="702">
        <f t="shared" si="14"/>
        <v>100</v>
      </c>
      <c r="X44" s="703"/>
      <c r="Y44" s="3722"/>
      <c r="Z44" s="3457">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3459">
        <f t="shared" si="11"/>
        <v>111</v>
      </c>
      <c r="R45" s="705" t="s">
        <v>14</v>
      </c>
      <c r="S45" s="706">
        <f t="shared" si="12"/>
        <v>100</v>
      </c>
      <c r="T45" s="705" t="s">
        <v>14</v>
      </c>
      <c r="U45" s="706">
        <f t="shared" si="13"/>
        <v>100</v>
      </c>
      <c r="V45" s="705" t="s">
        <v>14</v>
      </c>
      <c r="W45" s="706">
        <f t="shared" si="14"/>
        <v>100</v>
      </c>
      <c r="X45" s="3463"/>
      <c r="Y45" s="3722"/>
      <c r="Z45" s="3462">
        <f t="shared" si="15"/>
        <v>111</v>
      </c>
      <c r="AA45" s="3460">
        <f t="shared" si="3"/>
        <v>1</v>
      </c>
      <c r="AB45" s="3460">
        <f t="shared" si="4"/>
        <v>1</v>
      </c>
      <c r="AC45" s="3460">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3459">
        <f t="shared" si="11"/>
        <v>111</v>
      </c>
      <c r="R46" s="705" t="s">
        <v>14</v>
      </c>
      <c r="S46" s="706">
        <f t="shared" si="12"/>
        <v>100</v>
      </c>
      <c r="T46" s="705" t="s">
        <v>14</v>
      </c>
      <c r="U46" s="706">
        <f t="shared" si="13"/>
        <v>100</v>
      </c>
      <c r="V46" s="705" t="s">
        <v>14</v>
      </c>
      <c r="W46" s="706">
        <f t="shared" si="14"/>
        <v>100</v>
      </c>
      <c r="X46" s="3463"/>
      <c r="Y46" s="3723"/>
      <c r="Z46" s="3462">
        <f t="shared" si="15"/>
        <v>111</v>
      </c>
      <c r="AA46" s="3460">
        <f t="shared" si="3"/>
        <v>1</v>
      </c>
      <c r="AB46" s="3460">
        <f t="shared" si="4"/>
        <v>1</v>
      </c>
      <c r="AC46" s="3460">
        <f t="shared" si="5"/>
        <v>1</v>
      </c>
    </row>
    <row r="47" spans="1:29" ht="15">
      <c r="A47" s="430" t="s">
        <v>1708</v>
      </c>
      <c r="B47" s="431"/>
      <c r="C47" s="1154" t="s">
        <v>0</v>
      </c>
      <c r="D47" s="1155"/>
      <c r="E47" s="1156">
        <v>3</v>
      </c>
      <c r="F47" s="1157"/>
      <c r="G47" s="1158">
        <v>2.78</v>
      </c>
      <c r="H47" s="1159"/>
      <c r="I47" s="1156">
        <v>2.5</v>
      </c>
      <c r="J47" s="1159"/>
      <c r="K47" s="714"/>
      <c r="L47" s="2723"/>
      <c r="M47" s="2724"/>
      <c r="N47" s="2715"/>
      <c r="O47" s="2724"/>
      <c r="P47" s="3724" t="str">
        <f>A47</f>
        <v>成交单价（元/平方米）</v>
      </c>
      <c r="Q47" s="3724"/>
      <c r="R47" s="3685">
        <f>E47</f>
        <v>3</v>
      </c>
      <c r="S47" s="3685"/>
      <c r="T47" s="3685">
        <f>G47</f>
        <v>2.78</v>
      </c>
      <c r="U47" s="3685"/>
      <c r="V47" s="3685">
        <f>I47</f>
        <v>2.5</v>
      </c>
      <c r="W47" s="3685"/>
      <c r="X47" s="690"/>
      <c r="Y47" s="712"/>
      <c r="Z47" s="690"/>
      <c r="AA47" s="690"/>
      <c r="AB47" s="690"/>
      <c r="AC47" s="690"/>
    </row>
    <row r="48" spans="1:29" ht="15.75" thickBot="1">
      <c r="A48" s="437" t="s">
        <v>1709</v>
      </c>
      <c r="B48" s="438"/>
      <c r="C48" s="1160" t="e">
        <f>R49</f>
        <v>#REF!</v>
      </c>
      <c r="D48" s="2316" t="s">
        <v>2138</v>
      </c>
      <c r="E48" s="1161" t="e">
        <f>R48</f>
        <v>#REF!</v>
      </c>
      <c r="F48" s="2317"/>
      <c r="G48" s="1160" t="e">
        <f>T48</f>
        <v>#REF!</v>
      </c>
      <c r="H48" s="2317"/>
      <c r="I48" s="1161" t="e">
        <f>V48</f>
        <v>#REF!</v>
      </c>
      <c r="J48" s="2317"/>
      <c r="K48" s="2319">
        <f>F48+H48+J48</f>
        <v>0</v>
      </c>
      <c r="L48" s="2723"/>
      <c r="M48" s="2724"/>
      <c r="N48" s="2715"/>
      <c r="O48" s="2724"/>
      <c r="P48" s="3724" t="str">
        <f>A48</f>
        <v>比较价值（元/平方米）</v>
      </c>
      <c r="Q48" s="3724"/>
      <c r="R48" s="3731" t="e">
        <f>IF(F1="售价",ROUND(PRODUCT(R47,AA7:AA46),2),ROUND(PRODUCT(R47,AA7:AA46),2))</f>
        <v>#REF!</v>
      </c>
      <c r="S48" s="3731"/>
      <c r="T48" s="3731" t="e">
        <f>IF(F1="售价",ROUND(PRODUCT(T47,AB7:AB46),2),ROUND(PRODUCT(T47,AB7:AB46),2))</f>
        <v>#REF!</v>
      </c>
      <c r="U48" s="3731"/>
      <c r="V48" s="3731" t="e">
        <f>IF(F1="售价",ROUND(PRODUCT(V47,AC7:AC46),2),ROUND(PRODUCT(V47,AC7:AC46),2))</f>
        <v>#REF!</v>
      </c>
      <c r="W48" s="3731"/>
      <c r="X48" s="690"/>
      <c r="Y48" s="690"/>
      <c r="Z48" s="690"/>
      <c r="AA48" s="690"/>
      <c r="AB48" s="690"/>
      <c r="AC48" s="690"/>
    </row>
    <row r="49" spans="1:29" ht="15.75" thickBot="1">
      <c r="A49" s="441" t="s">
        <v>1710</v>
      </c>
      <c r="B49" s="442"/>
      <c r="C49" s="1163" t="e">
        <f>R49</f>
        <v>#REF!</v>
      </c>
      <c r="D49" s="1163"/>
      <c r="E49" s="1163"/>
      <c r="F49" s="1163"/>
      <c r="G49" s="1163"/>
      <c r="H49" s="1163"/>
      <c r="I49" s="1163"/>
      <c r="J49" s="1163"/>
      <c r="K49" s="715"/>
      <c r="L49" s="2723"/>
      <c r="M49" s="2724"/>
      <c r="N49" s="2715"/>
      <c r="O49" s="2724"/>
      <c r="P49" s="3726" t="str">
        <f>A49</f>
        <v>估价对象XX用房的比较价值（楼面单价，元/平方米）</v>
      </c>
      <c r="Q49" s="3727"/>
      <c r="R49" s="3732" t="e">
        <f>IF(F1="售价",ROUND(IF(D48="简单平均",AVERAGE(R48:V48),R48*F48+T48*H48+V48*J48),2),ROUND(IF(D48="简单平均",AVERAGE(R48:V48),R48*F48+T48*H48+V48*J48),2))</f>
        <v>#REF!</v>
      </c>
      <c r="S49" s="3732"/>
      <c r="T49" s="3732"/>
      <c r="U49" s="3732"/>
      <c r="V49" s="3732"/>
      <c r="W49" s="373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7.9136690647482189E-2</v>
      </c>
      <c r="F54" s="449" t="str">
        <f>IF(OR(E54&gt;=0.3,E54&lt;=-0.3),"超过30%","")</f>
        <v/>
      </c>
      <c r="G54" s="448">
        <f>IF(G47&lt;I47,I47/G47-1,G47/I47-1)</f>
        <v>0.11199999999999988</v>
      </c>
      <c r="H54" s="449" t="str">
        <f>IF(OR(G54&gt;=0.3,G54&lt;=-0.3),"超过30%","")</f>
        <v/>
      </c>
      <c r="I54" s="448">
        <f>IF(I47&lt;E47,E47/I47-1,I47/E47-1)</f>
        <v>0.19999999999999996</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v>99.5</v>
      </c>
      <c r="F59" s="461">
        <v>99.5</v>
      </c>
      <c r="G59" s="461">
        <v>99.5</v>
      </c>
      <c r="H59" s="461">
        <v>99</v>
      </c>
      <c r="I59" s="461">
        <v>99</v>
      </c>
      <c r="J59" s="461">
        <v>99</v>
      </c>
      <c r="K59" s="461">
        <v>98.5</v>
      </c>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1（含）-1.5</v>
      </c>
      <c r="D67" s="496" t="str">
        <f t="shared" ref="D67:L67" si="17">D68&amp;"（含）"&amp;"-"&amp;E68</f>
        <v>1.5（含）-2</v>
      </c>
      <c r="E67" s="496" t="str">
        <f t="shared" si="17"/>
        <v>2（含）-2.5</v>
      </c>
      <c r="F67" s="496" t="str">
        <f t="shared" si="17"/>
        <v>2.5（含）-3</v>
      </c>
      <c r="G67" s="496" t="str">
        <f t="shared" si="17"/>
        <v>3（含）-3.5</v>
      </c>
      <c r="H67" s="496" t="str">
        <f t="shared" si="17"/>
        <v>3.5（含）-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1</v>
      </c>
      <c r="D68" s="498">
        <v>1.5</v>
      </c>
      <c r="E68" s="498">
        <v>2</v>
      </c>
      <c r="F68" s="498">
        <v>2.5</v>
      </c>
      <c r="G68" s="498">
        <v>3</v>
      </c>
      <c r="H68" s="498">
        <v>3.5</v>
      </c>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3409</v>
      </c>
      <c r="D86" s="3453" t="s">
        <v>3410</v>
      </c>
      <c r="E86" s="3453" t="s">
        <v>3412</v>
      </c>
      <c r="F86" s="3453" t="s">
        <v>3414</v>
      </c>
      <c r="G86" s="3453" t="s">
        <v>3416</v>
      </c>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3417</v>
      </c>
      <c r="D88" s="3453" t="s">
        <v>3418</v>
      </c>
      <c r="E88" s="3453" t="s">
        <v>3419</v>
      </c>
      <c r="F88" s="3454" t="s">
        <v>3420</v>
      </c>
      <c r="G88" s="3453" t="s">
        <v>3421</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98</v>
      </c>
      <c r="E89" s="485">
        <v>96</v>
      </c>
      <c r="F89" s="485">
        <v>94</v>
      </c>
      <c r="G89" s="485">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3" t="s">
        <v>3417</v>
      </c>
      <c r="D90" s="3453" t="s">
        <v>3418</v>
      </c>
      <c r="E90" s="3453" t="s">
        <v>3419</v>
      </c>
      <c r="F90" s="3454" t="s">
        <v>3420</v>
      </c>
      <c r="G90" s="3453"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5" t="s">
        <v>3424</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0(含)-500</v>
      </c>
      <c r="D102" s="527" t="str">
        <f t="shared" ref="D102:L102" si="23">D103&amp;"(含)"&amp;"-"&amp;E103</f>
        <v>500(含)-800</v>
      </c>
      <c r="E102" s="527" t="str">
        <f t="shared" si="23"/>
        <v>800(含)-1000</v>
      </c>
      <c r="F102" s="527" t="str">
        <f t="shared" si="23"/>
        <v>1000(含)-2000</v>
      </c>
      <c r="G102" s="527" t="str">
        <f t="shared" si="23"/>
        <v>2000(含)-4000</v>
      </c>
      <c r="H102" s="527" t="str">
        <f t="shared" si="23"/>
        <v>4000(含)-6000</v>
      </c>
      <c r="I102" s="527" t="str">
        <f t="shared" si="23"/>
        <v>6000(含)-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500</v>
      </c>
      <c r="E103" s="544">
        <v>800</v>
      </c>
      <c r="F103" s="544">
        <v>1000</v>
      </c>
      <c r="G103" s="544">
        <v>2000</v>
      </c>
      <c r="H103" s="544">
        <v>4000</v>
      </c>
      <c r="I103" s="544">
        <v>6000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102</v>
      </c>
      <c r="E104" s="485">
        <v>104</v>
      </c>
      <c r="F104" s="485">
        <v>102</v>
      </c>
      <c r="G104" s="485">
        <v>100</v>
      </c>
      <c r="H104" s="485">
        <v>98</v>
      </c>
      <c r="I104" s="485">
        <v>96</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3425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3426</v>
      </c>
      <c r="D107" s="3453" t="s">
        <v>3428</v>
      </c>
      <c r="E107" s="3453" t="s">
        <v>3429</v>
      </c>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3430</v>
      </c>
      <c r="D112" s="3453" t="s">
        <v>3432</v>
      </c>
      <c r="E112" s="3453" t="s">
        <v>3433</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3435</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3426</v>
      </c>
      <c r="D122" s="3453" t="s">
        <v>3428</v>
      </c>
      <c r="E122" s="3453"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xr:uid="{F1759E25-D829-48AB-8BBE-BE24BB80EA2C}">
      <formula1>"项目模式,单套模式"</formula1>
    </dataValidation>
    <dataValidation type="list" allowBlank="1" showInputMessage="1" showErrorMessage="1" sqref="D48" xr:uid="{6051DE11-BE75-4967-9A88-136FD37C85FF}">
      <formula1>"简单平均,加权平均"</formula1>
    </dataValidation>
    <dataValidation type="list" allowBlank="1" showInputMessage="1" showErrorMessage="1" sqref="F2" xr:uid="{0332584C-6865-4692-B16B-B29B3FA02358}">
      <formula1>估价方法</formula1>
    </dataValidation>
    <dataValidation type="list" allowBlank="1" showInputMessage="1" showErrorMessage="1" sqref="C2" xr:uid="{6A89696F-E8F8-4BDD-9A98-AD5A687EF5F4}">
      <formula1>"需扣减承租人权益,——"</formula1>
    </dataValidation>
    <dataValidation type="list" allowBlank="1" showInputMessage="1" showErrorMessage="1" sqref="F1" xr:uid="{791CCF42-DE60-47D6-B8CA-3A82F907122D}">
      <formula1>"售价,租金"</formula1>
    </dataValidation>
    <dataValidation type="list" allowBlank="1" showInputMessage="1" showErrorMessage="1" sqref="C22 E22 G22 I22" xr:uid="{5B27B6D0-FEBD-4BD0-8C55-A661F6565D91}">
      <formula1>基础设施水平</formula1>
    </dataValidation>
    <dataValidation type="list" allowBlank="1" showInputMessage="1" showErrorMessage="1" sqref="C16 E16 G16 I16" xr:uid="{72727C34-235B-4C95-AAD4-B91D36EDC7BD}">
      <formula1>商业繁华度</formula1>
    </dataValidation>
    <dataValidation type="list" allowBlank="1" showInputMessage="1" showErrorMessage="1" sqref="C8 E8 G8 I8" xr:uid="{8B5FDF0A-70D7-43C0-9D40-717217DC4118}">
      <formula1>商业交易情况</formula1>
    </dataValidation>
    <dataValidation type="list" allowBlank="1" showInputMessage="1" showErrorMessage="1" sqref="C39 E39 G39 I39" xr:uid="{03339DB1-3CA3-49A1-98A4-17D07E94AEF5}">
      <formula1>商业层高</formula1>
    </dataValidation>
    <dataValidation type="list" allowBlank="1" showInputMessage="1" showErrorMessage="1" sqref="C38 E38 G38 I38" xr:uid="{AA52AB3F-B639-4CF6-96EA-A2D5BB67B5B9}">
      <formula1>商业业态</formula1>
    </dataValidation>
    <dataValidation type="list" allowBlank="1" showInputMessage="1" showErrorMessage="1" sqref="E9 G9 I9" xr:uid="{049C3245-F378-41EB-880E-BB5517976E8A}">
      <formula1>商业用途</formula1>
    </dataValidation>
    <dataValidation type="list" allowBlank="1" showInputMessage="1" showErrorMessage="1" sqref="C42 E42 G42 I42" xr:uid="{5F9709D8-8010-46D7-9223-5DF94B0F384F}">
      <formula1>商业内部装修</formula1>
    </dataValidation>
    <dataValidation type="list" allowBlank="1" showInputMessage="1" showErrorMessage="1" sqref="C41 E41 G41 I41" xr:uid="{90B69BEE-D565-476B-8CAD-59C5B859990F}">
      <formula1>商业进深比</formula1>
    </dataValidation>
    <dataValidation type="list" allowBlank="1" showInputMessage="1" showErrorMessage="1" sqref="C37 E37 G37 I37" xr:uid="{448B5071-6CF0-4A10-9E8E-BB284FD7F2F2}">
      <formula1>商业基础设施水平</formula1>
    </dataValidation>
    <dataValidation type="list" allowBlank="1" showInputMessage="1" showErrorMessage="1" sqref="C35 E35 G35 I35" xr:uid="{569CB3EC-0150-43D4-B6A2-F960F76D422F}">
      <formula1>商业公共部分装修</formula1>
    </dataValidation>
    <dataValidation type="list" allowBlank="1" showInputMessage="1" showErrorMessage="1" sqref="C34 E34 G34 I34" xr:uid="{A3E28B77-4766-4F9D-BCBA-EFC7AD1E1DAA}">
      <formula1>商业建筑结构</formula1>
    </dataValidation>
    <dataValidation type="list" allowBlank="1" showInputMessage="1" showErrorMessage="1" sqref="C32 E32 G32 I32" xr:uid="{088AD1EE-AACC-4128-80CF-0F6FE9AC33F4}">
      <formula1>商业类型</formula1>
    </dataValidation>
    <dataValidation type="list" allowBlank="1" showInputMessage="1" showErrorMessage="1" sqref="C28 E28 G28 I28" xr:uid="{15DB323A-1D8B-4358-8AA0-3564043F0A24}">
      <formula1>商业楼层</formula1>
    </dataValidation>
    <dataValidation type="list" allowBlank="1" showInputMessage="1" showErrorMessage="1" sqref="C27 E27 G27 I27" xr:uid="{3411AF82-BBE1-4691-8299-9AD3C6C957A5}">
      <formula1>商业人流量</formula1>
    </dataValidation>
    <dataValidation type="list" allowBlank="1" showInputMessage="1" showErrorMessage="1" sqref="C25 E25 G25 I25" xr:uid="{410C6395-443E-43DA-BA5B-E820FD8B0325}">
      <formula1>商业临街状况</formula1>
    </dataValidation>
    <dataValidation type="list" allowBlank="1" showInputMessage="1" showErrorMessage="1" sqref="E24 G24 I24 C24" xr:uid="{093F5953-7163-4A47-9B22-EAD9424F1BCD}">
      <formula1>环境</formula1>
    </dataValidation>
    <dataValidation type="list" allowBlank="1" showInputMessage="1" showErrorMessage="1" sqref="E18 G18 I18 C18" xr:uid="{B703F170-C055-4722-93A7-59A9CE02C9A9}">
      <formula1>交通便捷度</formula1>
    </dataValidation>
    <dataValidation type="list" allowBlank="1" showInputMessage="1" showErrorMessage="1" sqref="E20 I20 G20 C20" xr:uid="{14C09C3A-386C-4D51-B649-4F9A72CB03D2}">
      <formula1>公共配套设施</formula1>
    </dataValidation>
    <dataValidation type="list" allowBlank="1" showInputMessage="1" showErrorMessage="1" sqref="C43 E43 G43 I43" xr:uid="{F6BC7BDE-D8DD-46CF-BC72-B82E7CE79916}">
      <formula1>内部装修维护情况</formula1>
    </dataValidation>
    <dataValidation type="list" allowBlank="1" showInputMessage="1" showErrorMessage="1" sqref="D1" xr:uid="{0D966957-F66F-437E-AE03-4C843DC1B3E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J148"/>
  <sheetViews>
    <sheetView view="pageBreakPreview" topLeftCell="A32" zoomScale="80" zoomScaleNormal="60" zoomScaleSheetLayoutView="80" workbookViewId="0">
      <selection activeCell="H48" sqref="H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2" style="1915" customWidth="1"/>
    <col min="17" max="53" width="12" style="357" customWidth="1"/>
    <col min="54" max="16384" width="9" style="357"/>
  </cols>
  <sheetData>
    <row r="1" spans="1:29" s="1232" customFormat="1" ht="28.5" customHeight="1" thickBot="1">
      <c r="A1" s="1221" t="s">
        <v>1660</v>
      </c>
      <c r="B1" s="1877" t="s">
        <v>1661</v>
      </c>
      <c r="C1" s="1237" t="s">
        <v>1662</v>
      </c>
      <c r="D1" s="1224" t="s">
        <v>3445</v>
      </c>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41592</v>
      </c>
      <c r="C3" s="354" t="s">
        <v>1665</v>
      </c>
      <c r="D3" s="353">
        <f>IF(D1="",'数据-汇总表'!E3,SUMIF('数据-汇总表'!$C19:$C33,D1,'数据-汇总表'!$E19:$E33))</f>
        <v>489.2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2" t="s">
        <v>1667</v>
      </c>
      <c r="D4" s="3703"/>
      <c r="E4" s="3704" t="s">
        <v>1668</v>
      </c>
      <c r="F4" s="3705"/>
      <c r="G4" s="3702" t="s">
        <v>1669</v>
      </c>
      <c r="H4" s="3703"/>
      <c r="I4" s="3702" t="s">
        <v>1670</v>
      </c>
      <c r="J4" s="3703"/>
      <c r="K4" s="1888" t="s">
        <v>1671</v>
      </c>
      <c r="L4" s="2714"/>
      <c r="M4" s="2715"/>
      <c r="N4" s="2715"/>
      <c r="O4" s="2715"/>
      <c r="P4" s="3706" t="s">
        <v>1672</v>
      </c>
      <c r="Q4" s="3707"/>
      <c r="R4" s="3688" t="s">
        <v>1668</v>
      </c>
      <c r="S4" s="3689"/>
      <c r="T4" s="3688" t="s">
        <v>1669</v>
      </c>
      <c r="U4" s="3689"/>
      <c r="V4" s="3685" t="s">
        <v>1670</v>
      </c>
      <c r="W4" s="3685"/>
      <c r="X4" s="1354"/>
      <c r="Y4" s="3688" t="s">
        <v>1672</v>
      </c>
      <c r="Z4" s="3689"/>
      <c r="AA4" s="3682" t="s">
        <v>1668</v>
      </c>
      <c r="AB4" s="3682" t="s">
        <v>1669</v>
      </c>
      <c r="AC4" s="3682" t="s">
        <v>1670</v>
      </c>
    </row>
    <row r="5" spans="1:29" ht="15">
      <c r="A5" s="358"/>
      <c r="B5" s="359"/>
      <c r="C5" s="3694" t="s">
        <v>3514</v>
      </c>
      <c r="D5" s="3695"/>
      <c r="E5" s="3692" t="str">
        <f>成交!B2</f>
        <v>波特兰花园</v>
      </c>
      <c r="F5" s="3693"/>
      <c r="G5" s="3698" t="str">
        <f>成交!B3</f>
        <v>东方太阳城</v>
      </c>
      <c r="H5" s="3695"/>
      <c r="I5" s="3698" t="str">
        <f>成交!B4</f>
        <v>毓秀园</v>
      </c>
      <c r="J5" s="3695"/>
      <c r="K5" s="1889"/>
      <c r="L5" s="2714"/>
      <c r="M5" s="2715"/>
      <c r="N5" s="2715"/>
      <c r="O5" s="2715"/>
      <c r="P5" s="3708"/>
      <c r="Q5" s="3709"/>
      <c r="R5" s="3690"/>
      <c r="S5" s="3691"/>
      <c r="T5" s="3690"/>
      <c r="U5" s="3691"/>
      <c r="V5" s="3685"/>
      <c r="W5" s="3685"/>
      <c r="X5" s="1354"/>
      <c r="Y5" s="3690"/>
      <c r="Z5" s="3691"/>
      <c r="AA5" s="3683"/>
      <c r="AB5" s="3683"/>
      <c r="AC5" s="3683"/>
    </row>
    <row r="6" spans="1:29" ht="15.75" thickBot="1">
      <c r="A6" s="360"/>
      <c r="B6" s="361"/>
      <c r="C6" s="3696" t="s">
        <v>1677</v>
      </c>
      <c r="D6" s="3697"/>
      <c r="E6" s="3699" t="s">
        <v>1677</v>
      </c>
      <c r="F6" s="3700"/>
      <c r="G6" s="3696" t="s">
        <v>1677</v>
      </c>
      <c r="H6" s="3697"/>
      <c r="I6" s="3696" t="s">
        <v>1677</v>
      </c>
      <c r="J6" s="3697"/>
      <c r="K6" s="1889" t="s">
        <v>1678</v>
      </c>
      <c r="L6" s="2714"/>
      <c r="M6" s="2715"/>
      <c r="N6" s="2715"/>
      <c r="O6" s="2715"/>
      <c r="P6" s="3710"/>
      <c r="Q6" s="3711"/>
      <c r="R6" s="3690"/>
      <c r="S6" s="3691"/>
      <c r="T6" s="3712"/>
      <c r="U6" s="3713"/>
      <c r="V6" s="3685"/>
      <c r="W6" s="3685"/>
      <c r="X6" s="1354"/>
      <c r="Y6" s="3712"/>
      <c r="Z6" s="3713"/>
      <c r="AA6" s="3684"/>
      <c r="AB6" s="3684"/>
      <c r="AC6" s="3684"/>
    </row>
    <row r="7" spans="1:29" s="108" customFormat="1" ht="15.75" thickBot="1">
      <c r="A7" s="362" t="s">
        <v>1679</v>
      </c>
      <c r="B7" s="363"/>
      <c r="C7" s="364">
        <f>'数据-取费表'!B2</f>
        <v>45183</v>
      </c>
      <c r="D7" s="365">
        <v>100</v>
      </c>
      <c r="E7" s="366">
        <v>45125</v>
      </c>
      <c r="F7" s="367">
        <f>SUMIF(58:58,YEAR(E7)&amp;"-"&amp;MONTH(E7),59:59)</f>
        <v>100</v>
      </c>
      <c r="G7" s="366">
        <v>44825</v>
      </c>
      <c r="H7" s="365">
        <f>SUMIF(58:58,YEAR(G7)&amp;"-"&amp;MONTH(G7),59:59)</f>
        <v>98</v>
      </c>
      <c r="I7" s="366">
        <f>成交!L4</f>
        <v>44969</v>
      </c>
      <c r="J7" s="365">
        <f>SUMIF(58:58,YEAR(I7)&amp;"-"&amp;MONTH(I7),59:59)</f>
        <v>99</v>
      </c>
      <c r="K7" s="1890"/>
      <c r="L7" s="2716"/>
      <c r="M7" s="2717"/>
      <c r="N7" s="2717"/>
      <c r="O7" s="2717"/>
      <c r="P7" s="3686" t="s">
        <v>1680</v>
      </c>
      <c r="Q7" s="3714"/>
      <c r="R7" s="701" t="s">
        <v>20</v>
      </c>
      <c r="S7" s="702">
        <f t="shared" ref="S7:S15" si="0">F7</f>
        <v>100</v>
      </c>
      <c r="T7" s="701" t="s">
        <v>20</v>
      </c>
      <c r="U7" s="702">
        <f t="shared" ref="U7:U15" si="1">H7</f>
        <v>98</v>
      </c>
      <c r="V7" s="701" t="s">
        <v>20</v>
      </c>
      <c r="W7" s="702">
        <f t="shared" ref="W7:W15" si="2">J7</f>
        <v>99</v>
      </c>
      <c r="X7" s="703"/>
      <c r="Y7" s="3686" t="s">
        <v>1680</v>
      </c>
      <c r="Z7" s="3687"/>
      <c r="AA7" s="704">
        <f>D7/F7</f>
        <v>1</v>
      </c>
      <c r="AB7" s="704">
        <f>D7/H7</f>
        <v>1.0204081632653061</v>
      </c>
      <c r="AC7" s="704">
        <f>D7/J7</f>
        <v>1.0101010101010102</v>
      </c>
    </row>
    <row r="8" spans="1:29" s="108" customFormat="1" ht="15.75" thickBot="1">
      <c r="A8" s="362" t="s">
        <v>1681</v>
      </c>
      <c r="B8" s="363"/>
      <c r="C8" s="368" t="s">
        <v>3405</v>
      </c>
      <c r="D8" s="365">
        <v>100</v>
      </c>
      <c r="E8" s="1891" t="s">
        <v>3405</v>
      </c>
      <c r="F8" s="367">
        <f>SUMIF(61:61,E8,62:62)-SUMIF(61:61,C8,62:62)+100</f>
        <v>100</v>
      </c>
      <c r="G8" s="368" t="s">
        <v>3405</v>
      </c>
      <c r="H8" s="365">
        <f>SUMIF(61:61,G8,62:62)-SUMIF(61:61,C8,62:62)+100</f>
        <v>100</v>
      </c>
      <c r="I8" s="1891" t="s">
        <v>3405</v>
      </c>
      <c r="J8" s="365">
        <f>SUMIF(61:61,I8,62:62)-SUMIF(61:61,C8,62:62)+100</f>
        <v>100</v>
      </c>
      <c r="K8" s="1890"/>
      <c r="L8" s="2716"/>
      <c r="M8" s="2717"/>
      <c r="N8" s="2717"/>
      <c r="O8" s="2717"/>
      <c r="P8" s="3686" t="s">
        <v>1683</v>
      </c>
      <c r="Q8" s="3687"/>
      <c r="R8" s="701" t="s">
        <v>20</v>
      </c>
      <c r="S8" s="702">
        <f t="shared" si="0"/>
        <v>100</v>
      </c>
      <c r="T8" s="701" t="s">
        <v>20</v>
      </c>
      <c r="U8" s="702">
        <f t="shared" si="1"/>
        <v>100</v>
      </c>
      <c r="V8" s="701" t="s">
        <v>20</v>
      </c>
      <c r="W8" s="702">
        <f t="shared" si="2"/>
        <v>100</v>
      </c>
      <c r="X8" s="703"/>
      <c r="Y8" s="3686" t="s">
        <v>1683</v>
      </c>
      <c r="Z8" s="3687"/>
      <c r="AA8" s="704">
        <f t="shared" ref="AA8:AA19" si="3">D8/F8</f>
        <v>1</v>
      </c>
      <c r="AB8" s="704">
        <f t="shared" ref="AB8:AB19" si="4">D8/H8</f>
        <v>1</v>
      </c>
      <c r="AC8" s="704">
        <f t="shared" ref="AC8:AC19" si="5">D8/J8</f>
        <v>1</v>
      </c>
    </row>
    <row r="9" spans="1:29" s="108" customFormat="1" ht="15" thickBot="1">
      <c r="A9" s="369" t="s">
        <v>1684</v>
      </c>
      <c r="B9" s="63" t="s">
        <v>1685</v>
      </c>
      <c r="C9" s="3452" t="s">
        <v>3492</v>
      </c>
      <c r="D9" s="126">
        <v>100</v>
      </c>
      <c r="E9" s="371" t="s">
        <v>3445</v>
      </c>
      <c r="F9" s="372">
        <f>SUMIF(63:63,E9,64:64)-SUMIF(63:63,C9,64:64)+100</f>
        <v>100</v>
      </c>
      <c r="G9" s="371" t="s">
        <v>3445</v>
      </c>
      <c r="H9" s="126">
        <f>SUMIF(63:63,G9,64:64)-SUMIF(63:63,C9,64:64)+100</f>
        <v>100</v>
      </c>
      <c r="I9" s="371" t="s">
        <v>3445</v>
      </c>
      <c r="J9" s="126">
        <f>SUMIF(63:63,I9,64:64)-SUMIF(63:63,C9,64:64)+100</f>
        <v>100</v>
      </c>
      <c r="K9" s="1890"/>
      <c r="L9" s="2716"/>
      <c r="M9" s="2717"/>
      <c r="N9" s="2717"/>
      <c r="O9" s="2717"/>
      <c r="P9" s="3701"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701"/>
      <c r="Q11" s="1342" t="str">
        <f t="shared" si="6"/>
        <v>容积率</v>
      </c>
      <c r="R11" s="701" t="s">
        <v>18</v>
      </c>
      <c r="S11" s="702">
        <f t="shared" si="0"/>
        <v>100</v>
      </c>
      <c r="T11" s="701" t="s">
        <v>18</v>
      </c>
      <c r="U11" s="702">
        <f t="shared" si="1"/>
        <v>100</v>
      </c>
      <c r="V11" s="701" t="s">
        <v>18</v>
      </c>
      <c r="W11" s="702">
        <f t="shared" si="2"/>
        <v>100</v>
      </c>
      <c r="X11" s="703"/>
      <c r="Y11" s="3653"/>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1" t="s">
        <v>18</v>
      </c>
      <c r="S12" s="702">
        <f t="shared" si="0"/>
        <v>100</v>
      </c>
      <c r="T12" s="701" t="s">
        <v>18</v>
      </c>
      <c r="U12" s="702">
        <f t="shared" si="1"/>
        <v>100</v>
      </c>
      <c r="V12" s="701" t="s">
        <v>18</v>
      </c>
      <c r="W12" s="702">
        <f t="shared" si="2"/>
        <v>100</v>
      </c>
      <c r="X12" s="703"/>
      <c r="Y12" s="3653"/>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1" t="s">
        <v>18</v>
      </c>
      <c r="S13" s="702">
        <f t="shared" si="0"/>
        <v>100</v>
      </c>
      <c r="T13" s="701" t="s">
        <v>18</v>
      </c>
      <c r="U13" s="702">
        <f t="shared" si="1"/>
        <v>100</v>
      </c>
      <c r="V13" s="701" t="s">
        <v>18</v>
      </c>
      <c r="W13" s="702">
        <f t="shared" si="2"/>
        <v>100</v>
      </c>
      <c r="X13" s="703"/>
      <c r="Y13" s="3653"/>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1" t="s">
        <v>18</v>
      </c>
      <c r="S14" s="702">
        <f t="shared" si="0"/>
        <v>100</v>
      </c>
      <c r="T14" s="701" t="s">
        <v>18</v>
      </c>
      <c r="U14" s="702">
        <f t="shared" si="1"/>
        <v>100</v>
      </c>
      <c r="V14" s="701" t="s">
        <v>18</v>
      </c>
      <c r="W14" s="702">
        <f t="shared" si="2"/>
        <v>100</v>
      </c>
      <c r="X14" s="703"/>
      <c r="Y14" s="365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15" t="s">
        <v>1691</v>
      </c>
      <c r="Q15" s="1351" t="str">
        <f t="shared" si="6"/>
        <v>居住社区成熟度</v>
      </c>
      <c r="R15" s="705" t="s">
        <v>18</v>
      </c>
      <c r="S15" s="706">
        <f t="shared" si="0"/>
        <v>100</v>
      </c>
      <c r="T15" s="705" t="s">
        <v>18</v>
      </c>
      <c r="U15" s="706">
        <f t="shared" si="1"/>
        <v>100</v>
      </c>
      <c r="V15" s="705" t="s">
        <v>18</v>
      </c>
      <c r="W15" s="706">
        <f t="shared" si="2"/>
        <v>100</v>
      </c>
      <c r="X15" s="1354"/>
      <c r="Y15" s="3717" t="s">
        <v>1691</v>
      </c>
      <c r="Z15" s="1355" t="str">
        <f t="shared" si="7"/>
        <v>居住社区成熟度</v>
      </c>
      <c r="AA15" s="1352">
        <f t="shared" si="3"/>
        <v>1</v>
      </c>
      <c r="AB15" s="1352">
        <f t="shared" si="4"/>
        <v>1</v>
      </c>
      <c r="AC15" s="1352">
        <f t="shared" si="5"/>
        <v>1</v>
      </c>
    </row>
    <row r="16" spans="1:29" ht="15">
      <c r="A16" s="379"/>
      <c r="B16" s="397"/>
      <c r="C16" s="398" t="s">
        <v>3408</v>
      </c>
      <c r="D16" s="399"/>
      <c r="E16" s="398" t="s">
        <v>3408</v>
      </c>
      <c r="F16" s="399"/>
      <c r="G16" s="398" t="s">
        <v>3408</v>
      </c>
      <c r="H16" s="401"/>
      <c r="I16" s="398" t="s">
        <v>3408</v>
      </c>
      <c r="J16" s="399"/>
      <c r="K16" s="1898"/>
      <c r="L16" s="2721"/>
      <c r="M16" s="2715"/>
      <c r="N16" s="2715"/>
      <c r="O16" s="2715"/>
      <c r="P16" s="3716"/>
      <c r="Q16" s="1351"/>
      <c r="R16" s="705"/>
      <c r="S16" s="706"/>
      <c r="T16" s="705"/>
      <c r="U16" s="706"/>
      <c r="V16" s="705"/>
      <c r="W16" s="706"/>
      <c r="X16" s="1354"/>
      <c r="Y16" s="371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16"/>
      <c r="Q17" s="1351" t="str">
        <f>B17</f>
        <v>交通便捷度</v>
      </c>
      <c r="R17" s="705" t="s">
        <v>18</v>
      </c>
      <c r="S17" s="706">
        <f>F17</f>
        <v>100</v>
      </c>
      <c r="T17" s="705" t="s">
        <v>18</v>
      </c>
      <c r="U17" s="706">
        <f>H17</f>
        <v>100</v>
      </c>
      <c r="V17" s="705" t="s">
        <v>18</v>
      </c>
      <c r="W17" s="706">
        <f>J17</f>
        <v>100</v>
      </c>
      <c r="X17" s="1354"/>
      <c r="Y17" s="3718"/>
      <c r="Z17" s="1355" t="str">
        <f>Q17</f>
        <v>交通便捷度</v>
      </c>
      <c r="AA17" s="1352">
        <f t="shared" si="3"/>
        <v>1</v>
      </c>
      <c r="AB17" s="1352">
        <f t="shared" si="4"/>
        <v>1</v>
      </c>
      <c r="AC17" s="1352">
        <f t="shared" si="5"/>
        <v>1</v>
      </c>
    </row>
    <row r="18" spans="1:29" ht="15">
      <c r="A18" s="379"/>
      <c r="B18" s="407"/>
      <c r="C18" s="1900" t="s">
        <v>3408</v>
      </c>
      <c r="D18" s="401"/>
      <c r="E18" s="1901" t="s">
        <v>3408</v>
      </c>
      <c r="F18" s="401"/>
      <c r="G18" s="3493" t="s">
        <v>3408</v>
      </c>
      <c r="H18" s="399"/>
      <c r="I18" s="1901" t="s">
        <v>3408</v>
      </c>
      <c r="J18" s="399"/>
      <c r="K18" s="1898"/>
      <c r="L18" s="2721"/>
      <c r="M18" s="2715"/>
      <c r="N18" s="2715"/>
      <c r="O18" s="2715"/>
      <c r="P18" s="3716"/>
      <c r="Q18" s="1351"/>
      <c r="R18" s="705"/>
      <c r="S18" s="706"/>
      <c r="T18" s="705"/>
      <c r="U18" s="706"/>
      <c r="V18" s="705"/>
      <c r="W18" s="706"/>
      <c r="X18" s="1354"/>
      <c r="Y18" s="371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16"/>
      <c r="Q19" s="1351" t="str">
        <f>B19</f>
        <v>公共配套设施</v>
      </c>
      <c r="R19" s="705" t="s">
        <v>18</v>
      </c>
      <c r="S19" s="706">
        <f>F19</f>
        <v>100</v>
      </c>
      <c r="T19" s="705" t="s">
        <v>18</v>
      </c>
      <c r="U19" s="706">
        <f>H19</f>
        <v>100</v>
      </c>
      <c r="V19" s="705" t="s">
        <v>18</v>
      </c>
      <c r="W19" s="706">
        <f>J19</f>
        <v>100</v>
      </c>
      <c r="X19" s="1354"/>
      <c r="Y19" s="3718"/>
      <c r="Z19" s="1355" t="str">
        <f>Q19</f>
        <v>公共配套设施</v>
      </c>
      <c r="AA19" s="1352">
        <f t="shared" si="3"/>
        <v>1</v>
      </c>
      <c r="AB19" s="1352">
        <f t="shared" si="4"/>
        <v>1</v>
      </c>
      <c r="AC19" s="1352">
        <f t="shared" si="5"/>
        <v>1</v>
      </c>
    </row>
    <row r="20" spans="1:29" ht="15">
      <c r="A20" s="379"/>
      <c r="B20" s="407"/>
      <c r="C20" s="398" t="s">
        <v>3408</v>
      </c>
      <c r="D20" s="399"/>
      <c r="E20" s="1896" t="s">
        <v>3408</v>
      </c>
      <c r="F20" s="399"/>
      <c r="G20" s="1897" t="s">
        <v>3408</v>
      </c>
      <c r="H20" s="399"/>
      <c r="I20" s="1897" t="s">
        <v>3408</v>
      </c>
      <c r="J20" s="399"/>
      <c r="K20" s="1898"/>
      <c r="L20" s="2721"/>
      <c r="M20" s="2715"/>
      <c r="N20" s="2715"/>
      <c r="O20" s="2715"/>
      <c r="P20" s="3716"/>
      <c r="Q20" s="1351"/>
      <c r="R20" s="705"/>
      <c r="S20" s="706"/>
      <c r="T20" s="705"/>
      <c r="U20" s="706"/>
      <c r="V20" s="705"/>
      <c r="W20" s="706"/>
      <c r="X20" s="1354"/>
      <c r="Y20" s="371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1"/>
      <c r="C22" s="1900" t="s">
        <v>3444</v>
      </c>
      <c r="D22" s="399"/>
      <c r="E22" s="1900" t="s">
        <v>3444</v>
      </c>
      <c r="F22" s="399"/>
      <c r="G22" s="1900" t="s">
        <v>3444</v>
      </c>
      <c r="H22" s="399"/>
      <c r="I22" s="1900" t="s">
        <v>3444</v>
      </c>
      <c r="J22" s="399"/>
      <c r="K22" s="1904"/>
      <c r="L22" s="2721"/>
      <c r="M22" s="2715"/>
      <c r="N22" s="2715"/>
      <c r="O22" s="2715"/>
      <c r="P22" s="3716"/>
      <c r="Q22" s="1351"/>
      <c r="R22" s="705"/>
      <c r="S22" s="706"/>
      <c r="T22" s="705"/>
      <c r="U22" s="706"/>
      <c r="V22" s="705"/>
      <c r="W22" s="706"/>
      <c r="X22" s="1354"/>
      <c r="Y22" s="371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16"/>
      <c r="Q23" s="1351" t="str">
        <f>B23</f>
        <v>自然及人文环境</v>
      </c>
      <c r="R23" s="705" t="s">
        <v>18</v>
      </c>
      <c r="S23" s="706">
        <f>F23</f>
        <v>100</v>
      </c>
      <c r="T23" s="705" t="s">
        <v>18</v>
      </c>
      <c r="U23" s="706">
        <f>H23</f>
        <v>100</v>
      </c>
      <c r="V23" s="705" t="s">
        <v>18</v>
      </c>
      <c r="W23" s="706">
        <f>J23</f>
        <v>100</v>
      </c>
      <c r="X23" s="1354"/>
      <c r="Y23" s="3718"/>
      <c r="Z23" s="1355" t="str">
        <f>Q23</f>
        <v>自然及人文环境</v>
      </c>
      <c r="AA23" s="1352">
        <f>D23/F23</f>
        <v>1</v>
      </c>
      <c r="AB23" s="1352">
        <f>D23/H23</f>
        <v>1</v>
      </c>
      <c r="AC23" s="1352">
        <f>D23/J23</f>
        <v>1</v>
      </c>
    </row>
    <row r="24" spans="1:29" ht="15">
      <c r="A24" s="379"/>
      <c r="B24" s="407"/>
      <c r="C24" s="398" t="s">
        <v>3408</v>
      </c>
      <c r="D24" s="399"/>
      <c r="E24" s="398" t="s">
        <v>3408</v>
      </c>
      <c r="F24" s="399"/>
      <c r="G24" s="398" t="s">
        <v>3408</v>
      </c>
      <c r="H24" s="399"/>
      <c r="I24" s="398" t="s">
        <v>3408</v>
      </c>
      <c r="J24" s="399"/>
      <c r="K24" s="1898"/>
      <c r="L24" s="2721"/>
      <c r="M24" s="2715"/>
      <c r="N24" s="2715"/>
      <c r="O24" s="2715"/>
      <c r="P24" s="3716"/>
      <c r="Q24" s="1351"/>
      <c r="R24" s="705"/>
      <c r="S24" s="706"/>
      <c r="T24" s="705"/>
      <c r="U24" s="706"/>
      <c r="V24" s="705"/>
      <c r="W24" s="706"/>
      <c r="X24" s="1354"/>
      <c r="Y24" s="3718"/>
      <c r="Z24" s="1355"/>
      <c r="AA24" s="1352">
        <v>1</v>
      </c>
      <c r="AB24" s="1352">
        <v>1</v>
      </c>
      <c r="AC24" s="1352">
        <v>1</v>
      </c>
    </row>
    <row r="25" spans="1:29" ht="15" hidden="1">
      <c r="A25" s="379"/>
      <c r="B25" s="375" t="s">
        <v>1692</v>
      </c>
      <c r="C25" s="3487"/>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8"/>
      <c r="Z25" s="1355" t="str">
        <f>Q25</f>
        <v>楼层-1</v>
      </c>
      <c r="AA25" s="1352">
        <f t="shared" ref="AA25:AA46" si="15">D25/F25</f>
        <v>1</v>
      </c>
      <c r="AB25" s="1352">
        <f t="shared" ref="AB25:AB46" si="16">D25/H25</f>
        <v>1</v>
      </c>
      <c r="AC25" s="1352">
        <f t="shared" ref="AC25:AC46" si="17">D25/J25</f>
        <v>1</v>
      </c>
    </row>
    <row r="26" spans="1:29" ht="15" hidden="1">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6"/>
      <c r="Q26" s="1351" t="str">
        <f t="shared" si="11"/>
        <v>朝向</v>
      </c>
      <c r="R26" s="705" t="s">
        <v>18</v>
      </c>
      <c r="S26" s="706">
        <f t="shared" si="12"/>
        <v>100</v>
      </c>
      <c r="T26" s="705" t="s">
        <v>18</v>
      </c>
      <c r="U26" s="706">
        <f t="shared" si="13"/>
        <v>100</v>
      </c>
      <c r="V26" s="705" t="s">
        <v>18</v>
      </c>
      <c r="W26" s="706">
        <f t="shared" si="14"/>
        <v>100</v>
      </c>
      <c r="X26" s="1354"/>
      <c r="Y26" s="3718"/>
      <c r="Z26" s="1355" t="str">
        <f>Q26</f>
        <v>朝向</v>
      </c>
      <c r="AA26" s="1352">
        <f t="shared" si="15"/>
        <v>1</v>
      </c>
      <c r="AB26" s="1352">
        <f t="shared" si="16"/>
        <v>1</v>
      </c>
      <c r="AC26" s="1352">
        <f t="shared" si="17"/>
        <v>1</v>
      </c>
    </row>
    <row r="27" spans="1:29" s="108" customFormat="1" ht="15.75" thickBot="1">
      <c r="A27" s="382"/>
      <c r="B27" s="3488" t="s">
        <v>3493</v>
      </c>
      <c r="C27" s="416" t="s">
        <v>3496</v>
      </c>
      <c r="D27" s="413">
        <v>100</v>
      </c>
      <c r="E27" s="416" t="s">
        <v>3496</v>
      </c>
      <c r="F27" s="413">
        <f>SUMIF(90:90,E27,91:91)-SUMIF(90:90,C27,91:91)+100</f>
        <v>100</v>
      </c>
      <c r="G27" s="414" t="s">
        <v>3496</v>
      </c>
      <c r="H27" s="413">
        <f>SUMIF(90:90,G27,91:91)-SUMIF(90:90,C27,91:91)+100</f>
        <v>100</v>
      </c>
      <c r="I27" s="414" t="s">
        <v>3494</v>
      </c>
      <c r="J27" s="413">
        <f>SUMIF(90:90,I27,91:91)-SUMIF(90:90,C27,91:91)+100</f>
        <v>105</v>
      </c>
      <c r="K27" s="1893"/>
      <c r="L27" s="2716"/>
      <c r="M27" s="2717"/>
      <c r="N27" s="2717"/>
      <c r="O27" s="2717"/>
      <c r="P27" s="3716"/>
      <c r="Q27" s="1342" t="str">
        <f t="shared" si="11"/>
        <v>楼层</v>
      </c>
      <c r="R27" s="701" t="s">
        <v>18</v>
      </c>
      <c r="S27" s="702">
        <f t="shared" si="12"/>
        <v>100</v>
      </c>
      <c r="T27" s="701" t="s">
        <v>18</v>
      </c>
      <c r="U27" s="702">
        <f t="shared" si="13"/>
        <v>100</v>
      </c>
      <c r="V27" s="701" t="s">
        <v>18</v>
      </c>
      <c r="W27" s="702">
        <f t="shared" si="14"/>
        <v>105</v>
      </c>
      <c r="X27" s="703"/>
      <c r="Y27" s="3718"/>
      <c r="Z27" s="52" t="str">
        <f>Q27</f>
        <v>楼层</v>
      </c>
      <c r="AA27" s="1352">
        <f t="shared" si="15"/>
        <v>1</v>
      </c>
      <c r="AB27" s="1352">
        <f t="shared" si="16"/>
        <v>1</v>
      </c>
      <c r="AC27" s="1352">
        <f t="shared" si="17"/>
        <v>0.95238095238095233</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6"/>
      <c r="Q28" s="1351">
        <f t="shared" si="11"/>
        <v>111</v>
      </c>
      <c r="R28" s="705" t="s">
        <v>18</v>
      </c>
      <c r="S28" s="706">
        <f t="shared" si="12"/>
        <v>100</v>
      </c>
      <c r="T28" s="705" t="s">
        <v>18</v>
      </c>
      <c r="U28" s="706">
        <f t="shared" si="13"/>
        <v>100</v>
      </c>
      <c r="V28" s="705" t="s">
        <v>18</v>
      </c>
      <c r="W28" s="706">
        <f t="shared" si="14"/>
        <v>100</v>
      </c>
      <c r="X28" s="1354"/>
      <c r="Y28" s="3718"/>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6"/>
      <c r="Q29" s="1351">
        <f t="shared" si="11"/>
        <v>111</v>
      </c>
      <c r="R29" s="705" t="s">
        <v>18</v>
      </c>
      <c r="S29" s="706">
        <f t="shared" si="12"/>
        <v>100</v>
      </c>
      <c r="T29" s="705" t="s">
        <v>18</v>
      </c>
      <c r="U29" s="706">
        <f t="shared" si="13"/>
        <v>100</v>
      </c>
      <c r="V29" s="705" t="s">
        <v>18</v>
      </c>
      <c r="W29" s="706">
        <f t="shared" si="14"/>
        <v>100</v>
      </c>
      <c r="X29" s="1354"/>
      <c r="Y29" s="3718"/>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6"/>
      <c r="Q30" s="1351">
        <f t="shared" si="11"/>
        <v>111</v>
      </c>
      <c r="R30" s="705" t="s">
        <v>18</v>
      </c>
      <c r="S30" s="706">
        <f t="shared" si="12"/>
        <v>100</v>
      </c>
      <c r="T30" s="705" t="s">
        <v>18</v>
      </c>
      <c r="U30" s="706">
        <f t="shared" si="13"/>
        <v>100</v>
      </c>
      <c r="V30" s="705" t="s">
        <v>18</v>
      </c>
      <c r="W30" s="706">
        <f t="shared" si="14"/>
        <v>100</v>
      </c>
      <c r="X30" s="1354"/>
      <c r="Y30" s="3718"/>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6"/>
      <c r="Q31" s="1351">
        <f t="shared" si="11"/>
        <v>111</v>
      </c>
      <c r="R31" s="705" t="s">
        <v>18</v>
      </c>
      <c r="S31" s="706">
        <f t="shared" si="12"/>
        <v>100</v>
      </c>
      <c r="T31" s="705" t="s">
        <v>18</v>
      </c>
      <c r="U31" s="706">
        <f t="shared" si="13"/>
        <v>100</v>
      </c>
      <c r="V31" s="705" t="s">
        <v>18</v>
      </c>
      <c r="W31" s="706">
        <f t="shared" si="14"/>
        <v>100</v>
      </c>
      <c r="X31" s="1354"/>
      <c r="Y31" s="3718"/>
      <c r="Z31" s="1355">
        <f t="shared" si="18"/>
        <v>111</v>
      </c>
      <c r="AA31" s="1352">
        <f t="shared" si="15"/>
        <v>1</v>
      </c>
      <c r="AB31" s="1352">
        <f t="shared" si="16"/>
        <v>1</v>
      </c>
      <c r="AC31" s="1352">
        <f t="shared" si="17"/>
        <v>1</v>
      </c>
    </row>
    <row r="32" spans="1:29" ht="15">
      <c r="A32" s="391" t="s">
        <v>1694</v>
      </c>
      <c r="B32" s="63" t="s">
        <v>1695</v>
      </c>
      <c r="C32" s="1909" t="s">
        <v>3481</v>
      </c>
      <c r="D32" s="418">
        <v>100</v>
      </c>
      <c r="E32" s="1910" t="s">
        <v>3481</v>
      </c>
      <c r="F32" s="412">
        <f>SUMIF(100:100,E32,101:101)-SUMIF(100:100,C32,101:101)+100</f>
        <v>100</v>
      </c>
      <c r="G32" s="1909" t="s">
        <v>3481</v>
      </c>
      <c r="H32" s="418">
        <f>SUMIF(100:100,G32,101:101)-SUMIF(100:100,C32,101:101)+100</f>
        <v>100</v>
      </c>
      <c r="I32" s="1910" t="s">
        <v>3481</v>
      </c>
      <c r="J32" s="386">
        <f>SUMIF(100:100,I32,101:101)-SUMIF(100:100,C32,101:101)+100</f>
        <v>100</v>
      </c>
      <c r="K32" s="377">
        <v>5</v>
      </c>
      <c r="L32" s="2721"/>
      <c r="M32" s="2715"/>
      <c r="N32" s="2715"/>
      <c r="O32" s="2715"/>
      <c r="P32" s="3719" t="s">
        <v>1696</v>
      </c>
      <c r="Q32" s="1351" t="str">
        <f t="shared" si="11"/>
        <v>建筑类型</v>
      </c>
      <c r="R32" s="705" t="s">
        <v>18</v>
      </c>
      <c r="S32" s="706">
        <f t="shared" si="12"/>
        <v>100</v>
      </c>
      <c r="T32" s="705" t="s">
        <v>18</v>
      </c>
      <c r="U32" s="706">
        <f t="shared" si="13"/>
        <v>100</v>
      </c>
      <c r="V32" s="705" t="s">
        <v>18</v>
      </c>
      <c r="W32" s="706">
        <f t="shared" si="14"/>
        <v>100</v>
      </c>
      <c r="X32" s="1354"/>
      <c r="Y32" s="3722" t="s">
        <v>1696</v>
      </c>
      <c r="Z32" s="1355" t="str">
        <f t="shared" si="18"/>
        <v>建筑类型</v>
      </c>
      <c r="AA32" s="1352">
        <f t="shared" si="15"/>
        <v>1</v>
      </c>
      <c r="AB32" s="1352">
        <f t="shared" si="16"/>
        <v>1</v>
      </c>
      <c r="AC32" s="1352">
        <f t="shared" si="17"/>
        <v>1</v>
      </c>
    </row>
    <row r="33" spans="1:29" s="422" customFormat="1" ht="15">
      <c r="A33" s="419"/>
      <c r="B33" s="375" t="s">
        <v>1697</v>
      </c>
      <c r="C33" s="420">
        <f>'数据-汇总表'!E19</f>
        <v>489.2</v>
      </c>
      <c r="D33" s="127">
        <v>100</v>
      </c>
      <c r="E33" s="381">
        <v>426</v>
      </c>
      <c r="F33" s="376">
        <f>LOOKUP(E33,103:103,104:104)-LOOKUP(C33,103:103,104:104)+100</f>
        <v>100</v>
      </c>
      <c r="G33" s="380">
        <v>491</v>
      </c>
      <c r="H33" s="127">
        <f>LOOKUP(G33,103:103,104:104)-LOOKUP(C33,103:103,104:104)+100</f>
        <v>100</v>
      </c>
      <c r="I33" s="381">
        <f>成交!D4</f>
        <v>226.4</v>
      </c>
      <c r="J33" s="127">
        <f>LOOKUP(I33,103:103,104:104)-LOOKUP(C33,103:103,104:104)+100</f>
        <v>102</v>
      </c>
      <c r="K33" s="1893"/>
      <c r="L33" s="2720"/>
      <c r="M33" s="2722"/>
      <c r="N33" s="2722"/>
      <c r="O33" s="2722"/>
      <c r="P33" s="3720"/>
      <c r="Q33" s="707" t="str">
        <f t="shared" si="11"/>
        <v>项目建筑规模</v>
      </c>
      <c r="R33" s="708" t="s">
        <v>18</v>
      </c>
      <c r="S33" s="709">
        <f t="shared" si="12"/>
        <v>100</v>
      </c>
      <c r="T33" s="708" t="s">
        <v>18</v>
      </c>
      <c r="U33" s="709">
        <f t="shared" si="13"/>
        <v>100</v>
      </c>
      <c r="V33" s="708" t="s">
        <v>18</v>
      </c>
      <c r="W33" s="709">
        <f t="shared" si="14"/>
        <v>102</v>
      </c>
      <c r="X33" s="710"/>
      <c r="Y33" s="3722"/>
      <c r="Z33" s="711" t="str">
        <f t="shared" si="18"/>
        <v>项目建筑规模</v>
      </c>
      <c r="AA33" s="1352">
        <f t="shared" si="15"/>
        <v>1</v>
      </c>
      <c r="AB33" s="1352">
        <f t="shared" si="16"/>
        <v>1</v>
      </c>
      <c r="AC33" s="1352">
        <f t="shared" si="17"/>
        <v>0.98039215686274506</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0"/>
      <c r="Q34" s="1351" t="str">
        <f t="shared" si="11"/>
        <v>建筑结构</v>
      </c>
      <c r="R34" s="705" t="s">
        <v>18</v>
      </c>
      <c r="S34" s="706">
        <f t="shared" si="12"/>
        <v>100</v>
      </c>
      <c r="T34" s="705" t="s">
        <v>18</v>
      </c>
      <c r="U34" s="706">
        <f t="shared" si="13"/>
        <v>100</v>
      </c>
      <c r="V34" s="705" t="s">
        <v>18</v>
      </c>
      <c r="W34" s="706">
        <f t="shared" si="14"/>
        <v>100</v>
      </c>
      <c r="X34" s="1354"/>
      <c r="Y34" s="372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0"/>
      <c r="Q35" s="1351" t="str">
        <f t="shared" si="11"/>
        <v>建筑品质</v>
      </c>
      <c r="R35" s="705" t="s">
        <v>18</v>
      </c>
      <c r="S35" s="706">
        <f t="shared" si="12"/>
        <v>100</v>
      </c>
      <c r="T35" s="705" t="s">
        <v>18</v>
      </c>
      <c r="U35" s="706">
        <f t="shared" si="13"/>
        <v>100</v>
      </c>
      <c r="V35" s="705" t="s">
        <v>18</v>
      </c>
      <c r="W35" s="706">
        <f t="shared" si="14"/>
        <v>100</v>
      </c>
      <c r="X35" s="1354"/>
      <c r="Y35" s="372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0"/>
      <c r="Q36" s="1351" t="str">
        <f t="shared" si="11"/>
        <v>公共部分装修</v>
      </c>
      <c r="R36" s="705" t="s">
        <v>18</v>
      </c>
      <c r="S36" s="706">
        <f t="shared" si="12"/>
        <v>100</v>
      </c>
      <c r="T36" s="705" t="s">
        <v>18</v>
      </c>
      <c r="U36" s="706">
        <f t="shared" si="13"/>
        <v>100</v>
      </c>
      <c r="V36" s="705" t="s">
        <v>18</v>
      </c>
      <c r="W36" s="706">
        <f t="shared" si="14"/>
        <v>100</v>
      </c>
      <c r="X36" s="1354"/>
      <c r="Y36" s="3722"/>
      <c r="Z36" s="1355" t="str">
        <f t="shared" si="18"/>
        <v>公共部分装修</v>
      </c>
      <c r="AA36" s="1352">
        <f t="shared" si="15"/>
        <v>1</v>
      </c>
      <c r="AB36" s="1352">
        <f t="shared" si="16"/>
        <v>1</v>
      </c>
      <c r="AC36" s="1352">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6"/>
      <c r="M37" s="2717"/>
      <c r="N37" s="2717"/>
      <c r="O37" s="2717"/>
      <c r="P37" s="3720"/>
      <c r="Q37" s="1342" t="str">
        <f t="shared" si="11"/>
        <v>成新度</v>
      </c>
      <c r="R37" s="701" t="s">
        <v>18</v>
      </c>
      <c r="S37" s="702">
        <f t="shared" si="12"/>
        <v>100</v>
      </c>
      <c r="T37" s="701" t="s">
        <v>18</v>
      </c>
      <c r="U37" s="702">
        <f t="shared" si="13"/>
        <v>100</v>
      </c>
      <c r="V37" s="701" t="s">
        <v>18</v>
      </c>
      <c r="W37" s="702">
        <f t="shared" si="14"/>
        <v>100</v>
      </c>
      <c r="X37" s="703"/>
      <c r="Y37" s="3722"/>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0" t="s">
        <v>1696</v>
      </c>
      <c r="Q38" s="1351" t="str">
        <f t="shared" si="11"/>
        <v>物业管理</v>
      </c>
      <c r="R38" s="705" t="s">
        <v>18</v>
      </c>
      <c r="S38" s="706">
        <f t="shared" si="12"/>
        <v>100</v>
      </c>
      <c r="T38" s="705" t="s">
        <v>18</v>
      </c>
      <c r="U38" s="706">
        <f t="shared" si="13"/>
        <v>100</v>
      </c>
      <c r="V38" s="705" t="s">
        <v>18</v>
      </c>
      <c r="W38" s="706">
        <f t="shared" si="14"/>
        <v>100</v>
      </c>
      <c r="X38" s="1354"/>
      <c r="Y38" s="372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0"/>
      <c r="Q39" s="1351" t="str">
        <f t="shared" si="11"/>
        <v>市政基础设施</v>
      </c>
      <c r="R39" s="705" t="s">
        <v>18</v>
      </c>
      <c r="S39" s="706">
        <f t="shared" si="12"/>
        <v>100</v>
      </c>
      <c r="T39" s="705" t="s">
        <v>18</v>
      </c>
      <c r="U39" s="706">
        <f t="shared" si="13"/>
        <v>100</v>
      </c>
      <c r="V39" s="705" t="s">
        <v>18</v>
      </c>
      <c r="W39" s="706">
        <f t="shared" si="14"/>
        <v>100</v>
      </c>
      <c r="X39" s="1354"/>
      <c r="Y39" s="372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0"/>
      <c r="Q40" s="1351" t="str">
        <f t="shared" si="11"/>
        <v>房型</v>
      </c>
      <c r="R40" s="705" t="s">
        <v>18</v>
      </c>
      <c r="S40" s="706">
        <f t="shared" si="12"/>
        <v>100</v>
      </c>
      <c r="T40" s="705" t="s">
        <v>18</v>
      </c>
      <c r="U40" s="706">
        <f t="shared" si="13"/>
        <v>100</v>
      </c>
      <c r="V40" s="705" t="s">
        <v>18</v>
      </c>
      <c r="W40" s="706">
        <f t="shared" si="14"/>
        <v>100</v>
      </c>
      <c r="X40" s="1354"/>
      <c r="Y40" s="372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2">
        <f t="shared" si="15"/>
        <v>1</v>
      </c>
      <c r="AB41" s="1352">
        <f t="shared" si="16"/>
        <v>1</v>
      </c>
      <c r="AC41" s="1352">
        <f t="shared" si="17"/>
        <v>1</v>
      </c>
    </row>
    <row r="42" spans="1:29" ht="15">
      <c r="A42" s="423"/>
      <c r="B42" s="375" t="s">
        <v>1706</v>
      </c>
      <c r="C42" s="1905" t="s">
        <v>3427</v>
      </c>
      <c r="D42" s="386">
        <v>100</v>
      </c>
      <c r="E42" s="1906" t="s">
        <v>3468</v>
      </c>
      <c r="F42" s="412">
        <f>SUMIF(122:122,E42,123:123)-SUMIF(122:122,C42,123:123)+100</f>
        <v>102</v>
      </c>
      <c r="G42" s="1906" t="s">
        <v>3468</v>
      </c>
      <c r="H42" s="386">
        <f>SUMIF(122:122,G42,123:123)-SUMIF(122:122,C42,123:123)+100</f>
        <v>102</v>
      </c>
      <c r="I42" s="1906" t="s">
        <v>3468</v>
      </c>
      <c r="J42" s="386">
        <f>SUMIF(122:122,I42,123:123)-SUMIF(122:122,C42,123:123)+100</f>
        <v>102</v>
      </c>
      <c r="K42" s="377">
        <v>2</v>
      </c>
      <c r="L42" s="2721"/>
      <c r="M42" s="2715"/>
      <c r="N42" s="2715"/>
      <c r="O42" s="2715"/>
      <c r="P42" s="3720"/>
      <c r="Q42" s="1351" t="str">
        <f t="shared" si="11"/>
        <v>内部装修</v>
      </c>
      <c r="R42" s="705" t="s">
        <v>18</v>
      </c>
      <c r="S42" s="706">
        <f t="shared" si="12"/>
        <v>102</v>
      </c>
      <c r="T42" s="705" t="s">
        <v>18</v>
      </c>
      <c r="U42" s="706">
        <f t="shared" si="13"/>
        <v>102</v>
      </c>
      <c r="V42" s="705" t="s">
        <v>18</v>
      </c>
      <c r="W42" s="706">
        <f t="shared" si="14"/>
        <v>102</v>
      </c>
      <c r="X42" s="1354"/>
      <c r="Y42" s="3722"/>
      <c r="Z42" s="1355" t="str">
        <f t="shared" si="18"/>
        <v>内部装修</v>
      </c>
      <c r="AA42" s="1352">
        <f t="shared" si="15"/>
        <v>0.98039215686274506</v>
      </c>
      <c r="AB42" s="1352">
        <f t="shared" si="16"/>
        <v>0.98039215686274506</v>
      </c>
      <c r="AC42" s="1352">
        <f t="shared" si="17"/>
        <v>0.98039215686274506</v>
      </c>
    </row>
    <row r="43" spans="1:29" ht="28.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0"/>
      <c r="Q43" s="1351" t="str">
        <f t="shared" si="11"/>
        <v>内部装修维护情况</v>
      </c>
      <c r="R43" s="705" t="s">
        <v>18</v>
      </c>
      <c r="S43" s="706">
        <f t="shared" si="12"/>
        <v>100</v>
      </c>
      <c r="T43" s="705" t="s">
        <v>18</v>
      </c>
      <c r="U43" s="706">
        <f t="shared" si="13"/>
        <v>100</v>
      </c>
      <c r="V43" s="705" t="s">
        <v>18</v>
      </c>
      <c r="W43" s="706">
        <f t="shared" si="14"/>
        <v>100</v>
      </c>
      <c r="X43" s="1354"/>
      <c r="Y43" s="3722"/>
      <c r="Z43" s="1355" t="str">
        <f t="shared" si="18"/>
        <v>内部装修维护情况</v>
      </c>
      <c r="AA43" s="1352">
        <f t="shared" si="15"/>
        <v>1</v>
      </c>
      <c r="AB43" s="1352">
        <f t="shared" si="16"/>
        <v>1</v>
      </c>
      <c r="AC43" s="1352">
        <f t="shared" si="17"/>
        <v>1</v>
      </c>
    </row>
    <row r="44" spans="1:29" s="108" customFormat="1" ht="15">
      <c r="A44" s="424"/>
      <c r="B44" s="3488" t="s">
        <v>3502</v>
      </c>
      <c r="C44" s="420">
        <v>2000</v>
      </c>
      <c r="D44" s="127">
        <v>100</v>
      </c>
      <c r="E44" s="420">
        <f>C44</f>
        <v>2000</v>
      </c>
      <c r="F44" s="376">
        <f>SUMIF(126:126,E44,127:127)-SUMIF(126:126,C44,127:127)+100</f>
        <v>100</v>
      </c>
      <c r="G44" s="420">
        <f>C44</f>
        <v>2000</v>
      </c>
      <c r="H44" s="127">
        <f>SUMIF(126:126,G44,127:127)-SUMIF(126:126,C44,127:127)+100</f>
        <v>100</v>
      </c>
      <c r="I44" s="420">
        <f>成交!I4</f>
        <v>1993</v>
      </c>
      <c r="J44" s="127">
        <f>SUMIF(126:126,I44,127:127)-SUMIF(126:126,C44,127:127)+100</f>
        <v>99.3</v>
      </c>
      <c r="K44" s="1893"/>
      <c r="L44" s="2716"/>
      <c r="M44" s="2717"/>
      <c r="N44" s="2717"/>
      <c r="O44" s="2717"/>
      <c r="P44" s="3720"/>
      <c r="Q44" s="1342" t="str">
        <f t="shared" si="11"/>
        <v>建成年份</v>
      </c>
      <c r="R44" s="701" t="s">
        <v>18</v>
      </c>
      <c r="S44" s="702">
        <f t="shared" si="12"/>
        <v>100</v>
      </c>
      <c r="T44" s="701" t="s">
        <v>18</v>
      </c>
      <c r="U44" s="702">
        <f t="shared" si="13"/>
        <v>100</v>
      </c>
      <c r="V44" s="701" t="s">
        <v>18</v>
      </c>
      <c r="W44" s="702">
        <f t="shared" si="14"/>
        <v>99.3</v>
      </c>
      <c r="X44" s="703"/>
      <c r="Y44" s="3722"/>
      <c r="Z44" s="52" t="str">
        <f t="shared" si="18"/>
        <v>建成年份</v>
      </c>
      <c r="AA44" s="704">
        <f t="shared" si="15"/>
        <v>1</v>
      </c>
      <c r="AB44" s="704">
        <f t="shared" si="16"/>
        <v>1</v>
      </c>
      <c r="AC44" s="704">
        <f t="shared" si="17"/>
        <v>1.0070493454179255</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0"/>
      <c r="Q45" s="1351">
        <f t="shared" si="11"/>
        <v>111</v>
      </c>
      <c r="R45" s="705" t="s">
        <v>18</v>
      </c>
      <c r="S45" s="706">
        <f t="shared" si="12"/>
        <v>100</v>
      </c>
      <c r="T45" s="705" t="s">
        <v>18</v>
      </c>
      <c r="U45" s="706">
        <f t="shared" si="13"/>
        <v>100</v>
      </c>
      <c r="V45" s="705" t="s">
        <v>18</v>
      </c>
      <c r="W45" s="706">
        <f t="shared" si="14"/>
        <v>100</v>
      </c>
      <c r="X45" s="1354"/>
      <c r="Y45" s="372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1"/>
      <c r="Q46" s="1351">
        <f t="shared" si="11"/>
        <v>111</v>
      </c>
      <c r="R46" s="705" t="s">
        <v>17</v>
      </c>
      <c r="S46" s="706">
        <f t="shared" si="12"/>
        <v>100</v>
      </c>
      <c r="T46" s="705" t="s">
        <v>17</v>
      </c>
      <c r="U46" s="706">
        <f t="shared" si="13"/>
        <v>100</v>
      </c>
      <c r="V46" s="705" t="s">
        <v>17</v>
      </c>
      <c r="W46" s="706">
        <f t="shared" si="14"/>
        <v>100</v>
      </c>
      <c r="X46" s="1354"/>
      <c r="Y46" s="3723"/>
      <c r="Z46" s="1355">
        <f t="shared" si="18"/>
        <v>111</v>
      </c>
      <c r="AA46" s="1352">
        <f t="shared" si="15"/>
        <v>1</v>
      </c>
      <c r="AB46" s="1352">
        <f t="shared" si="16"/>
        <v>1</v>
      </c>
      <c r="AC46" s="1352">
        <f t="shared" si="17"/>
        <v>1</v>
      </c>
    </row>
    <row r="47" spans="1:29" ht="15">
      <c r="A47" s="430" t="s">
        <v>1708</v>
      </c>
      <c r="B47" s="431"/>
      <c r="C47" s="1154" t="s">
        <v>16</v>
      </c>
      <c r="D47" s="1155"/>
      <c r="E47" s="1156">
        <v>44602</v>
      </c>
      <c r="F47" s="1157"/>
      <c r="G47" s="1158">
        <v>40726</v>
      </c>
      <c r="H47" s="1159"/>
      <c r="I47" s="1156">
        <f>成交!J4</f>
        <v>43286</v>
      </c>
      <c r="J47" s="1159"/>
      <c r="K47" s="1913"/>
      <c r="L47" s="2723"/>
      <c r="M47" s="2724"/>
      <c r="N47" s="2715"/>
      <c r="O47" s="2724"/>
      <c r="P47" s="3724" t="str">
        <f>A47</f>
        <v>成交单价（元/平方米）</v>
      </c>
      <c r="Q47" s="3724"/>
      <c r="R47" s="3725">
        <f>E47</f>
        <v>44602</v>
      </c>
      <c r="S47" s="3725"/>
      <c r="T47" s="3725">
        <f>G47</f>
        <v>40726</v>
      </c>
      <c r="U47" s="3725"/>
      <c r="V47" s="3725">
        <f>I47</f>
        <v>43286</v>
      </c>
      <c r="W47" s="3725"/>
      <c r="X47" s="690"/>
      <c r="Y47" s="712"/>
      <c r="Z47" s="690"/>
      <c r="AA47" s="690"/>
      <c r="AB47" s="690"/>
      <c r="AC47" s="690"/>
    </row>
    <row r="48" spans="1:29" ht="15.75" thickBot="1">
      <c r="A48" s="437" t="s">
        <v>1709</v>
      </c>
      <c r="B48" s="438"/>
      <c r="C48" s="1160">
        <f>R49</f>
        <v>41592</v>
      </c>
      <c r="D48" s="2316" t="s">
        <v>2138</v>
      </c>
      <c r="E48" s="1161">
        <f>R48</f>
        <v>43727.5</v>
      </c>
      <c r="F48" s="2317"/>
      <c r="G48" s="1160">
        <f>T48</f>
        <v>40742.300000000003</v>
      </c>
      <c r="H48" s="2317"/>
      <c r="I48" s="1161">
        <f>V48</f>
        <v>40306.300000000003</v>
      </c>
      <c r="J48" s="2317"/>
      <c r="K48" s="2318">
        <f>F48+H48+J48</f>
        <v>0</v>
      </c>
      <c r="L48" s="2723"/>
      <c r="M48" s="2724"/>
      <c r="N48" s="2724"/>
      <c r="O48" s="2724"/>
      <c r="P48" s="3724" t="str">
        <f>A48</f>
        <v>比较价值（元/平方米）</v>
      </c>
      <c r="Q48" s="3724"/>
      <c r="R48" s="3725">
        <f>IF(F1="售价",ROUND(PRODUCT(R47,AA7:AA46),0),ROUND(PRODUCT(R47,AA7:AA46),1))</f>
        <v>43727.5</v>
      </c>
      <c r="S48" s="3725"/>
      <c r="T48" s="3725">
        <f>IF(F1="售价",ROUND(PRODUCT(T47,AB7:AB46),0),ROUND(PRODUCT(T47,AB7:AB46),1))</f>
        <v>40742.300000000003</v>
      </c>
      <c r="U48" s="3725"/>
      <c r="V48" s="3725">
        <f>IF(F1="售价",ROUND(PRODUCT(V47,AC7:AC46),0),ROUND(PRODUCT(V47,AC7:AC46),1))</f>
        <v>40306.300000000003</v>
      </c>
      <c r="W48" s="3725"/>
      <c r="X48" s="690"/>
      <c r="Y48" s="690"/>
      <c r="Z48" s="690"/>
      <c r="AA48" s="690"/>
      <c r="AB48" s="690"/>
      <c r="AC48" s="690"/>
    </row>
    <row r="49" spans="1:36" ht="15.75" thickBot="1">
      <c r="A49" s="441" t="s">
        <v>1710</v>
      </c>
      <c r="B49" s="442"/>
      <c r="C49" s="1162">
        <f>R49</f>
        <v>41592</v>
      </c>
      <c r="D49" s="1163"/>
      <c r="E49" s="1163"/>
      <c r="F49" s="1163"/>
      <c r="G49" s="1163"/>
      <c r="H49" s="1163"/>
      <c r="I49" s="1163"/>
      <c r="J49" s="1163"/>
      <c r="K49" s="1914"/>
      <c r="L49" s="2723"/>
      <c r="M49" s="2724"/>
      <c r="N49" s="2724"/>
      <c r="O49" s="2724"/>
      <c r="P49" s="3726" t="str">
        <f>A49</f>
        <v>估价对象XX用房的比较价值（楼面单价，元/平方米）</v>
      </c>
      <c r="Q49" s="3727"/>
      <c r="R49" s="3728">
        <f>IF(F1="售价",ROUND(IF(D48="简单平均",AVERAGE(R48:V48),R48*F48+T48*H48+V48*J48),0),ROUND(IF(D48="简单平均",AVERAGE(R48:V48),R48*F48+T48*H48+V48*J48),1))</f>
        <v>41592</v>
      </c>
      <c r="S49" s="3728"/>
      <c r="T49" s="3728"/>
      <c r="U49" s="3728"/>
      <c r="V49" s="3728"/>
      <c r="W49" s="3728"/>
      <c r="X49" s="690"/>
      <c r="Y49" s="690"/>
      <c r="Z49" s="690"/>
      <c r="AA49" s="690"/>
      <c r="AB49" s="690"/>
      <c r="AC49" s="690"/>
    </row>
    <row r="50" spans="1:36">
      <c r="A50" s="2724"/>
      <c r="B50" s="2724"/>
      <c r="C50" s="2724"/>
      <c r="D50" s="2724"/>
      <c r="E50" s="2724"/>
      <c r="F50" s="2724"/>
      <c r="G50" s="2728"/>
      <c r="H50" s="2724"/>
      <c r="I50" s="2724"/>
      <c r="J50" s="2724"/>
      <c r="K50" s="2729"/>
      <c r="L50" s="2725"/>
      <c r="M50" s="2724"/>
      <c r="N50" s="2724"/>
      <c r="O50" s="2724"/>
    </row>
    <row r="51" spans="1:36">
      <c r="A51" s="2724"/>
      <c r="B51" s="2724"/>
      <c r="C51" s="2724"/>
      <c r="D51" s="2724"/>
      <c r="E51" s="2724"/>
      <c r="F51" s="2724"/>
      <c r="G51" s="2724"/>
      <c r="H51" s="2724"/>
      <c r="I51" s="2724"/>
      <c r="J51" s="2724"/>
      <c r="K51" s="2729"/>
      <c r="L51" s="2725"/>
      <c r="M51" s="2724"/>
      <c r="N51" s="2724"/>
      <c r="O51" s="2724"/>
    </row>
    <row r="52" spans="1:36" ht="13.5" customHeight="1">
      <c r="A52" s="2724"/>
      <c r="B52" s="2724"/>
      <c r="C52" s="446" t="s">
        <v>1711</v>
      </c>
      <c r="D52" s="447"/>
      <c r="E52" s="448">
        <f>IF(E47&lt;E48,E48/E47-1,E47/E48-1)</f>
        <v>1.9998856554799715E-2</v>
      </c>
      <c r="F52" s="449" t="str">
        <f>IF(OR(E52&gt;=0.3,E52&lt;=-0.3),"超过30%","")</f>
        <v/>
      </c>
      <c r="G52" s="448">
        <f>IF(G47&lt;G48,G48/G47-1,G47/G48-1)</f>
        <v>4.0023572165215349E-4</v>
      </c>
      <c r="H52" s="449" t="str">
        <f>IF(OR(G52&gt;=0.3,G52&lt;=-0.3),"超过30%","")</f>
        <v/>
      </c>
      <c r="I52" s="448">
        <f>IF(I47&lt;I48,I48/I47-1,I47/I48-1)</f>
        <v>7.3926408526706622E-2</v>
      </c>
      <c r="J52" s="449" t="str">
        <f>IF(OR(I52&gt;=0.3,I52&lt;=-0.3),"超过30%","")</f>
        <v/>
      </c>
      <c r="K52" s="2729"/>
      <c r="L52" s="2725"/>
      <c r="M52" s="2724"/>
      <c r="N52" s="2724"/>
      <c r="O52" s="2724"/>
    </row>
    <row r="53" spans="1:36" ht="13.5" customHeight="1">
      <c r="A53" s="2724"/>
      <c r="B53" s="2724"/>
      <c r="C53" s="446" t="s">
        <v>1712</v>
      </c>
      <c r="D53" s="450"/>
      <c r="E53" s="448">
        <f>IF(E48&lt;G48,G48/E48-1,E48/G48-1)</f>
        <v>7.327028665539248E-2</v>
      </c>
      <c r="F53" s="449" t="str">
        <f>IF(OR(E53&gt;=0.2,E53&lt;=-0.2),"超过20%","")</f>
        <v/>
      </c>
      <c r="G53" s="448">
        <f>IF(G48&lt;I48,I48/G48-1,G48/I48-1)</f>
        <v>1.0817167539565853E-2</v>
      </c>
      <c r="H53" s="449" t="str">
        <f>IF(OR(G53&gt;=0.2,G53&lt;=-0.2),"超过20%","")</f>
        <v/>
      </c>
      <c r="I53" s="448">
        <f>IF(I48&lt;E48,E48/I48-1,I48/E48-1)</f>
        <v>8.4880031161381542E-2</v>
      </c>
      <c r="J53" s="449" t="str">
        <f>IF(OR(I53&gt;=0.2,I53&lt;=-0.2),"超过20%","")</f>
        <v/>
      </c>
      <c r="K53" s="2729"/>
      <c r="L53" s="2725"/>
      <c r="M53" s="2724"/>
      <c r="N53" s="2724"/>
      <c r="O53" s="2724"/>
    </row>
    <row r="54" spans="1:36" s="451" customFormat="1" ht="13.5" customHeight="1">
      <c r="A54" s="2727"/>
      <c r="B54" s="2727"/>
      <c r="C54" s="446" t="s">
        <v>1713</v>
      </c>
      <c r="D54" s="450"/>
      <c r="E54" s="448">
        <f>IF(E47&lt;G47,G47/E47-1,E47/G47-1)</f>
        <v>9.5172617001424209E-2</v>
      </c>
      <c r="F54" s="449" t="str">
        <f>IF(OR(E54&gt;=0.3,E54&lt;=-0.3),"超过30%","")</f>
        <v/>
      </c>
      <c r="G54" s="448">
        <f>IF(G47&lt;I47,I47/G47-1,G47/I47-1)</f>
        <v>6.2859107204243037E-2</v>
      </c>
      <c r="H54" s="449" t="str">
        <f>IF(OR(G54&gt;=0.3,G54&lt;=-0.3),"超过30%","")</f>
        <v/>
      </c>
      <c r="I54" s="448">
        <f>IF(I47&lt;E47,E47/I47-1,I47/E47-1)</f>
        <v>3.0402439587857488E-2</v>
      </c>
      <c r="J54" s="449" t="str">
        <f>IF(OR(I54&gt;=0.3,I54&lt;=-0.3),"超过30%","")</f>
        <v/>
      </c>
      <c r="K54" s="2732"/>
      <c r="L54" s="2726"/>
      <c r="M54" s="2727"/>
      <c r="N54" s="2727"/>
      <c r="O54" s="2727"/>
      <c r="P54" s="1916"/>
    </row>
    <row r="55" spans="1:36" s="451" customFormat="1">
      <c r="A55" s="2727"/>
      <c r="B55" s="2730"/>
      <c r="C55" s="2731"/>
      <c r="D55" s="2727"/>
      <c r="E55" s="2727"/>
      <c r="F55" s="2727"/>
      <c r="G55" s="2727"/>
      <c r="H55" s="2727"/>
      <c r="I55" s="2727"/>
      <c r="J55" s="2727"/>
      <c r="K55" s="2732"/>
      <c r="L55" s="2726"/>
      <c r="M55" s="2727"/>
      <c r="N55" s="2727"/>
      <c r="O55" s="2727"/>
      <c r="P55" s="1916"/>
    </row>
    <row r="56" spans="1:36">
      <c r="A56" s="2724"/>
      <c r="B56" s="2730"/>
      <c r="C56" s="2731"/>
      <c r="D56" s="2724"/>
      <c r="E56" s="2724"/>
      <c r="F56" s="2724"/>
      <c r="G56" s="2724"/>
      <c r="H56" s="2724"/>
      <c r="I56" s="2724"/>
      <c r="J56" s="2724"/>
      <c r="K56" s="2729"/>
      <c r="L56" s="2725"/>
      <c r="M56" s="2724"/>
      <c r="N56" s="2724"/>
      <c r="O56" s="2724"/>
    </row>
    <row r="57" spans="1:36" ht="21.75" thickBot="1">
      <c r="A57" s="694" t="s">
        <v>1714</v>
      </c>
      <c r="B57" s="690"/>
      <c r="C57" s="695"/>
      <c r="D57" s="695"/>
      <c r="E57" s="695"/>
      <c r="F57" s="696"/>
      <c r="G57" s="696"/>
      <c r="H57" s="695"/>
      <c r="I57" s="695"/>
      <c r="J57" s="695"/>
      <c r="K57" s="941"/>
      <c r="L57" s="942"/>
      <c r="M57" s="940"/>
      <c r="N57" s="940"/>
      <c r="O57" s="940"/>
      <c r="P57" s="1917">
        <v>8</v>
      </c>
      <c r="Q57" s="453">
        <v>7.0000000000000007E-2</v>
      </c>
      <c r="R57" s="357">
        <v>6</v>
      </c>
      <c r="S57" s="357">
        <v>5</v>
      </c>
      <c r="T57" s="357">
        <v>4</v>
      </c>
      <c r="U57" s="357">
        <v>3</v>
      </c>
      <c r="V57" s="357">
        <v>2</v>
      </c>
      <c r="W57" s="357">
        <v>1</v>
      </c>
      <c r="X57" s="357">
        <v>12</v>
      </c>
      <c r="Y57" s="357">
        <v>11</v>
      </c>
      <c r="Z57" s="357">
        <v>10</v>
      </c>
      <c r="AA57" s="357">
        <v>9</v>
      </c>
      <c r="AB57" s="357">
        <v>8</v>
      </c>
      <c r="AC57" s="357">
        <v>7</v>
      </c>
      <c r="AD57" s="357">
        <v>6</v>
      </c>
      <c r="AE57" s="357">
        <v>5</v>
      </c>
      <c r="AF57" s="357">
        <v>4</v>
      </c>
      <c r="AG57" s="357">
        <v>3</v>
      </c>
      <c r="AH57" s="357">
        <v>2</v>
      </c>
      <c r="AI57" s="357">
        <v>1</v>
      </c>
    </row>
    <row r="58" spans="1:36"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3492">
        <f t="shared" ref="P58" si="20">EDATE(O58,-1)</f>
        <v>44774</v>
      </c>
      <c r="Q58" s="3492">
        <f t="shared" ref="Q58" si="21">EDATE(P58,-1)</f>
        <v>44743</v>
      </c>
      <c r="R58" s="3492">
        <f t="shared" ref="R58" si="22">EDATE(Q58,-1)</f>
        <v>44713</v>
      </c>
      <c r="S58" s="3492">
        <f t="shared" ref="S58" si="23">EDATE(R58,-1)</f>
        <v>44682</v>
      </c>
      <c r="T58" s="3492">
        <f t="shared" ref="T58" si="24">EDATE(S58,-1)</f>
        <v>44652</v>
      </c>
      <c r="U58" s="3492">
        <f t="shared" ref="U58" si="25">EDATE(T58,-1)</f>
        <v>44621</v>
      </c>
      <c r="V58" s="3492">
        <f t="shared" ref="V58" si="26">EDATE(U58,-1)</f>
        <v>44593</v>
      </c>
      <c r="W58" s="3492">
        <f t="shared" ref="W58" si="27">EDATE(V58,-1)</f>
        <v>44562</v>
      </c>
      <c r="X58" s="3492">
        <f t="shared" ref="X58" si="28">EDATE(W58,-1)</f>
        <v>44531</v>
      </c>
      <c r="Y58" s="3492">
        <f t="shared" ref="Y58" si="29">EDATE(X58,-1)</f>
        <v>44501</v>
      </c>
      <c r="Z58" s="3492">
        <f t="shared" ref="Z58" si="30">EDATE(Y58,-1)</f>
        <v>44470</v>
      </c>
      <c r="AA58" s="3492">
        <f t="shared" ref="AA58" si="31">EDATE(Z58,-1)</f>
        <v>44440</v>
      </c>
      <c r="AB58" s="3492">
        <f t="shared" ref="AB58" si="32">EDATE(AA58,-1)</f>
        <v>44409</v>
      </c>
      <c r="AC58" s="3492">
        <f t="shared" ref="AC58" si="33">EDATE(AB58,-1)</f>
        <v>44378</v>
      </c>
      <c r="AD58" s="3492">
        <f t="shared" ref="AD58" si="34">EDATE(AC58,-1)</f>
        <v>44348</v>
      </c>
      <c r="AE58" s="3492">
        <f t="shared" ref="AE58" si="35">EDATE(AD58,-1)</f>
        <v>44317</v>
      </c>
      <c r="AF58" s="3492">
        <f t="shared" ref="AF58" si="36">EDATE(AE58,-1)</f>
        <v>44287</v>
      </c>
      <c r="AG58" s="3492">
        <f t="shared" ref="AG58" si="37">EDATE(AF58,-1)</f>
        <v>44256</v>
      </c>
      <c r="AH58" s="3492">
        <f t="shared" ref="AH58" si="38">EDATE(AG58,-1)</f>
        <v>44228</v>
      </c>
      <c r="AI58" s="3492">
        <f t="shared" ref="AI58" si="39">EDATE(AH58,-1)</f>
        <v>44197</v>
      </c>
      <c r="AJ58" s="3492">
        <f t="shared" ref="AJ58" si="40">EDATE(AI58,-1)</f>
        <v>44166</v>
      </c>
    </row>
    <row r="59" spans="1:36" s="108" customFormat="1" ht="15">
      <c r="A59" s="458"/>
      <c r="B59" s="1918"/>
      <c r="C59" s="1182">
        <v>100</v>
      </c>
      <c r="D59" s="3464">
        <v>100</v>
      </c>
      <c r="E59" s="3464">
        <v>100</v>
      </c>
      <c r="F59" s="3464">
        <v>99.5</v>
      </c>
      <c r="G59" s="3464">
        <v>99.5</v>
      </c>
      <c r="H59" s="3464">
        <v>99.5</v>
      </c>
      <c r="I59" s="3464">
        <v>99</v>
      </c>
      <c r="J59" s="3464">
        <v>99</v>
      </c>
      <c r="K59" s="3464">
        <v>99</v>
      </c>
      <c r="L59" s="3464">
        <v>98.5</v>
      </c>
      <c r="M59" s="462">
        <v>98.5</v>
      </c>
      <c r="N59" s="461">
        <v>98.5</v>
      </c>
      <c r="O59" s="462">
        <v>98</v>
      </c>
      <c r="P59" s="108">
        <v>98</v>
      </c>
      <c r="Q59" s="108">
        <v>98</v>
      </c>
      <c r="R59" s="108">
        <v>97.5</v>
      </c>
      <c r="S59" s="108">
        <v>97.5</v>
      </c>
      <c r="T59" s="108">
        <v>97.5</v>
      </c>
      <c r="U59" s="108">
        <v>97</v>
      </c>
      <c r="V59" s="108">
        <v>97</v>
      </c>
      <c r="W59" s="108">
        <v>97</v>
      </c>
      <c r="X59" s="108">
        <v>96.5</v>
      </c>
      <c r="Y59" s="108">
        <v>96.5</v>
      </c>
      <c r="Z59" s="108">
        <v>96.5</v>
      </c>
      <c r="AA59" s="108">
        <v>96</v>
      </c>
      <c r="AB59" s="108">
        <v>96</v>
      </c>
      <c r="AC59" s="108">
        <v>96</v>
      </c>
      <c r="AD59" s="108">
        <v>95.5</v>
      </c>
      <c r="AE59" s="108">
        <v>95.5</v>
      </c>
      <c r="AF59" s="108">
        <v>95.5</v>
      </c>
      <c r="AG59" s="108">
        <v>95</v>
      </c>
      <c r="AH59" s="108">
        <v>95</v>
      </c>
      <c r="AI59" s="108">
        <v>95</v>
      </c>
      <c r="AJ59" s="108">
        <v>94.5</v>
      </c>
    </row>
    <row r="60" spans="1:36" s="108" customFormat="1" ht="15.75" thickBot="1">
      <c r="A60" s="464" t="s">
        <v>1716</v>
      </c>
      <c r="B60" s="465"/>
      <c r="C60" s="466"/>
      <c r="D60" s="467"/>
      <c r="E60" s="467"/>
      <c r="F60" s="467"/>
      <c r="G60" s="467"/>
      <c r="H60" s="467"/>
      <c r="I60" s="467"/>
      <c r="J60" s="467"/>
      <c r="K60" s="467"/>
      <c r="L60" s="467"/>
      <c r="M60" s="468"/>
      <c r="N60" s="467"/>
      <c r="O60" s="468"/>
      <c r="P60" s="1919"/>
      <c r="Q60" s="453"/>
    </row>
    <row r="61" spans="1:36" s="108" customFormat="1" ht="15">
      <c r="A61" s="470" t="s">
        <v>1717</v>
      </c>
      <c r="B61" s="459"/>
      <c r="C61" s="471" t="s">
        <v>1718</v>
      </c>
      <c r="D61" s="472"/>
      <c r="E61" s="472"/>
      <c r="F61" s="472"/>
      <c r="G61" s="472"/>
      <c r="H61" s="472"/>
      <c r="I61" s="472"/>
      <c r="J61" s="472"/>
      <c r="K61" s="472"/>
      <c r="L61" s="473"/>
      <c r="M61" s="474"/>
      <c r="N61" s="932"/>
      <c r="O61" s="932"/>
      <c r="P61" s="1920"/>
      <c r="Q61" s="453"/>
    </row>
    <row r="62" spans="1:36" s="108" customFormat="1" ht="15.75" thickBot="1">
      <c r="A62" s="470"/>
      <c r="B62" s="459"/>
      <c r="C62" s="460">
        <v>100</v>
      </c>
      <c r="D62" s="461"/>
      <c r="E62" s="461"/>
      <c r="F62" s="461"/>
      <c r="G62" s="461"/>
      <c r="H62" s="461"/>
      <c r="I62" s="461"/>
      <c r="J62" s="461"/>
      <c r="K62" s="461"/>
      <c r="L62" s="461"/>
      <c r="M62" s="463"/>
      <c r="N62" s="932"/>
      <c r="O62" s="932"/>
      <c r="P62" s="1919"/>
      <c r="Q62" s="453"/>
    </row>
    <row r="63" spans="1:36">
      <c r="A63" s="476" t="s">
        <v>1719</v>
      </c>
      <c r="B63" s="477" t="s">
        <v>1685</v>
      </c>
      <c r="C63" s="478" t="str">
        <f>C9</f>
        <v>住宅</v>
      </c>
      <c r="D63" s="479"/>
      <c r="E63" s="479"/>
      <c r="F63" s="479"/>
      <c r="G63" s="479"/>
      <c r="H63" s="479"/>
      <c r="I63" s="479"/>
      <c r="J63" s="479"/>
      <c r="K63" s="480"/>
      <c r="L63" s="481"/>
      <c r="M63" s="482"/>
      <c r="N63" s="933"/>
      <c r="O63" s="933"/>
      <c r="P63" s="1921"/>
      <c r="Q63" s="453"/>
    </row>
    <row r="64" spans="1:36"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41">D68&amp;"（含）"&amp;"-"&amp;E68</f>
        <v>1（含）-2</v>
      </c>
      <c r="E67" s="496" t="str">
        <f t="shared" si="41"/>
        <v>2（含）-3</v>
      </c>
      <c r="F67" s="496" t="str">
        <f t="shared" si="41"/>
        <v>3（含）-4</v>
      </c>
      <c r="G67" s="496" t="str">
        <f t="shared" si="41"/>
        <v>4（含）-5</v>
      </c>
      <c r="H67" s="496" t="str">
        <f t="shared" si="41"/>
        <v>5（含）-</v>
      </c>
      <c r="I67" s="496" t="str">
        <f t="shared" si="41"/>
        <v>（含）-</v>
      </c>
      <c r="J67" s="496" t="str">
        <f t="shared" si="41"/>
        <v>（含）-</v>
      </c>
      <c r="K67" s="496" t="str">
        <f>K68&amp;"（含）"&amp;"-"&amp;L68</f>
        <v>（含）-</v>
      </c>
      <c r="L67" s="496" t="str">
        <f t="shared" si="41"/>
        <v>（含）-</v>
      </c>
      <c r="M67" s="399" t="str">
        <f>M68&amp;"（含）"&amp;"-"&amp;P68</f>
        <v>（含）-</v>
      </c>
      <c r="N67" s="934"/>
      <c r="O67" s="934"/>
      <c r="P67" s="1921"/>
      <c r="Q67" s="453"/>
    </row>
    <row r="68" spans="1:17" ht="15">
      <c r="A68" s="483"/>
      <c r="B68" s="497"/>
      <c r="C68" s="3465">
        <v>0</v>
      </c>
      <c r="D68" s="3465">
        <v>1</v>
      </c>
      <c r="E68" s="3465">
        <v>2</v>
      </c>
      <c r="F68" s="3465">
        <v>3</v>
      </c>
      <c r="G68" s="3465">
        <v>4</v>
      </c>
      <c r="H68" s="3465">
        <v>5</v>
      </c>
      <c r="I68" s="498"/>
      <c r="J68" s="498"/>
      <c r="K68" s="499"/>
      <c r="L68" s="500"/>
      <c r="M68" s="501"/>
      <c r="N68" s="933"/>
      <c r="O68" s="933"/>
      <c r="P68" s="1921"/>
      <c r="Q68" s="453"/>
    </row>
    <row r="69" spans="1:17" ht="15.75" thickBot="1">
      <c r="A69" s="483"/>
      <c r="B69" s="484"/>
      <c r="C69" s="493">
        <v>100</v>
      </c>
      <c r="D69" s="493">
        <f t="shared" ref="D69:M69" si="42">C69-$K11</f>
        <v>100</v>
      </c>
      <c r="E69" s="493">
        <f t="shared" si="42"/>
        <v>100</v>
      </c>
      <c r="F69" s="493">
        <f t="shared" si="42"/>
        <v>100</v>
      </c>
      <c r="G69" s="493">
        <f t="shared" si="42"/>
        <v>100</v>
      </c>
      <c r="H69" s="493">
        <f t="shared" si="42"/>
        <v>100</v>
      </c>
      <c r="I69" s="493">
        <f t="shared" si="42"/>
        <v>100</v>
      </c>
      <c r="J69" s="493">
        <f t="shared" si="42"/>
        <v>100</v>
      </c>
      <c r="K69" s="493">
        <f t="shared" si="42"/>
        <v>100</v>
      </c>
      <c r="L69" s="493">
        <f t="shared" si="42"/>
        <v>100</v>
      </c>
      <c r="M69" s="494">
        <f t="shared" si="42"/>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43">D83-$K21</f>
        <v>100</v>
      </c>
      <c r="F83" s="608">
        <f t="shared" si="43"/>
        <v>100</v>
      </c>
      <c r="G83" s="608">
        <f t="shared" si="43"/>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44">$C$87-($C$86-D86)*$K$25</f>
        <v>100</v>
      </c>
      <c r="E87" s="493">
        <f t="shared" si="44"/>
        <v>100</v>
      </c>
      <c r="F87" s="493">
        <f t="shared" si="44"/>
        <v>100</v>
      </c>
      <c r="G87" s="493">
        <f t="shared" si="44"/>
        <v>100</v>
      </c>
      <c r="H87" s="493">
        <f t="shared" si="44"/>
        <v>100</v>
      </c>
      <c r="I87" s="493">
        <f t="shared" si="44"/>
        <v>100</v>
      </c>
      <c r="J87" s="493">
        <f t="shared" si="44"/>
        <v>100</v>
      </c>
      <c r="K87" s="493">
        <f t="shared" si="44"/>
        <v>100</v>
      </c>
      <c r="L87" s="493">
        <f t="shared" si="44"/>
        <v>100</v>
      </c>
      <c r="M87" s="493">
        <f t="shared" si="44"/>
        <v>100</v>
      </c>
      <c r="N87" s="934"/>
      <c r="O87" s="934"/>
      <c r="P87" s="1921"/>
      <c r="Q87" s="453"/>
    </row>
    <row r="88" spans="1:17" s="108" customFormat="1" ht="15.75" thickTop="1">
      <c r="A88" s="528"/>
      <c r="B88" s="487" t="s">
        <v>1735</v>
      </c>
      <c r="C88" s="3466" t="s">
        <v>3453</v>
      </c>
      <c r="D88" s="3467" t="s">
        <v>3454</v>
      </c>
      <c r="E88" s="3467" t="s">
        <v>3455</v>
      </c>
      <c r="F88" s="3467" t="s">
        <v>3456</v>
      </c>
      <c r="G88" s="3467" t="s">
        <v>3457</v>
      </c>
      <c r="H88" s="3467" t="s">
        <v>3458</v>
      </c>
      <c r="I88" s="3468" t="s">
        <v>3459</v>
      </c>
      <c r="J88" s="3468" t="s">
        <v>3460</v>
      </c>
      <c r="K88" s="3467" t="s">
        <v>3461</v>
      </c>
      <c r="L88" s="503"/>
      <c r="M88" s="530"/>
      <c r="N88" s="932"/>
      <c r="O88" s="932"/>
      <c r="P88" s="1921"/>
      <c r="Q88" s="453"/>
    </row>
    <row r="89" spans="1:17" s="108" customFormat="1" ht="15.75" thickBot="1">
      <c r="A89" s="528"/>
      <c r="B89" s="492"/>
      <c r="C89" s="531">
        <v>100</v>
      </c>
      <c r="D89" s="493">
        <f t="shared" ref="D89:M89" si="45">C89-$K26</f>
        <v>100</v>
      </c>
      <c r="E89" s="493">
        <f t="shared" si="45"/>
        <v>100</v>
      </c>
      <c r="F89" s="493">
        <f t="shared" si="45"/>
        <v>100</v>
      </c>
      <c r="G89" s="493">
        <f t="shared" si="45"/>
        <v>100</v>
      </c>
      <c r="H89" s="493">
        <f t="shared" si="45"/>
        <v>100</v>
      </c>
      <c r="I89" s="493">
        <f t="shared" si="45"/>
        <v>100</v>
      </c>
      <c r="J89" s="493">
        <f t="shared" si="45"/>
        <v>100</v>
      </c>
      <c r="K89" s="493">
        <f t="shared" si="45"/>
        <v>100</v>
      </c>
      <c r="L89" s="493">
        <f t="shared" si="45"/>
        <v>100</v>
      </c>
      <c r="M89" s="493">
        <f t="shared" si="45"/>
        <v>100</v>
      </c>
      <c r="N89" s="934"/>
      <c r="O89" s="934"/>
      <c r="P89" s="1921"/>
      <c r="Q89" s="453"/>
    </row>
    <row r="90" spans="1:17" s="422" customFormat="1" ht="15.75" thickTop="1">
      <c r="A90" s="502"/>
      <c r="B90" s="487" t="str">
        <f>B27</f>
        <v>楼层</v>
      </c>
      <c r="C90" s="416" t="s">
        <v>3494</v>
      </c>
      <c r="D90" s="416" t="s">
        <v>3495</v>
      </c>
      <c r="E90" s="414" t="s">
        <v>3496</v>
      </c>
      <c r="F90" s="414" t="s">
        <v>3497</v>
      </c>
      <c r="G90" s="3469"/>
      <c r="H90" s="504"/>
      <c r="I90" s="504"/>
      <c r="J90" s="504"/>
      <c r="K90" s="504"/>
      <c r="L90" s="505"/>
      <c r="M90" s="506"/>
      <c r="N90" s="935"/>
      <c r="O90" s="935"/>
      <c r="P90" s="1922"/>
      <c r="Q90" s="508"/>
    </row>
    <row r="91" spans="1:17" s="422" customFormat="1" ht="15.75" thickBot="1">
      <c r="A91" s="502"/>
      <c r="B91" s="492"/>
      <c r="C91" s="3470">
        <v>100</v>
      </c>
      <c r="D91" s="3470">
        <v>90</v>
      </c>
      <c r="E91" s="3470">
        <v>95</v>
      </c>
      <c r="F91" s="3470">
        <v>90</v>
      </c>
      <c r="G91" s="3470"/>
      <c r="H91" s="511"/>
      <c r="I91" s="511"/>
      <c r="J91" s="511"/>
      <c r="K91" s="511"/>
      <c r="L91" s="511"/>
      <c r="M91" s="512"/>
      <c r="N91" s="935"/>
      <c r="O91" s="935"/>
      <c r="P91" s="1922"/>
      <c r="Q91" s="508"/>
    </row>
    <row r="92" spans="1:17" ht="15.75" thickTop="1">
      <c r="A92" s="483"/>
      <c r="B92" s="487">
        <f>B28</f>
        <v>111</v>
      </c>
      <c r="C92" s="3471">
        <f>C28</f>
        <v>0</v>
      </c>
      <c r="D92" s="3472" t="s">
        <v>3462</v>
      </c>
      <c r="E92" s="3472">
        <f>I28</f>
        <v>0</v>
      </c>
      <c r="F92" s="503"/>
      <c r="G92" s="532"/>
      <c r="H92" s="532"/>
      <c r="I92" s="532"/>
      <c r="J92" s="532"/>
      <c r="K92" s="533"/>
      <c r="L92" s="534"/>
      <c r="M92" s="535"/>
      <c r="N92" s="933"/>
      <c r="O92" s="933"/>
      <c r="P92" s="1921"/>
      <c r="Q92" s="453"/>
    </row>
    <row r="93" spans="1:17" ht="15.75" thickBot="1">
      <c r="A93" s="483"/>
      <c r="B93" s="492"/>
      <c r="C93" s="3470">
        <v>100</v>
      </c>
      <c r="D93" s="3473">
        <v>101</v>
      </c>
      <c r="E93" s="3473">
        <v>102</v>
      </c>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74" t="s">
        <v>3498</v>
      </c>
      <c r="D100" s="3475" t="s">
        <v>3499</v>
      </c>
      <c r="E100" s="3476" t="s">
        <v>3500</v>
      </c>
      <c r="F100" s="3477"/>
      <c r="G100" s="3477"/>
      <c r="H100" s="479"/>
      <c r="I100" s="479"/>
      <c r="J100" s="479"/>
      <c r="K100" s="480"/>
      <c r="L100" s="481"/>
      <c r="M100" s="482"/>
      <c r="N100" s="933"/>
      <c r="O100" s="933"/>
      <c r="P100" s="1921"/>
      <c r="Q100" s="453"/>
    </row>
    <row r="101" spans="1:17" ht="15.75" thickBot="1">
      <c r="A101" s="483"/>
      <c r="B101" s="492"/>
      <c r="C101" s="493">
        <v>100</v>
      </c>
      <c r="D101" s="493">
        <f t="shared" ref="D101:M101" si="46">C101-$K32</f>
        <v>95</v>
      </c>
      <c r="E101" s="493">
        <f t="shared" si="46"/>
        <v>90</v>
      </c>
      <c r="F101" s="493">
        <f t="shared" si="46"/>
        <v>85</v>
      </c>
      <c r="G101" s="493">
        <f t="shared" si="46"/>
        <v>80</v>
      </c>
      <c r="H101" s="493">
        <f t="shared" si="46"/>
        <v>75</v>
      </c>
      <c r="I101" s="493">
        <f t="shared" si="46"/>
        <v>70</v>
      </c>
      <c r="J101" s="493">
        <f t="shared" si="46"/>
        <v>65</v>
      </c>
      <c r="K101" s="493">
        <f t="shared" si="46"/>
        <v>60</v>
      </c>
      <c r="L101" s="493">
        <f t="shared" si="46"/>
        <v>55</v>
      </c>
      <c r="M101" s="493">
        <f t="shared" si="46"/>
        <v>50</v>
      </c>
      <c r="N101" s="934"/>
      <c r="O101" s="934"/>
      <c r="P101" s="1921"/>
      <c r="Q101" s="453"/>
    </row>
    <row r="102" spans="1:17" ht="29.25" thickTop="1">
      <c r="A102" s="483"/>
      <c r="B102" s="487" t="s">
        <v>1737</v>
      </c>
      <c r="C102" s="527" t="str">
        <f>C103&amp;"(含)"&amp;"-"&amp;D103</f>
        <v>0(含)-150</v>
      </c>
      <c r="D102" s="527" t="str">
        <f t="shared" ref="D102:L102" si="47">D103&amp;"(含)"&amp;"-"&amp;E103</f>
        <v>150(含)-300</v>
      </c>
      <c r="E102" s="527" t="str">
        <f t="shared" si="47"/>
        <v>300(含)-600</v>
      </c>
      <c r="F102" s="527" t="str">
        <f t="shared" si="47"/>
        <v>600(含)-900</v>
      </c>
      <c r="G102" s="527" t="str">
        <f t="shared" si="47"/>
        <v>900(含)-1200</v>
      </c>
      <c r="H102" s="527" t="str">
        <f t="shared" si="47"/>
        <v>1200(含)-1500</v>
      </c>
      <c r="I102" s="527" t="str">
        <f t="shared" si="47"/>
        <v>1500(含)-</v>
      </c>
      <c r="J102" s="527" t="str">
        <f t="shared" si="47"/>
        <v>(含)-</v>
      </c>
      <c r="K102" s="527" t="str">
        <f>K103&amp;"(含)"&amp;"-"&amp;L103</f>
        <v>(含)-</v>
      </c>
      <c r="L102" s="527" t="str">
        <f t="shared" si="47"/>
        <v>(含)-</v>
      </c>
      <c r="M102" s="527" t="str">
        <f>M103&amp;"(含)"&amp;"-"&amp;P103</f>
        <v>(含)-</v>
      </c>
      <c r="N102" s="932"/>
      <c r="O102" s="932"/>
      <c r="P102" s="1921"/>
      <c r="Q102" s="453"/>
    </row>
    <row r="103" spans="1:17" s="422" customFormat="1">
      <c r="A103" s="542"/>
      <c r="B103" s="543"/>
      <c r="C103" s="6">
        <v>0</v>
      </c>
      <c r="D103" s="6">
        <v>150</v>
      </c>
      <c r="E103" s="6">
        <v>300</v>
      </c>
      <c r="F103" s="6">
        <v>600</v>
      </c>
      <c r="G103" s="6">
        <v>900</v>
      </c>
      <c r="H103" s="6">
        <v>1200</v>
      </c>
      <c r="I103" s="6">
        <v>1500</v>
      </c>
      <c r="J103" s="545"/>
      <c r="K103" s="545"/>
      <c r="L103" s="546"/>
      <c r="M103" s="547"/>
      <c r="N103" s="935"/>
      <c r="O103" s="935"/>
      <c r="P103" s="1922"/>
      <c r="Q103" s="508"/>
    </row>
    <row r="104" spans="1:17" s="422" customFormat="1" ht="15.75" thickBot="1">
      <c r="A104" s="502"/>
      <c r="B104" s="492"/>
      <c r="C104" s="3470">
        <v>100</v>
      </c>
      <c r="D104" s="3473">
        <v>98</v>
      </c>
      <c r="E104" s="3473">
        <v>96</v>
      </c>
      <c r="F104" s="3473">
        <v>94</v>
      </c>
      <c r="G104" s="3473">
        <v>92</v>
      </c>
      <c r="H104" s="3473">
        <v>90</v>
      </c>
      <c r="I104" s="3473">
        <v>88</v>
      </c>
      <c r="J104" s="485"/>
      <c r="K104" s="485"/>
      <c r="L104" s="485"/>
      <c r="M104" s="485"/>
      <c r="N104" s="934"/>
      <c r="O104" s="934"/>
      <c r="P104" s="1922"/>
      <c r="Q104" s="508"/>
    </row>
    <row r="105" spans="1:17" ht="15" thickTop="1">
      <c r="A105" s="548"/>
      <c r="B105" s="487" t="s">
        <v>1738</v>
      </c>
      <c r="C105" s="3469" t="s">
        <v>3463</v>
      </c>
      <c r="D105" s="3469" t="s">
        <v>3400</v>
      </c>
      <c r="E105" s="3478" t="s">
        <v>3464</v>
      </c>
      <c r="F105" s="3478" t="s">
        <v>3465</v>
      </c>
      <c r="G105" s="3467" t="s">
        <v>3466</v>
      </c>
      <c r="H105" s="532"/>
      <c r="I105" s="532"/>
      <c r="J105" s="532"/>
      <c r="K105" s="533"/>
      <c r="L105" s="534"/>
      <c r="M105" s="535"/>
      <c r="N105" s="933"/>
      <c r="O105" s="933"/>
      <c r="P105" s="1921"/>
      <c r="Q105" s="453"/>
    </row>
    <row r="106" spans="1:17" ht="15.75" thickBot="1">
      <c r="A106" s="483"/>
      <c r="B106" s="492"/>
      <c r="C106" s="493">
        <v>100</v>
      </c>
      <c r="D106" s="493">
        <f t="shared" ref="D106:M106" si="48">C106-$K34</f>
        <v>100</v>
      </c>
      <c r="E106" s="493">
        <f t="shared" si="48"/>
        <v>100</v>
      </c>
      <c r="F106" s="493">
        <f t="shared" si="48"/>
        <v>100</v>
      </c>
      <c r="G106" s="493">
        <f t="shared" si="48"/>
        <v>100</v>
      </c>
      <c r="H106" s="493">
        <f t="shared" si="48"/>
        <v>100</v>
      </c>
      <c r="I106" s="493">
        <f t="shared" si="48"/>
        <v>100</v>
      </c>
      <c r="J106" s="493">
        <f t="shared" si="48"/>
        <v>100</v>
      </c>
      <c r="K106" s="493">
        <f t="shared" si="48"/>
        <v>100</v>
      </c>
      <c r="L106" s="493">
        <f t="shared" si="48"/>
        <v>100</v>
      </c>
      <c r="M106" s="493">
        <f t="shared" si="48"/>
        <v>100</v>
      </c>
      <c r="N106" s="934"/>
      <c r="O106" s="934"/>
      <c r="P106" s="1921"/>
      <c r="Q106" s="453"/>
    </row>
    <row r="107" spans="1:17" ht="15" thickTop="1">
      <c r="A107" s="548"/>
      <c r="B107" s="487" t="s">
        <v>1739</v>
      </c>
      <c r="C107" s="3479" t="s">
        <v>3467</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49">C108-$K35</f>
        <v>100</v>
      </c>
      <c r="E108" s="493">
        <f t="shared" si="49"/>
        <v>100</v>
      </c>
      <c r="F108" s="493">
        <f t="shared" si="49"/>
        <v>100</v>
      </c>
      <c r="G108" s="493">
        <f t="shared" si="49"/>
        <v>100</v>
      </c>
      <c r="H108" s="493">
        <f t="shared" si="49"/>
        <v>100</v>
      </c>
      <c r="I108" s="493">
        <f t="shared" si="49"/>
        <v>100</v>
      </c>
      <c r="J108" s="493">
        <f t="shared" si="49"/>
        <v>100</v>
      </c>
      <c r="K108" s="493">
        <f t="shared" si="49"/>
        <v>100</v>
      </c>
      <c r="L108" s="493">
        <f t="shared" si="49"/>
        <v>100</v>
      </c>
      <c r="M108" s="493">
        <f t="shared" si="49"/>
        <v>100</v>
      </c>
      <c r="N108" s="934"/>
      <c r="O108" s="934"/>
      <c r="P108" s="1921"/>
      <c r="Q108" s="453"/>
    </row>
    <row r="109" spans="1:17" ht="15" thickTop="1">
      <c r="A109" s="548"/>
      <c r="B109" s="487" t="s">
        <v>1740</v>
      </c>
      <c r="C109" s="3469" t="s">
        <v>3468</v>
      </c>
      <c r="D109" s="3469" t="s">
        <v>3427</v>
      </c>
      <c r="E109" s="3469" t="s">
        <v>3469</v>
      </c>
      <c r="F109" s="3478" t="s">
        <v>3470</v>
      </c>
      <c r="G109" s="532"/>
      <c r="H109" s="532"/>
      <c r="I109" s="532"/>
      <c r="J109" s="532"/>
      <c r="K109" s="533"/>
      <c r="L109" s="534"/>
      <c r="M109" s="535"/>
      <c r="N109" s="933"/>
      <c r="O109" s="933"/>
      <c r="P109" s="1921"/>
      <c r="Q109" s="453"/>
    </row>
    <row r="110" spans="1:17" ht="15.75" thickBot="1">
      <c r="A110" s="483"/>
      <c r="B110" s="492"/>
      <c r="C110" s="493">
        <v>100</v>
      </c>
      <c r="D110" s="493">
        <f t="shared" ref="D110:M110" si="50">C110-$K36</f>
        <v>100</v>
      </c>
      <c r="E110" s="493">
        <f t="shared" si="50"/>
        <v>100</v>
      </c>
      <c r="F110" s="493">
        <f t="shared" si="50"/>
        <v>100</v>
      </c>
      <c r="G110" s="493">
        <f t="shared" si="50"/>
        <v>100</v>
      </c>
      <c r="H110" s="493">
        <f t="shared" si="50"/>
        <v>100</v>
      </c>
      <c r="I110" s="493">
        <f t="shared" si="50"/>
        <v>100</v>
      </c>
      <c r="J110" s="493">
        <f t="shared" si="50"/>
        <v>100</v>
      </c>
      <c r="K110" s="493">
        <f t="shared" si="50"/>
        <v>100</v>
      </c>
      <c r="L110" s="493">
        <f t="shared" si="50"/>
        <v>100</v>
      </c>
      <c r="M110" s="493">
        <f t="shared" si="50"/>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9" t="s">
        <v>3471</v>
      </c>
      <c r="D114" s="3469" t="s">
        <v>3472</v>
      </c>
      <c r="E114" s="3467" t="s">
        <v>3473</v>
      </c>
      <c r="F114" s="3467" t="s">
        <v>3474</v>
      </c>
      <c r="G114" s="532"/>
      <c r="H114" s="532"/>
      <c r="I114" s="532"/>
      <c r="J114" s="532"/>
      <c r="K114" s="533"/>
      <c r="L114" s="534"/>
      <c r="M114" s="535"/>
      <c r="N114" s="933"/>
      <c r="O114" s="933"/>
      <c r="P114" s="1921"/>
      <c r="Q114" s="453"/>
    </row>
    <row r="115" spans="1:17" ht="15.75" thickBot="1">
      <c r="A115" s="483"/>
      <c r="B115" s="492"/>
      <c r="C115" s="493">
        <v>100</v>
      </c>
      <c r="D115" s="493">
        <f t="shared" ref="D115:M115" si="51">C115-$K38</f>
        <v>100</v>
      </c>
      <c r="E115" s="493">
        <f t="shared" si="51"/>
        <v>100</v>
      </c>
      <c r="F115" s="493">
        <f t="shared" si="51"/>
        <v>100</v>
      </c>
      <c r="G115" s="493">
        <f t="shared" si="51"/>
        <v>100</v>
      </c>
      <c r="H115" s="493">
        <f t="shared" si="51"/>
        <v>100</v>
      </c>
      <c r="I115" s="493">
        <f t="shared" si="51"/>
        <v>100</v>
      </c>
      <c r="J115" s="493">
        <f t="shared" si="51"/>
        <v>100</v>
      </c>
      <c r="K115" s="493">
        <f t="shared" si="51"/>
        <v>100</v>
      </c>
      <c r="L115" s="493">
        <f t="shared" si="51"/>
        <v>100</v>
      </c>
      <c r="M115" s="493">
        <f t="shared" si="51"/>
        <v>100</v>
      </c>
      <c r="N115" s="934"/>
      <c r="O115" s="934"/>
      <c r="P115" s="1921"/>
      <c r="Q115" s="453"/>
    </row>
    <row r="116" spans="1:17" ht="15" thickTop="1">
      <c r="A116" s="548"/>
      <c r="B116" s="487" t="s">
        <v>1742</v>
      </c>
      <c r="C116" s="3469" t="s">
        <v>3444</v>
      </c>
      <c r="D116" s="3469" t="s">
        <v>3431</v>
      </c>
      <c r="E116" s="3469" t="s">
        <v>3407</v>
      </c>
      <c r="F116" s="3469" t="s">
        <v>3475</v>
      </c>
      <c r="G116" s="3469" t="s">
        <v>3476</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80" t="s">
        <v>3477</v>
      </c>
      <c r="D118" s="3480" t="s">
        <v>3478</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52">C119-$K40</f>
        <v>100</v>
      </c>
      <c r="E119" s="493">
        <f t="shared" si="52"/>
        <v>100</v>
      </c>
      <c r="F119" s="493">
        <f t="shared" si="52"/>
        <v>100</v>
      </c>
      <c r="G119" s="493">
        <f t="shared" si="52"/>
        <v>100</v>
      </c>
      <c r="H119" s="493">
        <f t="shared" si="52"/>
        <v>100</v>
      </c>
      <c r="I119" s="493">
        <f t="shared" si="52"/>
        <v>100</v>
      </c>
      <c r="J119" s="493">
        <f t="shared" si="52"/>
        <v>100</v>
      </c>
      <c r="K119" s="493">
        <f t="shared" si="52"/>
        <v>100</v>
      </c>
      <c r="L119" s="493">
        <f t="shared" si="52"/>
        <v>100</v>
      </c>
      <c r="M119" s="493">
        <f t="shared" si="52"/>
        <v>100</v>
      </c>
      <c r="N119" s="934"/>
      <c r="O119" s="934"/>
      <c r="P119" s="1921"/>
      <c r="Q119" s="453"/>
    </row>
    <row r="120" spans="1:17" s="422" customFormat="1" ht="28.5" thickTop="1">
      <c r="A120" s="542"/>
      <c r="B120" s="487" t="s">
        <v>1705</v>
      </c>
      <c r="C120" s="3471">
        <v>0</v>
      </c>
      <c r="D120" s="3471">
        <v>20</v>
      </c>
      <c r="E120" s="3471">
        <v>40</v>
      </c>
      <c r="F120" s="3471">
        <v>60</v>
      </c>
      <c r="G120" s="3471">
        <v>80</v>
      </c>
      <c r="H120" s="3471">
        <v>100</v>
      </c>
      <c r="I120" s="3471">
        <v>120</v>
      </c>
      <c r="J120" s="3471">
        <v>140</v>
      </c>
      <c r="K120" s="503"/>
      <c r="L120" s="529"/>
      <c r="M120" s="530"/>
      <c r="N120" s="935"/>
      <c r="O120" s="935"/>
      <c r="P120" s="1922"/>
      <c r="Q120" s="508"/>
    </row>
    <row r="121" spans="1:17" s="422" customFormat="1" ht="15.75" thickBot="1">
      <c r="A121" s="502"/>
      <c r="B121" s="484"/>
      <c r="C121" s="3470">
        <v>100</v>
      </c>
      <c r="D121" s="3473">
        <v>98</v>
      </c>
      <c r="E121" s="3473">
        <v>96</v>
      </c>
      <c r="F121" s="3473">
        <v>94</v>
      </c>
      <c r="G121" s="3473">
        <v>92</v>
      </c>
      <c r="H121" s="3473">
        <v>90</v>
      </c>
      <c r="I121" s="3473">
        <v>88</v>
      </c>
      <c r="J121" s="3473">
        <v>86</v>
      </c>
      <c r="K121" s="485"/>
      <c r="L121" s="485"/>
      <c r="M121" s="485"/>
      <c r="N121" s="935"/>
      <c r="O121" s="935"/>
      <c r="P121" s="1922"/>
      <c r="Q121" s="508"/>
    </row>
    <row r="122" spans="1:17" ht="15" thickTop="1">
      <c r="A122" s="548"/>
      <c r="B122" s="487" t="s">
        <v>1744</v>
      </c>
      <c r="C122" s="3469" t="s">
        <v>3468</v>
      </c>
      <c r="D122" s="3469" t="s">
        <v>3427</v>
      </c>
      <c r="E122" s="3469" t="s">
        <v>3469</v>
      </c>
      <c r="F122" s="3478" t="s">
        <v>3470</v>
      </c>
      <c r="G122" s="532"/>
      <c r="H122" s="532"/>
      <c r="I122" s="532"/>
      <c r="J122" s="532"/>
      <c r="K122" s="533"/>
      <c r="L122" s="534"/>
      <c r="M122" s="535"/>
      <c r="N122" s="933"/>
      <c r="O122" s="933"/>
      <c r="P122" s="1921"/>
      <c r="Q122" s="453"/>
    </row>
    <row r="123" spans="1:17" ht="15.75" thickBot="1">
      <c r="A123" s="483"/>
      <c r="B123" s="492"/>
      <c r="C123" s="493">
        <v>100</v>
      </c>
      <c r="D123" s="493">
        <f t="shared" ref="D123:M123" si="53">C123-$K42</f>
        <v>98</v>
      </c>
      <c r="E123" s="493">
        <f t="shared" si="53"/>
        <v>96</v>
      </c>
      <c r="F123" s="493">
        <f t="shared" si="53"/>
        <v>94</v>
      </c>
      <c r="G123" s="493">
        <f t="shared" si="53"/>
        <v>92</v>
      </c>
      <c r="H123" s="493">
        <f t="shared" si="53"/>
        <v>90</v>
      </c>
      <c r="I123" s="493">
        <f t="shared" si="53"/>
        <v>88</v>
      </c>
      <c r="J123" s="493">
        <f t="shared" si="53"/>
        <v>86</v>
      </c>
      <c r="K123" s="493">
        <f t="shared" si="53"/>
        <v>84</v>
      </c>
      <c r="L123" s="493">
        <f t="shared" si="53"/>
        <v>82</v>
      </c>
      <c r="M123" s="493">
        <f t="shared" si="53"/>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2000</v>
      </c>
      <c r="D126" s="503"/>
      <c r="E126" s="503"/>
      <c r="F126" s="503">
        <f>I44</f>
        <v>1993</v>
      </c>
      <c r="G126" s="503"/>
      <c r="H126" s="504"/>
      <c r="I126" s="504"/>
      <c r="J126" s="504"/>
      <c r="K126" s="504"/>
      <c r="L126" s="505"/>
      <c r="M126" s="506"/>
      <c r="N126" s="935"/>
      <c r="O126" s="935"/>
      <c r="P126" s="1922"/>
      <c r="Q126" s="508"/>
    </row>
    <row r="127" spans="1:17" s="422" customFormat="1" ht="15.75" thickBot="1">
      <c r="A127" s="502"/>
      <c r="B127" s="492"/>
      <c r="C127" s="509">
        <v>100</v>
      </c>
      <c r="D127" s="485"/>
      <c r="E127" s="485"/>
      <c r="F127" s="485">
        <v>99.3</v>
      </c>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0F241-2035-4A04-9A94-94186E97F37A}">
  <dimension ref="A1"/>
  <sheetViews>
    <sheetView workbookViewId="0">
      <selection activeCell="A67" sqref="A67"/>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8C0E8-66A9-410B-8DB7-50430697D62B}">
  <dimension ref="A1:P6"/>
  <sheetViews>
    <sheetView workbookViewId="0">
      <selection activeCell="L5" sqref="L5"/>
    </sheetView>
  </sheetViews>
  <sheetFormatPr defaultRowHeight="13.5"/>
  <cols>
    <col min="1" max="1" width="4.125" customWidth="1"/>
    <col min="2" max="2" width="11.875" customWidth="1"/>
    <col min="3" max="3" width="44.125" customWidth="1"/>
    <col min="5" max="5" width="5.625" customWidth="1"/>
    <col min="6" max="6" width="5.125" customWidth="1"/>
    <col min="7" max="7" width="7" customWidth="1"/>
    <col min="8" max="8" width="9" style="3481"/>
    <col min="11" max="11" width="9.5" bestFit="1" customWidth="1"/>
    <col min="12" max="12" width="11.625" bestFit="1" customWidth="1"/>
  </cols>
  <sheetData>
    <row r="1" spans="1:16">
      <c r="A1" t="s">
        <v>3483</v>
      </c>
      <c r="B1" t="s">
        <v>3479</v>
      </c>
      <c r="C1" t="s">
        <v>3484</v>
      </c>
      <c r="D1" t="s">
        <v>3440</v>
      </c>
      <c r="E1" t="s">
        <v>3480</v>
      </c>
      <c r="F1" t="s">
        <v>2546</v>
      </c>
      <c r="G1" t="s">
        <v>3485</v>
      </c>
      <c r="H1" t="s">
        <v>3486</v>
      </c>
      <c r="I1" t="s">
        <v>3487</v>
      </c>
      <c r="J1" t="s">
        <v>3488</v>
      </c>
      <c r="K1" t="s">
        <v>3439</v>
      </c>
      <c r="L1" t="s">
        <v>3489</v>
      </c>
    </row>
    <row r="2" spans="1:16" s="3491" customFormat="1">
      <c r="A2" s="3483">
        <v>1</v>
      </c>
      <c r="B2" s="3484" t="s">
        <v>3506</v>
      </c>
      <c r="C2" s="3484" t="s">
        <v>3507</v>
      </c>
      <c r="D2" s="3483">
        <v>491.09</v>
      </c>
      <c r="E2" s="3484" t="s">
        <v>3482</v>
      </c>
      <c r="F2" s="3483" t="s">
        <v>2555</v>
      </c>
      <c r="G2" s="3483" t="s">
        <v>3490</v>
      </c>
      <c r="H2" s="3483" t="s">
        <v>3491</v>
      </c>
      <c r="I2" s="3483">
        <v>2010</v>
      </c>
      <c r="J2" s="3483">
        <v>41540</v>
      </c>
      <c r="K2" s="3483">
        <v>19867046</v>
      </c>
      <c r="L2" s="3486">
        <v>44425</v>
      </c>
      <c r="M2"/>
      <c r="N2"/>
      <c r="O2"/>
      <c r="P2"/>
    </row>
    <row r="3" spans="1:16" s="3491" customFormat="1">
      <c r="A3" s="3483">
        <v>2</v>
      </c>
      <c r="B3" s="3484" t="s">
        <v>3508</v>
      </c>
      <c r="C3" s="3484" t="s">
        <v>3510</v>
      </c>
      <c r="D3" s="3483">
        <v>434.69</v>
      </c>
      <c r="E3" s="3483" t="s">
        <v>3482</v>
      </c>
      <c r="F3" s="3483" t="s">
        <v>2555</v>
      </c>
      <c r="G3" s="3483" t="s">
        <v>3490</v>
      </c>
      <c r="H3" s="3483" t="s">
        <v>3491</v>
      </c>
      <c r="I3" s="3483">
        <v>2011</v>
      </c>
      <c r="J3" s="3483">
        <v>34277</v>
      </c>
      <c r="K3" s="3483">
        <v>15000283</v>
      </c>
      <c r="L3" s="3486">
        <v>44590</v>
      </c>
      <c r="M3"/>
      <c r="N3"/>
      <c r="O3"/>
      <c r="P3"/>
    </row>
    <row r="4" spans="1:16" s="3491" customFormat="1">
      <c r="A4" s="3483">
        <v>3</v>
      </c>
      <c r="B4" s="3484" t="s">
        <v>3509</v>
      </c>
      <c r="C4" s="3484" t="s">
        <v>3511</v>
      </c>
      <c r="D4" s="3483">
        <v>226.4</v>
      </c>
      <c r="E4" s="3483" t="s">
        <v>3482</v>
      </c>
      <c r="F4" s="3483" t="s">
        <v>2555</v>
      </c>
      <c r="G4" s="3483">
        <v>2</v>
      </c>
      <c r="H4" s="3485" t="s">
        <v>3513</v>
      </c>
      <c r="I4" s="3483">
        <v>1993</v>
      </c>
      <c r="J4" s="3483">
        <f>ROUND(K4/D4,0)</f>
        <v>43286</v>
      </c>
      <c r="K4" s="3483">
        <v>9800000</v>
      </c>
      <c r="L4" s="3486">
        <v>44969</v>
      </c>
      <c r="M4"/>
      <c r="N4"/>
      <c r="O4"/>
      <c r="P4"/>
    </row>
    <row r="5" spans="1:16" s="3491" customFormat="1">
      <c r="A5">
        <v>4</v>
      </c>
      <c r="B5" t="str">
        <f>B4</f>
        <v>毓秀园</v>
      </c>
      <c r="C5" s="3449" t="s">
        <v>3512</v>
      </c>
      <c r="D5">
        <v>349.9</v>
      </c>
      <c r="E5" t="str">
        <f>E4</f>
        <v>独栋</v>
      </c>
      <c r="F5" t="str">
        <f>F4</f>
        <v>住宅</v>
      </c>
      <c r="G5">
        <v>2</v>
      </c>
      <c r="H5" s="3482" t="s">
        <v>3513</v>
      </c>
      <c r="I5">
        <v>1993</v>
      </c>
      <c r="J5">
        <f>ROUND(K5/D5,0)</f>
        <v>29794</v>
      </c>
      <c r="K5">
        <v>10425000</v>
      </c>
      <c r="L5" s="3451">
        <v>44938</v>
      </c>
      <c r="M5"/>
      <c r="N5"/>
      <c r="O5"/>
      <c r="P5"/>
    </row>
    <row r="6" spans="1:16">
      <c r="H6"/>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F402F-C43E-4617-87AF-DFF7C5CA7064}">
  <dimension ref="B2:P35"/>
  <sheetViews>
    <sheetView workbookViewId="0">
      <selection activeCell="P8" sqref="P8"/>
    </sheetView>
  </sheetViews>
  <sheetFormatPr defaultColWidth="9" defaultRowHeight="13.5"/>
  <cols>
    <col min="1" max="5" width="9" style="3489"/>
    <col min="6" max="6" width="15.125" style="3489" customWidth="1"/>
    <col min="7" max="7" width="9" style="3489"/>
    <col min="8" max="8" width="15.625" style="3489" customWidth="1"/>
    <col min="9" max="9" width="9" style="3489"/>
    <col min="10" max="10" width="13.75" style="3489" customWidth="1"/>
    <col min="11" max="13" width="9" style="3489"/>
    <col min="14" max="14" width="9.5" style="3489" bestFit="1" customWidth="1"/>
    <col min="15" max="16384" width="9" style="3489"/>
  </cols>
  <sheetData>
    <row r="2" spans="2:16">
      <c r="B2" s="3733" t="s">
        <v>3504</v>
      </c>
      <c r="C2" s="3733"/>
      <c r="D2" s="3733"/>
      <c r="E2" s="3733"/>
      <c r="F2" s="3733"/>
      <c r="G2" s="3733"/>
      <c r="H2" s="3733"/>
      <c r="I2" s="3733"/>
      <c r="J2" s="3733"/>
      <c r="K2" s="3733"/>
      <c r="L2" s="3733"/>
      <c r="M2" s="3733"/>
      <c r="N2" s="3733"/>
      <c r="O2" s="3733"/>
    </row>
    <row r="3" spans="2:16">
      <c r="D3"/>
      <c r="E3"/>
      <c r="F3"/>
      <c r="G3"/>
      <c r="H3"/>
      <c r="I3"/>
      <c r="J3"/>
      <c r="K3"/>
    </row>
    <row r="4" spans="2:16">
      <c r="D4"/>
      <c r="E4"/>
      <c r="F4"/>
      <c r="G4"/>
      <c r="H4"/>
      <c r="I4"/>
      <c r="J4"/>
      <c r="K4"/>
    </row>
    <row r="5" spans="2:16">
      <c r="C5" s="3481"/>
      <c r="D5"/>
      <c r="E5"/>
      <c r="F5"/>
      <c r="G5"/>
      <c r="H5"/>
      <c r="I5"/>
      <c r="J5"/>
      <c r="K5"/>
    </row>
    <row r="6" spans="2:16">
      <c r="C6" s="3481"/>
      <c r="D6"/>
      <c r="E6"/>
      <c r="F6"/>
      <c r="G6"/>
      <c r="H6"/>
      <c r="I6"/>
      <c r="J6"/>
      <c r="K6"/>
    </row>
    <row r="7" spans="2:16">
      <c r="C7" s="3481"/>
      <c r="D7"/>
      <c r="E7"/>
      <c r="F7"/>
      <c r="G7"/>
      <c r="H7"/>
      <c r="I7"/>
      <c r="J7"/>
      <c r="K7"/>
    </row>
    <row r="8" spans="2:16">
      <c r="C8" s="3481"/>
      <c r="D8"/>
      <c r="E8"/>
      <c r="F8"/>
      <c r="G8"/>
      <c r="H8"/>
      <c r="I8"/>
      <c r="J8"/>
      <c r="K8"/>
      <c r="N8" s="3489">
        <v>15080000</v>
      </c>
      <c r="O8" s="3489">
        <v>447.27</v>
      </c>
      <c r="P8" s="3490">
        <f>N8/O8</f>
        <v>33715.652737719945</v>
      </c>
    </row>
    <row r="9" spans="2:16">
      <c r="C9" s="3481"/>
      <c r="D9"/>
      <c r="E9"/>
      <c r="F9"/>
      <c r="G9"/>
      <c r="H9"/>
      <c r="I9"/>
      <c r="J9"/>
      <c r="K9"/>
      <c r="N9" s="3489">
        <v>16963231.329999998</v>
      </c>
      <c r="P9" s="3490">
        <f>N9/O8</f>
        <v>37926.154962327004</v>
      </c>
    </row>
    <row r="10" spans="2:16">
      <c r="C10" s="3481"/>
      <c r="D10"/>
      <c r="E10"/>
      <c r="F10"/>
      <c r="G10"/>
      <c r="H10"/>
      <c r="I10"/>
      <c r="J10"/>
      <c r="K10"/>
    </row>
    <row r="11" spans="2:16">
      <c r="C11" s="3481"/>
      <c r="D11"/>
      <c r="E11"/>
      <c r="F11"/>
      <c r="G11"/>
      <c r="H11"/>
      <c r="I11"/>
      <c r="J11"/>
      <c r="K11"/>
    </row>
    <row r="12" spans="2:16">
      <c r="C12" s="3481"/>
      <c r="D12"/>
      <c r="E12"/>
      <c r="F12"/>
      <c r="G12"/>
      <c r="H12"/>
      <c r="I12"/>
      <c r="J12"/>
      <c r="K12"/>
    </row>
    <row r="13" spans="2:16">
      <c r="C13" s="3481"/>
      <c r="D13"/>
      <c r="E13"/>
      <c r="F13"/>
      <c r="G13"/>
      <c r="H13"/>
      <c r="I13"/>
      <c r="J13"/>
      <c r="K13"/>
    </row>
    <row r="14" spans="2:16">
      <c r="C14" s="3481"/>
      <c r="D14"/>
      <c r="E14"/>
      <c r="F14"/>
      <c r="G14"/>
      <c r="H14"/>
      <c r="I14"/>
      <c r="J14"/>
      <c r="K14"/>
    </row>
    <row r="15" spans="2:16">
      <c r="C15" s="3481"/>
      <c r="D15"/>
      <c r="E15"/>
      <c r="F15"/>
      <c r="G15"/>
      <c r="H15"/>
      <c r="I15"/>
      <c r="J15"/>
      <c r="K15"/>
    </row>
    <row r="16" spans="2:16">
      <c r="C16" s="3481"/>
      <c r="D16" s="3481"/>
      <c r="E16" s="3481"/>
      <c r="F16" s="3481"/>
      <c r="G16" s="3481"/>
      <c r="H16" s="3481"/>
      <c r="I16" s="3481"/>
      <c r="J16" s="3481"/>
      <c r="K16" s="3481"/>
    </row>
    <row r="17" spans="3:11">
      <c r="C17" s="3481"/>
      <c r="D17" s="3481"/>
      <c r="E17" s="3481"/>
      <c r="F17" s="3481"/>
      <c r="G17" s="3481"/>
      <c r="H17" s="3481"/>
      <c r="I17" s="3481"/>
      <c r="J17" s="3481"/>
      <c r="K17" s="3481"/>
    </row>
    <row r="18" spans="3:11">
      <c r="C18" s="3481"/>
      <c r="D18" s="3481"/>
      <c r="E18" s="3481"/>
      <c r="F18" s="3481"/>
      <c r="G18" s="3481"/>
      <c r="H18" s="3481"/>
      <c r="I18" s="3481"/>
      <c r="J18" s="3481"/>
      <c r="K18" s="3481"/>
    </row>
    <row r="19" spans="3:11">
      <c r="C19" s="3481"/>
      <c r="D19" s="3481"/>
      <c r="E19" s="3481"/>
      <c r="F19" s="3481"/>
      <c r="G19" s="3481"/>
      <c r="H19" s="3481"/>
      <c r="I19" s="3481"/>
      <c r="J19" s="3481"/>
      <c r="K19" s="3481"/>
    </row>
    <row r="20" spans="3:11">
      <c r="C20" s="3481"/>
      <c r="D20" s="3481"/>
      <c r="E20" s="3481"/>
      <c r="F20" s="3481"/>
      <c r="G20" s="3481"/>
      <c r="H20" s="3481"/>
      <c r="I20" s="3481"/>
      <c r="J20" s="3481"/>
      <c r="K20" s="3481"/>
    </row>
    <row r="21" spans="3:11">
      <c r="C21" s="3481"/>
      <c r="D21" s="3481"/>
      <c r="E21" s="3481"/>
      <c r="F21" s="3481"/>
      <c r="G21" s="3481"/>
      <c r="H21" s="3481"/>
      <c r="I21" s="3481"/>
      <c r="J21" s="3481"/>
      <c r="K21" s="3481"/>
    </row>
    <row r="22" spans="3:11">
      <c r="C22" s="3481"/>
      <c r="D22" s="3481"/>
      <c r="E22" s="3481"/>
      <c r="F22" s="3481"/>
      <c r="G22" s="3481"/>
      <c r="H22" s="3481"/>
      <c r="I22" s="3481"/>
      <c r="J22" s="3481"/>
      <c r="K22" s="3481"/>
    </row>
    <row r="23" spans="3:11">
      <c r="C23" s="3481"/>
      <c r="D23" s="3481"/>
      <c r="E23" s="3481"/>
      <c r="F23" s="3481"/>
      <c r="G23" s="3481"/>
      <c r="H23" s="3481"/>
      <c r="I23" s="3481"/>
      <c r="J23" s="3481"/>
      <c r="K23" s="3481"/>
    </row>
    <row r="24" spans="3:11">
      <c r="C24" s="3481"/>
      <c r="D24" s="3481"/>
      <c r="E24" s="3481"/>
      <c r="F24" s="3481"/>
      <c r="G24" s="3481"/>
      <c r="H24" s="3481"/>
      <c r="I24" s="3481"/>
      <c r="J24" s="3481"/>
      <c r="K24" s="3481"/>
    </row>
    <row r="25" spans="3:11">
      <c r="C25" s="3481"/>
      <c r="D25" s="3481"/>
      <c r="E25" s="3481"/>
      <c r="F25" s="3481"/>
      <c r="G25" s="3481"/>
      <c r="H25" s="3481"/>
      <c r="I25" s="3481"/>
      <c r="J25" s="3481"/>
      <c r="K25" s="3481"/>
    </row>
    <row r="26" spans="3:11">
      <c r="C26" s="3481"/>
      <c r="D26" s="3481"/>
      <c r="E26" s="3481"/>
      <c r="F26" s="3481"/>
      <c r="G26" s="3481"/>
      <c r="H26" s="3481"/>
      <c r="I26" s="3481"/>
      <c r="J26" s="3481"/>
      <c r="K26" s="3481"/>
    </row>
    <row r="27" spans="3:11">
      <c r="C27" s="3481"/>
      <c r="D27" s="3481"/>
      <c r="E27" s="3481"/>
      <c r="F27" s="3481"/>
      <c r="G27" s="3481"/>
      <c r="H27" s="3481"/>
      <c r="I27" s="3481"/>
      <c r="J27" s="3481"/>
      <c r="K27" s="3481"/>
    </row>
    <row r="28" spans="3:11">
      <c r="C28" s="3481"/>
      <c r="D28" s="3481"/>
      <c r="E28" s="3481"/>
      <c r="F28" s="3481"/>
      <c r="G28" s="3481"/>
      <c r="H28" s="3481"/>
      <c r="I28" s="3481"/>
      <c r="J28" s="3481"/>
      <c r="K28" s="3481"/>
    </row>
    <row r="30" spans="3:11">
      <c r="J30" s="3734"/>
    </row>
    <row r="31" spans="3:11">
      <c r="J31" s="3735"/>
    </row>
    <row r="32" spans="3:11">
      <c r="J32" s="3735"/>
    </row>
    <row r="33" spans="10:10">
      <c r="J33" s="3735"/>
    </row>
    <row r="34" spans="10:10">
      <c r="J34" s="3735"/>
    </row>
    <row r="35" spans="10:10">
      <c r="J35" s="3735"/>
    </row>
  </sheetData>
  <mergeCells count="2">
    <mergeCell ref="B2:O2"/>
    <mergeCell ref="J30:J3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6F9C-3214-42DA-B723-BBC4024F124B}">
  <dimension ref="A1"/>
  <sheetViews>
    <sheetView workbookViewId="0">
      <selection sqref="A1:XFD33"/>
    </sheetView>
  </sheetViews>
  <sheetFormatPr defaultRowHeight="13.5"/>
  <cols>
    <col min="1" max="1" width="2.875" customWidth="1"/>
    <col min="2" max="2" width="12.75" customWidth="1"/>
    <col min="4" max="4" width="7.125" customWidth="1"/>
    <col min="5" max="5" width="4.625" customWidth="1"/>
    <col min="6" max="6" width="4.25" customWidth="1"/>
    <col min="8" max="8" width="4.125" customWidth="1"/>
    <col min="9" max="9" width="12.75" customWidth="1"/>
    <col min="10" max="11" width="9" customWidth="1"/>
    <col min="12" max="12" width="5.5" customWidth="1"/>
    <col min="13" max="13" width="5.375" customWidth="1"/>
    <col min="14" max="14" width="9" customWidth="1"/>
    <col min="15" max="15" width="4" customWidth="1"/>
    <col min="16" max="16" width="4.625" customWidth="1"/>
    <col min="17" max="17" width="7.25" customWidth="1"/>
    <col min="18" max="18" width="5.375" customWidth="1"/>
  </cols>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22" sqref="C2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3445</v>
      </c>
      <c r="C1" s="198"/>
      <c r="D1" s="198"/>
      <c r="E1" s="198"/>
      <c r="F1" s="198"/>
      <c r="G1" s="1126">
        <f>MATCH(B1,'数据-取费表'!A6:A16,0)+5</f>
        <v>6</v>
      </c>
    </row>
    <row r="2" spans="1:9" s="200" customFormat="1" ht="18" customHeight="1">
      <c r="A2" s="201" t="s">
        <v>1462</v>
      </c>
      <c r="B2" s="202">
        <f ca="1">IF(D2="——",C52,C52-E2)</f>
        <v>3923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80192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2577</v>
      </c>
      <c r="D5" s="211" t="s">
        <v>1469</v>
      </c>
      <c r="E5" s="212" t="s">
        <v>1470</v>
      </c>
      <c r="F5" s="212" t="s">
        <v>1471</v>
      </c>
      <c r="G5" s="213"/>
    </row>
    <row r="6" spans="1:9" s="214" customFormat="1" ht="13.5" customHeight="1">
      <c r="A6" s="778" t="s">
        <v>1472</v>
      </c>
      <c r="B6" s="215" t="s">
        <v>1473</v>
      </c>
      <c r="C6" s="216">
        <f>基准地价修正!E33</f>
        <v>2501</v>
      </c>
      <c r="D6" s="217"/>
      <c r="E6" s="218"/>
      <c r="F6" s="218"/>
      <c r="G6" s="219"/>
    </row>
    <row r="7" spans="1:9" s="214" customFormat="1" ht="13.5" customHeight="1">
      <c r="A7" s="778" t="s">
        <v>1474</v>
      </c>
      <c r="B7" s="215" t="s">
        <v>1475</v>
      </c>
      <c r="C7" s="220">
        <f>ROUND(C6*F7,0)</f>
        <v>76</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5" t="s">
        <v>451</v>
      </c>
    </row>
    <row r="9" spans="1:9" s="214" customFormat="1" ht="13.5" customHeight="1">
      <c r="A9" s="779" t="s">
        <v>355</v>
      </c>
      <c r="B9" s="224" t="s">
        <v>1478</v>
      </c>
      <c r="C9" s="225">
        <f ca="1">ROUND(D9*E9/10000,0)</f>
        <v>8</v>
      </c>
      <c r="D9" s="845">
        <f ca="1">IF(B1="",'数据-汇总表'!E5,IF(INDIRECT("'数据-取费表'!c"&amp;$G$1)="住宅",INDIRECT("'数据-取费表'!k"&amp;$G$1),0))</f>
        <v>489.2</v>
      </c>
      <c r="E9" s="225">
        <f>'数据-取费表'!B27</f>
        <v>160</v>
      </c>
      <c r="F9" s="221"/>
      <c r="G9" s="1856" t="s">
        <v>3398</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v>
      </c>
      <c r="D19" s="849">
        <f ca="1">D9+D10</f>
        <v>489.2</v>
      </c>
      <c r="E19" s="211">
        <f>'数据-取费表'!B31</f>
        <v>200</v>
      </c>
      <c r="F19" s="231"/>
      <c r="G19" s="1855" t="s">
        <v>436</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v>
      </c>
      <c r="D22" s="235">
        <f ca="1">C26</f>
        <v>4.0000000000000002E-4</v>
      </c>
      <c r="E22" s="236" t="s">
        <v>1498</v>
      </c>
      <c r="F22" s="237">
        <f ca="1">'数据-取费表'!B40</f>
        <v>4.3500000000000004E-2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660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660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3700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196</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10</v>
      </c>
      <c r="D36" s="220"/>
      <c r="E36" s="220"/>
      <c r="F36" s="259">
        <f>'数据-取费表'!B34</f>
        <v>0.05</v>
      </c>
      <c r="G36" s="260" t="s">
        <v>1530</v>
      </c>
    </row>
    <row r="37" spans="1:7" s="258" customFormat="1" ht="13.5" customHeight="1">
      <c r="A37" s="780" t="s">
        <v>353</v>
      </c>
      <c r="B37" s="215" t="s">
        <v>1531</v>
      </c>
      <c r="C37" s="249">
        <f ca="1">ROUND(E37*D37*F34/10000,0)</f>
        <v>10</v>
      </c>
      <c r="D37" s="217">
        <f ca="1">D19</f>
        <v>489.2</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v>
      </c>
      <c r="D42" s="238"/>
      <c r="E42" s="238"/>
      <c r="F42" s="239"/>
      <c r="G42" s="3736" t="s">
        <v>1544</v>
      </c>
    </row>
    <row r="43" spans="1:7" ht="13.5" customHeight="1">
      <c r="A43" s="780" t="s">
        <v>347</v>
      </c>
      <c r="B43" s="215" t="s">
        <v>1545</v>
      </c>
      <c r="C43" s="238">
        <f ca="1">ROUND(IF('数据-取费表'!B22&lt;=1,C39*F22*'数据-取费表'!B21/2,C39*(POWER((1+F22),'数据-取费表'!B21/2)-1)),0)</f>
        <v>0</v>
      </c>
      <c r="D43" s="238"/>
      <c r="E43" s="238"/>
      <c r="F43" s="239"/>
      <c r="G43" s="3737"/>
    </row>
    <row r="44" spans="1:7" ht="13.5" customHeight="1">
      <c r="A44" s="780" t="s">
        <v>348</v>
      </c>
      <c r="B44" s="215" t="s">
        <v>1546</v>
      </c>
      <c r="C44" s="238">
        <f ca="1">ROUND(IF('数据-取费表'!B22&lt;=1,C40*F22*'数据-取费表'!B21/2,C40*(POWER((1+F22),'数据-取费表'!B21/2)-1)),4)</f>
        <v>4.0000000000000002E-4</v>
      </c>
      <c r="D44" s="238"/>
      <c r="E44" s="238"/>
      <c r="F44" s="239"/>
      <c r="G44" s="3738"/>
    </row>
    <row r="45" spans="1:7" s="214" customFormat="1" ht="13.5" customHeight="1">
      <c r="A45" s="255" t="s">
        <v>1547</v>
      </c>
      <c r="B45" s="244" t="s">
        <v>1513</v>
      </c>
      <c r="C45" s="245">
        <f ca="1">C46</f>
        <v>58</v>
      </c>
      <c r="D45" s="235">
        <f ca="1">C47</f>
        <v>5.0000000000000001E-3</v>
      </c>
      <c r="E45" s="236" t="s">
        <v>1539</v>
      </c>
      <c r="F45" s="246">
        <f ca="1">F27</f>
        <v>0.25</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223</v>
      </c>
      <c r="D51" s="232"/>
      <c r="E51" s="232"/>
      <c r="F51" s="264"/>
      <c r="G51" s="234" t="s">
        <v>1560</v>
      </c>
    </row>
    <row r="52" spans="1:7" s="208" customFormat="1" ht="16.5" thickBot="1">
      <c r="A52" s="265" t="s">
        <v>1561</v>
      </c>
      <c r="B52" s="266"/>
      <c r="C52" s="267">
        <f ca="1">C31+C51</f>
        <v>3923</v>
      </c>
      <c r="D52" s="266"/>
      <c r="E52" s="266"/>
      <c r="F52" s="266"/>
      <c r="G52" s="268"/>
    </row>
    <row r="55" spans="1:7" ht="15">
      <c r="B55" s="270" t="s">
        <v>1562</v>
      </c>
      <c r="C55" s="271"/>
    </row>
    <row r="56" spans="1:7">
      <c r="B56" s="273" t="s">
        <v>802</v>
      </c>
      <c r="C56" s="275">
        <f ca="1">1-C57</f>
        <v>0.94299999999999995</v>
      </c>
    </row>
    <row r="57" spans="1:7">
      <c r="B57" s="273" t="s">
        <v>803</v>
      </c>
      <c r="C57" s="274">
        <f ca="1">ROUND(C51/C52,3)</f>
        <v>5.7000000000000002E-2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估价对象为北京市房地产，为所有。根据《国有土地使用证》[]，估价对象（分摊）出让国有建设用地使用权面积为1397.71平方米，建筑面积为489.2平方米。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估价对象为北京市房地产,属开发建设的，该项目尚在开发建设中。根据《国有土地使用证》[]，估价对象（分摊）出让国有建设用地使用权面积为1397.71平方米，规划建筑面积为489.2平方米。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2023年9月14日（评估专业人员实地查勘之日）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245.79859999999999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5025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78272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78272</v>
      </c>
      <c r="D8" s="222"/>
      <c r="E8" s="220"/>
      <c r="F8" s="221"/>
      <c r="G8" s="1855"/>
    </row>
    <row r="9" spans="1:8" s="214" customFormat="1" ht="13.5" customHeight="1">
      <c r="A9" s="779" t="s">
        <v>355</v>
      </c>
      <c r="B9" s="224" t="s">
        <v>1478</v>
      </c>
      <c r="C9" s="225">
        <f ca="1">ROUND(D9*E9,0)</f>
        <v>78272</v>
      </c>
      <c r="D9" s="845">
        <f ca="1">IF(B1="",'数据-汇总表'!E5,IF(INDIRECT("'数据-取费表'!c"&amp;$G$1)="住宅",INDIRECT("'数据-取费表'!k"&amp;$G$1),0))</f>
        <v>489.2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97840</v>
      </c>
      <c r="D19" s="849">
        <f ca="1">D9+D10</f>
        <v>489.2</v>
      </c>
      <c r="E19" s="211">
        <f>'数据-取费表'!B31</f>
        <v>200</v>
      </c>
      <c r="F19" s="231"/>
      <c r="G19" s="1855"/>
    </row>
    <row r="20" spans="1:7" s="214" customFormat="1" ht="13.5" customHeight="1">
      <c r="A20" s="255" t="s">
        <v>1574</v>
      </c>
      <c r="B20" s="210" t="s">
        <v>1575</v>
      </c>
      <c r="C20" s="232">
        <f ca="1">ROUND((C5+C19)*F20,0)</f>
        <v>3522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7738</v>
      </c>
      <c r="D22" s="235">
        <f ca="1">C26</f>
        <v>4.0000000000000002E-4</v>
      </c>
      <c r="E22" s="236" t="s">
        <v>1579</v>
      </c>
      <c r="F22" s="237">
        <f ca="1">'数据-取费表'!B40</f>
        <v>4.3500000000000004E-2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3405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4256</v>
      </c>
      <c r="D24" s="238"/>
      <c r="E24" s="238"/>
      <c r="F24" s="239"/>
      <c r="G24" s="240" t="s">
        <v>1586</v>
      </c>
    </row>
    <row r="25" spans="1:7" s="214" customFormat="1" ht="24">
      <c r="A25" s="780" t="s">
        <v>1476</v>
      </c>
      <c r="B25" s="215" t="s">
        <v>1587</v>
      </c>
      <c r="C25" s="1128">
        <f ca="1">ROUND(IF('数据-取费表'!B22&lt;=1,C20*F22*'数据-取费表'!B22/2,C20*(POWER((1+F22),'数据-取费表'!B22/2)-1)),0)</f>
        <v>77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44909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44909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251877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2240536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1956800</v>
      </c>
      <c r="D34" s="217"/>
      <c r="E34" s="220"/>
      <c r="F34" s="257"/>
      <c r="G34" s="219"/>
    </row>
    <row r="35" spans="1:7" ht="13.5" customHeight="1">
      <c r="A35" s="780" t="s">
        <v>351</v>
      </c>
      <c r="B35" s="215" t="s">
        <v>1527</v>
      </c>
      <c r="C35" s="220">
        <f ca="1">ROUND(C34*F35,0)</f>
        <v>58704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97840</v>
      </c>
      <c r="D36" s="220"/>
      <c r="E36" s="220"/>
      <c r="F36" s="259">
        <f>'数据-取费表'!B34</f>
        <v>0.05</v>
      </c>
      <c r="G36" s="260" t="s">
        <v>1530</v>
      </c>
    </row>
    <row r="37" spans="1:7" s="258" customFormat="1" ht="13.5" customHeight="1">
      <c r="A37" s="780" t="s">
        <v>353</v>
      </c>
      <c r="B37" s="215" t="s">
        <v>1531</v>
      </c>
      <c r="C37" s="249">
        <f ca="1">ROUND(E37*D37,0)</f>
        <v>97840</v>
      </c>
      <c r="D37" s="217">
        <f ca="1">D19</f>
        <v>489.2</v>
      </c>
      <c r="E37" s="249">
        <f>'数据-取费表'!B35</f>
        <v>200</v>
      </c>
      <c r="F37" s="259"/>
      <c r="G37" s="261"/>
    </row>
    <row r="38" spans="1:7" ht="13.5" customHeight="1">
      <c r="A38" s="780" t="s">
        <v>354</v>
      </c>
      <c r="B38" s="215" t="s">
        <v>1533</v>
      </c>
      <c r="C38" s="220">
        <f ca="1">ROUND(C34*F38,0)</f>
        <v>29352</v>
      </c>
      <c r="D38" s="220"/>
      <c r="E38" s="220"/>
      <c r="F38" s="259">
        <f>'数据-取费表'!B36</f>
        <v>1.4999999999999999E-2</v>
      </c>
      <c r="G38" s="219" t="s">
        <v>1528</v>
      </c>
    </row>
    <row r="39" spans="1:7" s="214" customFormat="1" ht="13.5" customHeight="1">
      <c r="A39" s="255" t="s">
        <v>1534</v>
      </c>
      <c r="B39" s="210" t="s">
        <v>1535</v>
      </c>
      <c r="C39" s="232">
        <f ca="1">ROUND(C33*F20,0)</f>
        <v>44811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49707</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48732</v>
      </c>
      <c r="D42" s="238"/>
      <c r="E42" s="238"/>
      <c r="F42" s="239"/>
      <c r="G42" s="3736" t="s">
        <v>1591</v>
      </c>
    </row>
    <row r="43" spans="1:7" ht="13.5" customHeight="1">
      <c r="A43" s="780" t="s">
        <v>347</v>
      </c>
      <c r="B43" s="215" t="s">
        <v>1545</v>
      </c>
      <c r="C43" s="238">
        <f ca="1">ROUND(IF('数据-取费表'!B22&lt;=1,C39*F22*'数据-取费表'!B20/2,C39*(POWER((1+F22),'数据-取费表'!B20/2)-1)),0)</f>
        <v>975</v>
      </c>
      <c r="D43" s="238"/>
      <c r="E43" s="238"/>
      <c r="F43" s="239"/>
      <c r="G43" s="3737"/>
    </row>
    <row r="44" spans="1:7" ht="13.5" customHeight="1">
      <c r="A44" s="780" t="s">
        <v>348</v>
      </c>
      <c r="B44" s="215" t="s">
        <v>1546</v>
      </c>
      <c r="C44" s="238">
        <f ca="1">ROUND(IF('数据-取费表'!B22&lt;=1,C40*F22*'数据-取费表'!B20/2,C40*(POWER((1+F22),'数据-取费表'!B20/2)-1)),4)</f>
        <v>4.0000000000000002E-4</v>
      </c>
      <c r="D44" s="238"/>
      <c r="E44" s="238"/>
      <c r="F44" s="239"/>
      <c r="G44" s="3738"/>
    </row>
    <row r="45" spans="1:7" s="214" customFormat="1" ht="13.5" customHeight="1">
      <c r="A45" s="255" t="s">
        <v>1547</v>
      </c>
      <c r="B45" s="244" t="s">
        <v>1513</v>
      </c>
      <c r="C45" s="245">
        <f ca="1">C46</f>
        <v>571337</v>
      </c>
      <c r="D45" s="235">
        <f ca="1">C47</f>
        <v>5.0000000000000001E-3</v>
      </c>
      <c r="E45" s="236" t="s">
        <v>1539</v>
      </c>
      <c r="F45" s="246">
        <f ca="1">F27</f>
        <v>0.25</v>
      </c>
      <c r="G45" s="247" t="s">
        <v>1548</v>
      </c>
    </row>
    <row r="46" spans="1:7" s="214" customFormat="1" ht="13.5" customHeight="1">
      <c r="A46" s="780" t="s">
        <v>346</v>
      </c>
      <c r="B46" s="248" t="s">
        <v>1549</v>
      </c>
      <c r="C46" s="249">
        <f ca="1">ROUND((C33+C39)*F27,0)</f>
        <v>571337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3151584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2206109</v>
      </c>
      <c r="D51" s="232"/>
      <c r="E51" s="232"/>
      <c r="F51" s="264"/>
      <c r="G51" s="234" t="s">
        <v>1560</v>
      </c>
    </row>
    <row r="52" spans="1:7" s="208" customFormat="1" ht="16.5" thickBot="1">
      <c r="A52" s="265" t="s">
        <v>1561</v>
      </c>
      <c r="B52" s="266"/>
      <c r="C52" s="267">
        <f ca="1">C31+C51</f>
        <v>2457986</v>
      </c>
      <c r="D52" s="266"/>
      <c r="E52" s="266"/>
      <c r="F52" s="266"/>
      <c r="G52" s="268"/>
    </row>
    <row r="55" spans="1:7" ht="15">
      <c r="B55" s="270" t="s">
        <v>1562</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-10</v>
      </c>
      <c r="C2" s="276" t="s">
        <v>1595</v>
      </c>
      <c r="D2" s="276"/>
      <c r="E2" s="2805"/>
      <c r="F2" s="2805"/>
      <c r="G2" s="2805"/>
      <c r="H2" s="2805"/>
      <c r="I2" s="2805"/>
      <c r="J2" s="2805"/>
      <c r="K2" s="2805"/>
    </row>
    <row r="3" spans="1:33" ht="18" customHeight="1" thickBot="1">
      <c r="A3" s="203" t="s">
        <v>1464</v>
      </c>
      <c r="B3" s="204">
        <f ca="1">ROUND(B2*10000/IF(C1="",'数据-汇总表'!E3,INDIRECT("'数据-取费表'!K"&amp;$K$1)),0)</f>
        <v>-204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489.2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v>
      </c>
      <c r="D18" s="846"/>
      <c r="E18" s="21"/>
      <c r="F18" s="804"/>
      <c r="G18" s="1861"/>
      <c r="H18" s="1186"/>
      <c r="I18" s="1862" t="s">
        <v>1625</v>
      </c>
      <c r="J18" s="807"/>
      <c r="K18" s="808"/>
    </row>
    <row r="19" spans="1:33" s="803" customFormat="1" ht="13.5" customHeight="1">
      <c r="A19" s="800" t="s">
        <v>360</v>
      </c>
      <c r="B19" s="801" t="s">
        <v>1626</v>
      </c>
      <c r="C19" s="21">
        <f ca="1">ROUND(D19*E19/10000,0)</f>
        <v>8</v>
      </c>
      <c r="D19" s="846">
        <f ca="1">IF(C1="",'数据-汇总表'!E5,IF(INDIRECT("'数据-取费表'!c"&amp;$K$1)="住宅",INDIRECT("'数据-取费表'!k"&amp;$K$1),0))</f>
        <v>489.2</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8</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79" t="s">
        <v>694</v>
      </c>
      <c r="C6" s="1074">
        <f ca="1">ROUND(F6*F8*F7*(1-F9),0)</f>
        <v>0</v>
      </c>
      <c r="D6" s="155" t="s">
        <v>2106</v>
      </c>
      <c r="E6" s="302" t="s">
        <v>696</v>
      </c>
      <c r="F6" s="303">
        <f ca="1">INDIRECT("'数据-取费表'!u"&amp;$G$1)</f>
        <v>0</v>
      </c>
      <c r="G6" s="1383"/>
      <c r="H6" s="1069" t="s">
        <v>398</v>
      </c>
      <c r="I6" s="3679" t="s">
        <v>694</v>
      </c>
      <c r="J6" s="301">
        <f ca="1">ROUND(M6*M8*M7*(1-M9),0)</f>
        <v>0</v>
      </c>
      <c r="K6" s="1375" t="s">
        <v>2107</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3"/>
      <c r="H7" s="304"/>
      <c r="I7" s="3680"/>
      <c r="J7" s="306"/>
      <c r="K7" s="307"/>
      <c r="L7" s="302" t="s">
        <v>697</v>
      </c>
      <c r="M7" s="303">
        <f ca="1">F7</f>
        <v>0</v>
      </c>
    </row>
    <row r="8" spans="1:37" ht="18" customHeight="1">
      <c r="A8" s="304"/>
      <c r="B8" s="3680"/>
      <c r="C8" s="306"/>
      <c r="D8" s="307"/>
      <c r="E8" s="302" t="s">
        <v>698</v>
      </c>
      <c r="F8" s="303">
        <f ca="1">INDIRECT("'数据-取费表'!ai"&amp;$G$1)</f>
        <v>0</v>
      </c>
      <c r="G8" s="1383"/>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3"/>
      <c r="H9" s="304"/>
      <c r="I9" s="368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77" t="s">
        <v>837</v>
      </c>
      <c r="L53" s="3678"/>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739" t="s">
        <v>2320</v>
      </c>
      <c r="K2" s="374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41" t="s">
        <v>2330</v>
      </c>
      <c r="K3" s="374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41" t="s">
        <v>2332</v>
      </c>
      <c r="K4" s="374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43" t="s">
        <v>2336</v>
      </c>
      <c r="B6" s="3744"/>
      <c r="C6" s="3745"/>
      <c r="D6" s="2869"/>
      <c r="E6" s="2870"/>
      <c r="F6" s="2871"/>
      <c r="G6" s="2872"/>
      <c r="H6" s="2847"/>
      <c r="I6" s="2848"/>
      <c r="J6" s="3746">
        <v>1</v>
      </c>
      <c r="K6" s="374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46"/>
      <c r="K7" s="374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50" t="s">
        <v>2350</v>
      </c>
      <c r="C8" s="3751"/>
      <c r="D8" s="2888" t="s">
        <v>2351</v>
      </c>
      <c r="E8" s="2889" t="s">
        <v>2352</v>
      </c>
      <c r="F8" s="2890" t="s">
        <v>2353</v>
      </c>
      <c r="G8" s="2891"/>
      <c r="H8" s="2847"/>
      <c r="I8" s="2848"/>
      <c r="J8" s="3746"/>
      <c r="K8" s="374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50" t="s">
        <v>2356</v>
      </c>
      <c r="C9" s="3751"/>
      <c r="D9" s="2888">
        <f>ROUND(D6*E9,0)</f>
        <v>0</v>
      </c>
      <c r="E9" s="2892"/>
      <c r="F9" s="2893" t="s">
        <v>2357</v>
      </c>
      <c r="G9" s="2872"/>
      <c r="H9" s="2847"/>
      <c r="I9" s="2848"/>
      <c r="J9" s="3746"/>
      <c r="K9" s="3748"/>
      <c r="L9" s="2882" t="s">
        <v>2358</v>
      </c>
      <c r="M9" s="2883"/>
      <c r="N9" s="2859"/>
      <c r="O9" s="2884"/>
      <c r="P9" s="2884"/>
      <c r="Q9" s="2885">
        <v>365</v>
      </c>
      <c r="R9" s="2886">
        <f t="shared" si="0"/>
        <v>0</v>
      </c>
      <c r="S9" s="2840"/>
      <c r="T9" s="2840"/>
      <c r="U9" s="2840"/>
      <c r="V9" s="2848"/>
    </row>
    <row r="10" spans="1:22" s="2852" customFormat="1" ht="13.15" customHeight="1">
      <c r="A10" s="2887">
        <v>2</v>
      </c>
      <c r="B10" s="3750" t="s">
        <v>2359</v>
      </c>
      <c r="C10" s="3751"/>
      <c r="D10" s="2888">
        <f>ROUND(D6*E10,0)</f>
        <v>0</v>
      </c>
      <c r="E10" s="2892"/>
      <c r="F10" s="2893" t="s">
        <v>2360</v>
      </c>
      <c r="G10" s="2872"/>
      <c r="H10" s="2847"/>
      <c r="I10" s="2848"/>
      <c r="J10" s="3746"/>
      <c r="K10" s="3748"/>
      <c r="L10" s="2882" t="s">
        <v>2361</v>
      </c>
      <c r="M10" s="2883"/>
      <c r="N10" s="2859"/>
      <c r="O10" s="2884"/>
      <c r="P10" s="2884"/>
      <c r="Q10" s="2885">
        <v>365</v>
      </c>
      <c r="R10" s="2886">
        <f t="shared" si="0"/>
        <v>0</v>
      </c>
      <c r="S10" s="2840"/>
      <c r="T10" s="2840"/>
      <c r="U10" s="2840"/>
      <c r="V10" s="2848"/>
    </row>
    <row r="11" spans="1:22" s="2852" customFormat="1" ht="13.15" customHeight="1">
      <c r="A11" s="2887">
        <v>3</v>
      </c>
      <c r="B11" s="3750" t="s">
        <v>2362</v>
      </c>
      <c r="C11" s="3751"/>
      <c r="D11" s="2888">
        <f>D12+D14+D15+D16</f>
        <v>0</v>
      </c>
      <c r="E11" s="2894" t="e">
        <f>D11/D6</f>
        <v>#DIV/0!</v>
      </c>
      <c r="F11" s="2890"/>
      <c r="G11" s="2891"/>
      <c r="H11" s="2847"/>
      <c r="I11" s="2848"/>
      <c r="J11" s="3746"/>
      <c r="K11" s="374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52" t="s">
        <v>2365</v>
      </c>
      <c r="C12" s="3753"/>
      <c r="D12" s="2896">
        <f>ROUND(D13*1.2%*(1-30%),0)</f>
        <v>0</v>
      </c>
      <c r="E12" s="2897">
        <v>1.2E-2</v>
      </c>
      <c r="F12" s="2890" t="s">
        <v>2366</v>
      </c>
      <c r="G12" s="2891"/>
      <c r="H12" s="2847"/>
      <c r="I12" s="2848"/>
      <c r="J12" s="3746"/>
      <c r="K12" s="374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46"/>
      <c r="K13" s="374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52" t="s">
        <v>2371</v>
      </c>
      <c r="C14" s="3753"/>
      <c r="D14" s="2896">
        <f>ROUND(E14*B5/10000,0)</f>
        <v>0</v>
      </c>
      <c r="E14" s="2885"/>
      <c r="F14" s="2890" t="s">
        <v>2372</v>
      </c>
      <c r="G14" s="2891"/>
      <c r="H14" s="2847"/>
      <c r="I14" s="2848"/>
      <c r="J14" s="3746"/>
      <c r="K14" s="374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52" t="s">
        <v>2375</v>
      </c>
      <c r="C15" s="3753"/>
      <c r="D15" s="2896">
        <f>ROUND(D6*E15,0)</f>
        <v>0</v>
      </c>
      <c r="E15" s="2897">
        <v>5.5E-2</v>
      </c>
      <c r="F15" s="2890" t="s">
        <v>2376</v>
      </c>
      <c r="G15" s="2872"/>
      <c r="H15" s="2847"/>
      <c r="I15" s="2848"/>
      <c r="J15" s="3746">
        <v>2</v>
      </c>
      <c r="K15" s="374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52" t="s">
        <v>2384</v>
      </c>
      <c r="C16" s="3753"/>
      <c r="D16" s="2907">
        <f>D6*E16</f>
        <v>0</v>
      </c>
      <c r="E16" s="2908"/>
      <c r="F16" s="2893" t="s">
        <v>2385</v>
      </c>
      <c r="G16" s="2872"/>
      <c r="H16" s="2847"/>
      <c r="I16" s="2848"/>
      <c r="J16" s="3746"/>
      <c r="K16" s="374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54" t="s">
        <v>2387</v>
      </c>
      <c r="C17" s="3755"/>
      <c r="D17" s="2910">
        <f>ROUND(D6*E17,0)</f>
        <v>0</v>
      </c>
      <c r="E17" s="2911"/>
      <c r="F17" s="2912" t="s">
        <v>2388</v>
      </c>
      <c r="G17" s="2872"/>
      <c r="H17" s="2847"/>
      <c r="I17" s="2848"/>
      <c r="J17" s="3746"/>
      <c r="K17" s="374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46"/>
      <c r="K18" s="374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46"/>
      <c r="K19" s="374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6">
        <v>3</v>
      </c>
      <c r="K20" s="374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46"/>
      <c r="K21" s="374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46"/>
      <c r="K22" s="374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46"/>
      <c r="K23" s="374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46"/>
      <c r="K24" s="374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5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39" t="s">
        <v>2320</v>
      </c>
      <c r="K32" s="374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41" t="s">
        <v>2330</v>
      </c>
      <c r="K33" s="374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41" t="s">
        <v>2332</v>
      </c>
      <c r="K34" s="374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46">
        <v>1</v>
      </c>
      <c r="K36" s="374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46"/>
      <c r="K37" s="374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6"/>
      <c r="K38" s="374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46"/>
      <c r="K39" s="374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46"/>
      <c r="K40" s="374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1259</v>
      </c>
      <c r="C2" s="1871" t="s">
        <v>1651</v>
      </c>
      <c r="D2" s="1872" t="s">
        <v>1652</v>
      </c>
      <c r="E2" s="2606">
        <f>SUM(E6:E13)</f>
        <v>489.2</v>
      </c>
      <c r="F2" s="2706"/>
      <c r="G2" s="1488"/>
      <c r="H2" s="1488"/>
      <c r="I2" s="1488"/>
      <c r="J2" s="1488"/>
      <c r="K2" s="1488"/>
      <c r="L2" s="1488"/>
      <c r="M2" s="1488"/>
      <c r="N2" s="1488"/>
      <c r="O2" s="1488"/>
      <c r="P2" s="1488"/>
      <c r="Q2" s="1488"/>
      <c r="R2" s="1488"/>
      <c r="S2" s="1488"/>
    </row>
    <row r="3" spans="1:22" ht="15.75">
      <c r="A3" s="1869" t="s">
        <v>686</v>
      </c>
      <c r="B3" s="2600">
        <f ca="1">ROUND(B2*10000/E2,0)</f>
        <v>25736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1259</v>
      </c>
      <c r="C6" s="1871" t="s">
        <v>1651</v>
      </c>
      <c r="D6" s="2708"/>
      <c r="E6" s="2605">
        <f>IF(OR(A6=0,F6="否"),0,'数据-取费表'!K6+'数据-取费表'!S6)</f>
        <v>489.2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489.2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66" t="s">
        <v>1775</v>
      </c>
      <c r="Q4" s="3767"/>
      <c r="R4" s="3761" t="s">
        <v>1771</v>
      </c>
      <c r="S4" s="3762"/>
      <c r="T4" s="3761" t="s">
        <v>1772</v>
      </c>
      <c r="U4" s="3762"/>
      <c r="V4" s="3770" t="s">
        <v>1773</v>
      </c>
      <c r="W4" s="3770"/>
      <c r="X4" s="1957"/>
      <c r="Y4" s="3761" t="s">
        <v>1775</v>
      </c>
      <c r="Z4" s="3762"/>
      <c r="AA4" s="3760" t="s">
        <v>1771</v>
      </c>
      <c r="AB4" s="3760" t="s">
        <v>1772</v>
      </c>
      <c r="AC4" s="3763" t="s">
        <v>1773</v>
      </c>
    </row>
    <row r="5" spans="1:29" ht="15">
      <c r="A5" s="358"/>
      <c r="B5" s="359"/>
      <c r="C5" s="3698" t="s">
        <v>1673</v>
      </c>
      <c r="D5" s="3695"/>
      <c r="E5" s="3692" t="s">
        <v>1674</v>
      </c>
      <c r="F5" s="3693"/>
      <c r="G5" s="3698" t="s">
        <v>1675</v>
      </c>
      <c r="H5" s="3695"/>
      <c r="I5" s="3698" t="s">
        <v>1676</v>
      </c>
      <c r="J5" s="3695"/>
      <c r="K5" s="559"/>
      <c r="L5" s="2714"/>
      <c r="M5" s="2715"/>
      <c r="N5" s="2715"/>
      <c r="O5" s="2715"/>
      <c r="P5" s="3768"/>
      <c r="Q5" s="3709"/>
      <c r="R5" s="3690"/>
      <c r="S5" s="3691"/>
      <c r="T5" s="3690"/>
      <c r="U5" s="3691"/>
      <c r="V5" s="3685"/>
      <c r="W5" s="3685"/>
      <c r="X5" s="1354"/>
      <c r="Y5" s="3690"/>
      <c r="Z5" s="3691"/>
      <c r="AA5" s="3683"/>
      <c r="AB5" s="3683"/>
      <c r="AC5" s="3764"/>
    </row>
    <row r="6" spans="1:29" ht="15.75" thickBot="1">
      <c r="A6" s="360"/>
      <c r="B6" s="361"/>
      <c r="C6" s="3696" t="s">
        <v>1677</v>
      </c>
      <c r="D6" s="3697"/>
      <c r="E6" s="3699" t="s">
        <v>1677</v>
      </c>
      <c r="F6" s="3700"/>
      <c r="G6" s="3696" t="s">
        <v>1677</v>
      </c>
      <c r="H6" s="3697"/>
      <c r="I6" s="3696" t="s">
        <v>1677</v>
      </c>
      <c r="J6" s="3697"/>
      <c r="K6" s="559" t="s">
        <v>1678</v>
      </c>
      <c r="L6" s="2714"/>
      <c r="M6" s="2715"/>
      <c r="N6" s="2715"/>
      <c r="O6" s="2715"/>
      <c r="P6" s="3769"/>
      <c r="Q6" s="3711"/>
      <c r="R6" s="3690"/>
      <c r="S6" s="3691"/>
      <c r="T6" s="3712"/>
      <c r="U6" s="3713"/>
      <c r="V6" s="3685"/>
      <c r="W6" s="3685"/>
      <c r="X6" s="1354"/>
      <c r="Y6" s="3712"/>
      <c r="Z6" s="3713"/>
      <c r="AA6" s="3684"/>
      <c r="AB6" s="3684"/>
      <c r="AC6" s="3765"/>
    </row>
    <row r="7" spans="1:29" s="108" customFormat="1" ht="15.75" thickBot="1">
      <c r="A7" s="362" t="s">
        <v>1679</v>
      </c>
      <c r="B7" s="363"/>
      <c r="C7" s="364">
        <f>'数据-取费表'!B2</f>
        <v>45183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1"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1" t="s">
        <v>1683</v>
      </c>
      <c r="Q8" s="3687"/>
      <c r="R8" s="701" t="s">
        <v>14</v>
      </c>
      <c r="S8" s="702">
        <f t="shared" si="0"/>
        <v>100</v>
      </c>
      <c r="T8" s="701" t="s">
        <v>14</v>
      </c>
      <c r="U8" s="702">
        <f t="shared" si="1"/>
        <v>100</v>
      </c>
      <c r="V8" s="701" t="s">
        <v>14</v>
      </c>
      <c r="W8" s="702">
        <f t="shared" si="2"/>
        <v>100</v>
      </c>
      <c r="X8" s="703"/>
      <c r="Y8" s="3686" t="s">
        <v>1683</v>
      </c>
      <c r="Z8" s="368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1"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1691</v>
      </c>
      <c r="Q15" s="1351" t="str">
        <f t="shared" si="6"/>
        <v>办公集聚程度</v>
      </c>
      <c r="R15" s="705" t="s">
        <v>14</v>
      </c>
      <c r="S15" s="706">
        <f t="shared" si="0"/>
        <v>100</v>
      </c>
      <c r="T15" s="705" t="s">
        <v>14</v>
      </c>
      <c r="U15" s="706">
        <f t="shared" si="1"/>
        <v>100</v>
      </c>
      <c r="V15" s="705" t="s">
        <v>14</v>
      </c>
      <c r="W15" s="706">
        <f t="shared" si="2"/>
        <v>100</v>
      </c>
      <c r="X15" s="1354"/>
      <c r="Y15" s="371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6"/>
      <c r="Q16" s="1351"/>
      <c r="R16" s="705"/>
      <c r="S16" s="706"/>
      <c r="T16" s="705"/>
      <c r="U16" s="706"/>
      <c r="V16" s="705"/>
      <c r="W16" s="706"/>
      <c r="X16" s="1354"/>
      <c r="Y16" s="371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6"/>
      <c r="Q18" s="1351"/>
      <c r="R18" s="705"/>
      <c r="S18" s="706"/>
      <c r="T18" s="705"/>
      <c r="U18" s="706"/>
      <c r="V18" s="705"/>
      <c r="W18" s="706"/>
      <c r="X18" s="1354"/>
      <c r="Y18" s="371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1" t="str">
        <f>B19</f>
        <v>公共配套设施</v>
      </c>
      <c r="R19" s="705" t="s">
        <v>14</v>
      </c>
      <c r="S19" s="706">
        <f>F19</f>
        <v>100</v>
      </c>
      <c r="T19" s="705" t="s">
        <v>14</v>
      </c>
      <c r="U19" s="706">
        <f>H19</f>
        <v>100</v>
      </c>
      <c r="V19" s="705" t="s">
        <v>14</v>
      </c>
      <c r="W19" s="706">
        <f>J19</f>
        <v>100</v>
      </c>
      <c r="X19" s="1354"/>
      <c r="Y19" s="371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6"/>
      <c r="Q20" s="1351"/>
      <c r="R20" s="705"/>
      <c r="S20" s="706"/>
      <c r="T20" s="705"/>
      <c r="U20" s="706"/>
      <c r="V20" s="705"/>
      <c r="W20" s="706"/>
      <c r="X20" s="1354"/>
      <c r="Y20" s="371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16"/>
      <c r="Q22" s="1351"/>
      <c r="R22" s="705"/>
      <c r="S22" s="706"/>
      <c r="T22" s="705"/>
      <c r="U22" s="706"/>
      <c r="V22" s="705"/>
      <c r="W22" s="706"/>
      <c r="X22" s="1354"/>
      <c r="Y22" s="371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1" t="str">
        <f>B23</f>
        <v>环境质量</v>
      </c>
      <c r="R23" s="705" t="s">
        <v>14</v>
      </c>
      <c r="S23" s="706">
        <f>F23</f>
        <v>100</v>
      </c>
      <c r="T23" s="705" t="s">
        <v>14</v>
      </c>
      <c r="U23" s="706">
        <f>H23</f>
        <v>100</v>
      </c>
      <c r="V23" s="705" t="s">
        <v>14</v>
      </c>
      <c r="W23" s="706">
        <f>J23</f>
        <v>100</v>
      </c>
      <c r="X23" s="1354"/>
      <c r="Y23" s="371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6"/>
      <c r="Q24" s="1351"/>
      <c r="R24" s="705"/>
      <c r="S24" s="706"/>
      <c r="T24" s="705"/>
      <c r="U24" s="706"/>
      <c r="V24" s="705"/>
      <c r="W24" s="706"/>
      <c r="X24" s="1354"/>
      <c r="Y24" s="371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6"/>
      <c r="Q25" s="1351" t="str">
        <f>B25</f>
        <v>毗邻道路的类型与等级</v>
      </c>
      <c r="R25" s="705" t="s">
        <v>14</v>
      </c>
      <c r="S25" s="706">
        <f>F25</f>
        <v>100</v>
      </c>
      <c r="T25" s="705" t="s">
        <v>14</v>
      </c>
      <c r="U25" s="706">
        <f>H25</f>
        <v>100</v>
      </c>
      <c r="V25" s="705" t="s">
        <v>14</v>
      </c>
      <c r="W25" s="706">
        <f>J25</f>
        <v>100</v>
      </c>
      <c r="X25" s="1354"/>
      <c r="Y25" s="371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6"/>
      <c r="Q26" s="1351"/>
      <c r="R26" s="705"/>
      <c r="S26" s="706"/>
      <c r="T26" s="705"/>
      <c r="U26" s="706"/>
      <c r="V26" s="705"/>
      <c r="W26" s="706"/>
      <c r="X26" s="1354"/>
      <c r="Y26" s="371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6"/>
      <c r="Q27" s="1351" t="str">
        <f t="shared" ref="Q27:Q47" si="11">B27</f>
        <v>楼层</v>
      </c>
      <c r="R27" s="705" t="s">
        <v>14</v>
      </c>
      <c r="S27" s="706">
        <f>F27</f>
        <v>100</v>
      </c>
      <c r="T27" s="705" t="s">
        <v>14</v>
      </c>
      <c r="U27" s="706">
        <f>H27</f>
        <v>100</v>
      </c>
      <c r="V27" s="705" t="s">
        <v>14</v>
      </c>
      <c r="W27" s="706">
        <f>J27</f>
        <v>100</v>
      </c>
      <c r="X27" s="1354"/>
      <c r="Y27" s="371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6"/>
      <c r="Q28" s="1342" t="str">
        <f t="shared" si="11"/>
        <v>朝向</v>
      </c>
      <c r="R28" s="701" t="s">
        <v>14</v>
      </c>
      <c r="S28" s="702">
        <f>F28</f>
        <v>100</v>
      </c>
      <c r="T28" s="701" t="s">
        <v>14</v>
      </c>
      <c r="U28" s="702">
        <f>H28</f>
        <v>100</v>
      </c>
      <c r="V28" s="701" t="s">
        <v>14</v>
      </c>
      <c r="W28" s="702">
        <f>J28</f>
        <v>100</v>
      </c>
      <c r="X28" s="703"/>
      <c r="Y28" s="371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6"/>
      <c r="Q29" s="1351">
        <f t="shared" si="11"/>
        <v>111</v>
      </c>
      <c r="R29" s="705" t="s">
        <v>14</v>
      </c>
      <c r="S29" s="706">
        <f t="shared" ref="S29:S47" si="12">F29</f>
        <v>100</v>
      </c>
      <c r="T29" s="705" t="s">
        <v>14</v>
      </c>
      <c r="U29" s="706">
        <f t="shared" ref="U29:U47" si="13">H29</f>
        <v>100</v>
      </c>
      <c r="V29" s="705" t="s">
        <v>14</v>
      </c>
      <c r="W29" s="706">
        <f t="shared" ref="W29:W47" si="14">J29</f>
        <v>100</v>
      </c>
      <c r="X29" s="1354"/>
      <c r="Y29" s="371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6"/>
      <c r="Q30" s="1351">
        <f t="shared" si="11"/>
        <v>111</v>
      </c>
      <c r="R30" s="705" t="s">
        <v>14</v>
      </c>
      <c r="S30" s="706">
        <f t="shared" si="12"/>
        <v>100</v>
      </c>
      <c r="T30" s="705" t="s">
        <v>14</v>
      </c>
      <c r="U30" s="706">
        <f t="shared" si="13"/>
        <v>100</v>
      </c>
      <c r="V30" s="705" t="s">
        <v>14</v>
      </c>
      <c r="W30" s="706">
        <f t="shared" si="14"/>
        <v>100</v>
      </c>
      <c r="X30" s="1354"/>
      <c r="Y30" s="371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6"/>
      <c r="Q31" s="1351">
        <f t="shared" si="11"/>
        <v>111</v>
      </c>
      <c r="R31" s="705" t="s">
        <v>14</v>
      </c>
      <c r="S31" s="706">
        <f t="shared" si="12"/>
        <v>100</v>
      </c>
      <c r="T31" s="705" t="s">
        <v>14</v>
      </c>
      <c r="U31" s="706">
        <f t="shared" si="13"/>
        <v>100</v>
      </c>
      <c r="V31" s="705" t="s">
        <v>14</v>
      </c>
      <c r="W31" s="706">
        <f t="shared" si="14"/>
        <v>100</v>
      </c>
      <c r="X31" s="1354"/>
      <c r="Y31" s="371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6"/>
      <c r="Q32" s="1351">
        <f t="shared" si="11"/>
        <v>111</v>
      </c>
      <c r="R32" s="705" t="s">
        <v>14</v>
      </c>
      <c r="S32" s="706">
        <f t="shared" si="12"/>
        <v>100</v>
      </c>
      <c r="T32" s="705" t="s">
        <v>14</v>
      </c>
      <c r="U32" s="706">
        <f t="shared" si="13"/>
        <v>100</v>
      </c>
      <c r="V32" s="705" t="s">
        <v>14</v>
      </c>
      <c r="W32" s="706">
        <f t="shared" si="14"/>
        <v>100</v>
      </c>
      <c r="X32" s="1354"/>
      <c r="Y32" s="371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9" t="s">
        <v>1696</v>
      </c>
      <c r="Q33" s="1351" t="str">
        <f t="shared" si="11"/>
        <v>建筑类型</v>
      </c>
      <c r="R33" s="705" t="s">
        <v>14</v>
      </c>
      <c r="S33" s="706">
        <f t="shared" si="12"/>
        <v>100</v>
      </c>
      <c r="T33" s="705" t="s">
        <v>14</v>
      </c>
      <c r="U33" s="706">
        <f t="shared" si="13"/>
        <v>100</v>
      </c>
      <c r="V33" s="705" t="s">
        <v>14</v>
      </c>
      <c r="W33" s="706">
        <f t="shared" si="14"/>
        <v>100</v>
      </c>
      <c r="X33" s="1354"/>
      <c r="Y33" s="372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0"/>
      <c r="Q35" s="1351" t="str">
        <f t="shared" si="11"/>
        <v>建筑结构</v>
      </c>
      <c r="R35" s="705" t="s">
        <v>14</v>
      </c>
      <c r="S35" s="706">
        <f t="shared" si="12"/>
        <v>100</v>
      </c>
      <c r="T35" s="705" t="s">
        <v>14</v>
      </c>
      <c r="U35" s="706">
        <f t="shared" si="13"/>
        <v>100</v>
      </c>
      <c r="V35" s="705" t="s">
        <v>14</v>
      </c>
      <c r="W35" s="706">
        <f t="shared" si="14"/>
        <v>100</v>
      </c>
      <c r="X35" s="1354"/>
      <c r="Y35" s="372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0"/>
      <c r="Q36" s="1351" t="str">
        <f t="shared" si="11"/>
        <v>公共部分装修</v>
      </c>
      <c r="R36" s="705" t="s">
        <v>14</v>
      </c>
      <c r="S36" s="706">
        <f t="shared" si="12"/>
        <v>100</v>
      </c>
      <c r="T36" s="705" t="s">
        <v>14</v>
      </c>
      <c r="U36" s="706">
        <f t="shared" si="13"/>
        <v>100</v>
      </c>
      <c r="V36" s="705" t="s">
        <v>14</v>
      </c>
      <c r="W36" s="706">
        <f t="shared" si="14"/>
        <v>100</v>
      </c>
      <c r="X36" s="1354"/>
      <c r="Y36" s="372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0"/>
      <c r="Q37" s="1351" t="str">
        <f t="shared" si="11"/>
        <v>成新度</v>
      </c>
      <c r="R37" s="705" t="s">
        <v>14</v>
      </c>
      <c r="S37" s="706" t="e">
        <f t="shared" si="12"/>
        <v>#N/A</v>
      </c>
      <c r="T37" s="705" t="s">
        <v>14</v>
      </c>
      <c r="U37" s="706" t="e">
        <f t="shared" si="13"/>
        <v>#N/A</v>
      </c>
      <c r="V37" s="705" t="s">
        <v>14</v>
      </c>
      <c r="W37" s="706" t="e">
        <f t="shared" si="14"/>
        <v>#N/A</v>
      </c>
      <c r="X37" s="1354"/>
      <c r="Y37" s="372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0"/>
      <c r="Q38" s="1342"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0" t="s">
        <v>1696</v>
      </c>
      <c r="Q39" s="1351" t="str">
        <f t="shared" si="11"/>
        <v>物业管理</v>
      </c>
      <c r="R39" s="705" t="s">
        <v>14</v>
      </c>
      <c r="S39" s="706">
        <f t="shared" si="12"/>
        <v>100</v>
      </c>
      <c r="T39" s="705" t="s">
        <v>14</v>
      </c>
      <c r="U39" s="706">
        <f t="shared" si="13"/>
        <v>100</v>
      </c>
      <c r="V39" s="705" t="s">
        <v>14</v>
      </c>
      <c r="W39" s="706">
        <f t="shared" si="14"/>
        <v>100</v>
      </c>
      <c r="X39" s="1354"/>
      <c r="Y39" s="372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0"/>
      <c r="Q40" s="1351" t="str">
        <f t="shared" si="11"/>
        <v>市政基础设施</v>
      </c>
      <c r="R40" s="705" t="s">
        <v>14</v>
      </c>
      <c r="S40" s="706">
        <f t="shared" si="12"/>
        <v>100</v>
      </c>
      <c r="T40" s="705" t="s">
        <v>14</v>
      </c>
      <c r="U40" s="706">
        <f t="shared" si="13"/>
        <v>100</v>
      </c>
      <c r="V40" s="705" t="s">
        <v>14</v>
      </c>
      <c r="W40" s="706">
        <f t="shared" si="14"/>
        <v>100</v>
      </c>
      <c r="X40" s="1354"/>
      <c r="Y40" s="372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0"/>
      <c r="Q41" s="1351" t="str">
        <f t="shared" si="11"/>
        <v>层高</v>
      </c>
      <c r="R41" s="705" t="s">
        <v>14</v>
      </c>
      <c r="S41" s="706">
        <f t="shared" si="12"/>
        <v>100</v>
      </c>
      <c r="T41" s="705" t="s">
        <v>14</v>
      </c>
      <c r="U41" s="706">
        <f t="shared" si="13"/>
        <v>100</v>
      </c>
      <c r="V41" s="705" t="s">
        <v>14</v>
      </c>
      <c r="W41" s="706">
        <f t="shared" si="14"/>
        <v>100</v>
      </c>
      <c r="X41" s="1354"/>
      <c r="Y41" s="372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0"/>
      <c r="Q43" s="1351" t="str">
        <f t="shared" si="11"/>
        <v>内部装修</v>
      </c>
      <c r="R43" s="705" t="s">
        <v>14</v>
      </c>
      <c r="S43" s="706">
        <f t="shared" si="12"/>
        <v>100</v>
      </c>
      <c r="T43" s="705" t="s">
        <v>14</v>
      </c>
      <c r="U43" s="706">
        <f t="shared" si="13"/>
        <v>100</v>
      </c>
      <c r="V43" s="705" t="s">
        <v>14</v>
      </c>
      <c r="W43" s="706">
        <f t="shared" si="14"/>
        <v>100</v>
      </c>
      <c r="X43" s="1354"/>
      <c r="Y43" s="372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0"/>
      <c r="Q44" s="1351" t="str">
        <f t="shared" si="11"/>
        <v>内部装修维护情况</v>
      </c>
      <c r="R44" s="705" t="s">
        <v>14</v>
      </c>
      <c r="S44" s="706">
        <f t="shared" si="12"/>
        <v>100</v>
      </c>
      <c r="T44" s="705" t="s">
        <v>14</v>
      </c>
      <c r="U44" s="706">
        <f t="shared" si="13"/>
        <v>100</v>
      </c>
      <c r="V44" s="705" t="s">
        <v>14</v>
      </c>
      <c r="W44" s="706">
        <f t="shared" si="14"/>
        <v>100</v>
      </c>
      <c r="X44" s="1354"/>
      <c r="Y44" s="372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0"/>
      <c r="Q45" s="1342">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0"/>
      <c r="Q46" s="1351">
        <f t="shared" si="11"/>
        <v>111</v>
      </c>
      <c r="R46" s="705" t="s">
        <v>14</v>
      </c>
      <c r="S46" s="706">
        <f t="shared" si="12"/>
        <v>100</v>
      </c>
      <c r="T46" s="705" t="s">
        <v>14</v>
      </c>
      <c r="U46" s="706">
        <f t="shared" si="13"/>
        <v>100</v>
      </c>
      <c r="V46" s="705" t="s">
        <v>14</v>
      </c>
      <c r="W46" s="706">
        <f t="shared" si="14"/>
        <v>100</v>
      </c>
      <c r="X46" s="1354"/>
      <c r="Y46" s="372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1"/>
      <c r="Q47" s="1351">
        <f t="shared" si="11"/>
        <v>111</v>
      </c>
      <c r="R47" s="705" t="s">
        <v>14</v>
      </c>
      <c r="S47" s="706">
        <f t="shared" si="12"/>
        <v>100</v>
      </c>
      <c r="T47" s="705" t="s">
        <v>14</v>
      </c>
      <c r="U47" s="706">
        <f t="shared" si="13"/>
        <v>100</v>
      </c>
      <c r="V47" s="705" t="s">
        <v>14</v>
      </c>
      <c r="W47" s="706">
        <f t="shared" si="14"/>
        <v>100</v>
      </c>
      <c r="X47" s="1354"/>
      <c r="Y47" s="3723"/>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1" t="str">
        <f>A48</f>
        <v>成交单价（元/平方米）</v>
      </c>
      <c r="Q48" s="3724"/>
      <c r="R48" s="3725">
        <f>E48</f>
        <v>0</v>
      </c>
      <c r="S48" s="3725"/>
      <c r="T48" s="3725">
        <f>G48</f>
        <v>0</v>
      </c>
      <c r="U48" s="3725"/>
      <c r="V48" s="3725">
        <f>I48</f>
        <v>0</v>
      </c>
      <c r="W48" s="3725"/>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01"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688" t="s">
        <v>1771</v>
      </c>
      <c r="S4" s="3689"/>
      <c r="T4" s="3688" t="s">
        <v>1772</v>
      </c>
      <c r="U4" s="3689"/>
      <c r="V4" s="3685" t="s">
        <v>1773</v>
      </c>
      <c r="W4" s="3685"/>
      <c r="X4" s="1354"/>
      <c r="Y4" s="3688" t="s">
        <v>1775</v>
      </c>
      <c r="Z4" s="3689"/>
      <c r="AA4" s="3682" t="s">
        <v>1771</v>
      </c>
      <c r="AB4" s="3683" t="s">
        <v>1772</v>
      </c>
      <c r="AC4" s="3682" t="s">
        <v>1773</v>
      </c>
    </row>
    <row r="5" spans="1:29" ht="15">
      <c r="A5" s="358"/>
      <c r="B5" s="359"/>
      <c r="C5" s="3698" t="s">
        <v>1673</v>
      </c>
      <c r="D5" s="3695"/>
      <c r="E5" s="3692" t="s">
        <v>1674</v>
      </c>
      <c r="F5" s="3693"/>
      <c r="G5" s="3698" t="s">
        <v>1675</v>
      </c>
      <c r="H5" s="3695"/>
      <c r="I5" s="3698" t="s">
        <v>1676</v>
      </c>
      <c r="J5" s="3695"/>
      <c r="K5" s="559"/>
      <c r="L5" s="913"/>
      <c r="M5" s="914"/>
      <c r="N5" s="914"/>
      <c r="O5" s="914"/>
      <c r="P5" s="3708"/>
      <c r="Q5" s="3709"/>
      <c r="R5" s="3690"/>
      <c r="S5" s="3691"/>
      <c r="T5" s="3690"/>
      <c r="U5" s="3691"/>
      <c r="V5" s="3685"/>
      <c r="W5" s="3685"/>
      <c r="X5" s="1354"/>
      <c r="Y5" s="3690"/>
      <c r="Z5" s="3691"/>
      <c r="AA5" s="3683"/>
      <c r="AB5" s="3683"/>
      <c r="AC5" s="3683"/>
    </row>
    <row r="6" spans="1:29" ht="15.75" thickBot="1">
      <c r="A6" s="360"/>
      <c r="B6" s="361"/>
      <c r="C6" s="3696" t="s">
        <v>1677</v>
      </c>
      <c r="D6" s="3697"/>
      <c r="E6" s="3699" t="s">
        <v>1677</v>
      </c>
      <c r="F6" s="3700"/>
      <c r="G6" s="3696" t="s">
        <v>1677</v>
      </c>
      <c r="H6" s="3697"/>
      <c r="I6" s="3696" t="s">
        <v>1677</v>
      </c>
      <c r="J6" s="3697"/>
      <c r="K6" s="559" t="s">
        <v>1678</v>
      </c>
      <c r="L6" s="913"/>
      <c r="M6" s="914"/>
      <c r="N6" s="914"/>
      <c r="O6" s="914"/>
      <c r="P6" s="3710"/>
      <c r="Q6" s="3711"/>
      <c r="R6" s="3690"/>
      <c r="S6" s="3691"/>
      <c r="T6" s="3712"/>
      <c r="U6" s="3713"/>
      <c r="V6" s="3685"/>
      <c r="W6" s="3685"/>
      <c r="X6" s="1354"/>
      <c r="Y6" s="3712"/>
      <c r="Z6" s="3713"/>
      <c r="AA6" s="3684"/>
      <c r="AB6" s="3684"/>
      <c r="AC6" s="3684"/>
    </row>
    <row r="7" spans="1:29" s="108" customFormat="1" ht="15.75" thickBot="1">
      <c r="A7" s="362" t="s">
        <v>1679</v>
      </c>
      <c r="B7" s="363"/>
      <c r="C7" s="364">
        <f>'数据-取费表'!B2</f>
        <v>45183</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1683</v>
      </c>
      <c r="Q8" s="3687"/>
      <c r="R8" s="701" t="s">
        <v>14</v>
      </c>
      <c r="S8" s="702">
        <f t="shared" si="0"/>
        <v>100</v>
      </c>
      <c r="T8" s="701" t="s">
        <v>14</v>
      </c>
      <c r="U8" s="702">
        <f t="shared" si="1"/>
        <v>100</v>
      </c>
      <c r="V8" s="701" t="s">
        <v>14</v>
      </c>
      <c r="W8" s="702">
        <f t="shared" si="2"/>
        <v>100</v>
      </c>
      <c r="X8" s="703"/>
      <c r="Y8" s="3686"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4"/>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4"/>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4"/>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4"/>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1" t="str">
        <f t="shared" si="6"/>
        <v>产业集聚程度</v>
      </c>
      <c r="R15" s="705" t="s">
        <v>14</v>
      </c>
      <c r="S15" s="706">
        <f t="shared" si="0"/>
        <v>100</v>
      </c>
      <c r="T15" s="705" t="s">
        <v>14</v>
      </c>
      <c r="U15" s="706">
        <f t="shared" si="1"/>
        <v>100</v>
      </c>
      <c r="V15" s="705" t="s">
        <v>14</v>
      </c>
      <c r="W15" s="706">
        <f t="shared" si="2"/>
        <v>100</v>
      </c>
      <c r="X15" s="1354"/>
      <c r="Y15" s="371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8"/>
      <c r="Q16" s="1351"/>
      <c r="R16" s="705"/>
      <c r="S16" s="706"/>
      <c r="T16" s="705"/>
      <c r="U16" s="706"/>
      <c r="V16" s="705"/>
      <c r="W16" s="706"/>
      <c r="X16" s="1354"/>
      <c r="Y16" s="371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8"/>
      <c r="Q18" s="1351"/>
      <c r="R18" s="705"/>
      <c r="S18" s="706"/>
      <c r="T18" s="705"/>
      <c r="U18" s="706"/>
      <c r="V18" s="705"/>
      <c r="W18" s="706"/>
      <c r="X18" s="1354"/>
      <c r="Y18" s="371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1" t="str">
        <f>B19</f>
        <v>公共配套设施</v>
      </c>
      <c r="R19" s="705" t="s">
        <v>14</v>
      </c>
      <c r="S19" s="706">
        <f>F19</f>
        <v>100</v>
      </c>
      <c r="T19" s="705" t="s">
        <v>14</v>
      </c>
      <c r="U19" s="706">
        <f>H19</f>
        <v>100</v>
      </c>
      <c r="V19" s="705" t="s">
        <v>14</v>
      </c>
      <c r="W19" s="706">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8"/>
      <c r="Q20" s="1351"/>
      <c r="R20" s="705"/>
      <c r="S20" s="706"/>
      <c r="T20" s="705"/>
      <c r="U20" s="706"/>
      <c r="V20" s="705"/>
      <c r="W20" s="706"/>
      <c r="X20" s="1354"/>
      <c r="Y20" s="371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8"/>
      <c r="Q22" s="1351"/>
      <c r="R22" s="705"/>
      <c r="S22" s="706"/>
      <c r="T22" s="705"/>
      <c r="U22" s="706"/>
      <c r="V22" s="705"/>
      <c r="W22" s="706"/>
      <c r="X22" s="1354"/>
      <c r="Y22" s="371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1" t="str">
        <f>B23</f>
        <v>环境质量</v>
      </c>
      <c r="R23" s="705" t="s">
        <v>14</v>
      </c>
      <c r="S23" s="706">
        <f>F23</f>
        <v>100</v>
      </c>
      <c r="T23" s="705" t="s">
        <v>14</v>
      </c>
      <c r="U23" s="706">
        <f>H23</f>
        <v>100</v>
      </c>
      <c r="V23" s="705" t="s">
        <v>14</v>
      </c>
      <c r="W23" s="706">
        <f>J23</f>
        <v>100</v>
      </c>
      <c r="X23" s="1354"/>
      <c r="Y23" s="371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8"/>
      <c r="Q24" s="1351"/>
      <c r="R24" s="705"/>
      <c r="S24" s="706"/>
      <c r="T24" s="705"/>
      <c r="U24" s="706"/>
      <c r="V24" s="705"/>
      <c r="W24" s="706"/>
      <c r="X24" s="1354"/>
      <c r="Y24" s="371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1">
        <f>B25</f>
        <v>111</v>
      </c>
      <c r="R25" s="705" t="s">
        <v>14</v>
      </c>
      <c r="S25" s="706">
        <f>F25</f>
        <v>100</v>
      </c>
      <c r="T25" s="705" t="s">
        <v>14</v>
      </c>
      <c r="U25" s="706">
        <f>H25</f>
        <v>100</v>
      </c>
      <c r="V25" s="705" t="s">
        <v>14</v>
      </c>
      <c r="W25" s="706">
        <f>J25</f>
        <v>100</v>
      </c>
      <c r="X25" s="1354"/>
      <c r="Y25" s="371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1">
        <f t="shared" ref="Q26:Q40" si="11">B26</f>
        <v>111</v>
      </c>
      <c r="R26" s="705" t="s">
        <v>14</v>
      </c>
      <c r="S26" s="706">
        <f>F26</f>
        <v>100</v>
      </c>
      <c r="T26" s="705" t="s">
        <v>14</v>
      </c>
      <c r="U26" s="706">
        <f>H26</f>
        <v>100</v>
      </c>
      <c r="V26" s="705" t="s">
        <v>14</v>
      </c>
      <c r="W26" s="706">
        <f>J26</f>
        <v>100</v>
      </c>
      <c r="X26" s="1354"/>
      <c r="Y26" s="371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2">
        <f t="shared" si="11"/>
        <v>111</v>
      </c>
      <c r="R27" s="701" t="s">
        <v>14</v>
      </c>
      <c r="S27" s="702">
        <f>F27</f>
        <v>100</v>
      </c>
      <c r="T27" s="701" t="s">
        <v>14</v>
      </c>
      <c r="U27" s="702">
        <f>H27</f>
        <v>100</v>
      </c>
      <c r="V27" s="701" t="s">
        <v>14</v>
      </c>
      <c r="W27" s="702">
        <f>J27</f>
        <v>100</v>
      </c>
      <c r="X27" s="703"/>
      <c r="Y27" s="371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1">
        <f t="shared" si="11"/>
        <v>111</v>
      </c>
      <c r="R28" s="705" t="s">
        <v>14</v>
      </c>
      <c r="S28" s="706">
        <f t="shared" ref="S28:S40" si="12">F28</f>
        <v>100</v>
      </c>
      <c r="T28" s="705" t="s">
        <v>14</v>
      </c>
      <c r="U28" s="706">
        <f t="shared" ref="U28:U40" si="13">H28</f>
        <v>100</v>
      </c>
      <c r="V28" s="705" t="s">
        <v>14</v>
      </c>
      <c r="W28" s="706">
        <f t="shared" ref="W28:W40" si="14">J28</f>
        <v>100</v>
      </c>
      <c r="X28" s="1354"/>
      <c r="Y28" s="371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5" t="s">
        <v>1696</v>
      </c>
      <c r="Q29" s="1351" t="str">
        <f t="shared" si="11"/>
        <v>建筑类型</v>
      </c>
      <c r="R29" s="705" t="s">
        <v>14</v>
      </c>
      <c r="S29" s="706">
        <f t="shared" si="12"/>
        <v>100</v>
      </c>
      <c r="T29" s="705" t="s">
        <v>14</v>
      </c>
      <c r="U29" s="706">
        <f t="shared" si="13"/>
        <v>100</v>
      </c>
      <c r="V29" s="705" t="s">
        <v>14</v>
      </c>
      <c r="W29" s="706">
        <f t="shared" si="14"/>
        <v>100</v>
      </c>
      <c r="X29" s="1354"/>
      <c r="Y29" s="372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1" t="str">
        <f t="shared" si="11"/>
        <v>建筑结构</v>
      </c>
      <c r="R31" s="705" t="s">
        <v>14</v>
      </c>
      <c r="S31" s="706">
        <f t="shared" si="12"/>
        <v>100</v>
      </c>
      <c r="T31" s="705" t="s">
        <v>14</v>
      </c>
      <c r="U31" s="706">
        <f t="shared" si="13"/>
        <v>100</v>
      </c>
      <c r="V31" s="705" t="s">
        <v>14</v>
      </c>
      <c r="W31" s="706">
        <f t="shared" si="14"/>
        <v>100</v>
      </c>
      <c r="X31" s="1354"/>
      <c r="Y31" s="372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1" t="str">
        <f t="shared" si="11"/>
        <v>公共部分装修</v>
      </c>
      <c r="R32" s="705" t="s">
        <v>14</v>
      </c>
      <c r="S32" s="706">
        <f t="shared" si="12"/>
        <v>100</v>
      </c>
      <c r="T32" s="705" t="s">
        <v>14</v>
      </c>
      <c r="U32" s="706">
        <f t="shared" si="13"/>
        <v>100</v>
      </c>
      <c r="V32" s="705" t="s">
        <v>14</v>
      </c>
      <c r="W32" s="706">
        <f t="shared" si="14"/>
        <v>100</v>
      </c>
      <c r="X32" s="1354"/>
      <c r="Y32" s="372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1" t="str">
        <f t="shared" si="11"/>
        <v>成新度</v>
      </c>
      <c r="R33" s="705" t="s">
        <v>14</v>
      </c>
      <c r="S33" s="706" t="e">
        <f t="shared" si="12"/>
        <v>#N/A</v>
      </c>
      <c r="T33" s="705" t="s">
        <v>14</v>
      </c>
      <c r="U33" s="706" t="e">
        <f t="shared" si="13"/>
        <v>#N/A</v>
      </c>
      <c r="V33" s="705" t="s">
        <v>14</v>
      </c>
      <c r="W33" s="706" t="e">
        <f t="shared" si="14"/>
        <v>#N/A</v>
      </c>
      <c r="X33" s="1354"/>
      <c r="Y33" s="372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2"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1" t="str">
        <f t="shared" si="11"/>
        <v>市政基础设施</v>
      </c>
      <c r="R35" s="705" t="s">
        <v>14</v>
      </c>
      <c r="S35" s="706">
        <f t="shared" si="12"/>
        <v>100</v>
      </c>
      <c r="T35" s="705" t="s">
        <v>14</v>
      </c>
      <c r="U35" s="706">
        <f t="shared" si="13"/>
        <v>100</v>
      </c>
      <c r="V35" s="705" t="s">
        <v>14</v>
      </c>
      <c r="W35" s="706">
        <f t="shared" si="14"/>
        <v>100</v>
      </c>
      <c r="X35" s="1354"/>
      <c r="Y35" s="372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1" t="str">
        <f t="shared" si="11"/>
        <v>内部装修</v>
      </c>
      <c r="R36" s="705" t="s">
        <v>14</v>
      </c>
      <c r="S36" s="706">
        <f t="shared" si="12"/>
        <v>100</v>
      </c>
      <c r="T36" s="705" t="s">
        <v>14</v>
      </c>
      <c r="U36" s="706">
        <f t="shared" si="13"/>
        <v>100</v>
      </c>
      <c r="V36" s="705" t="s">
        <v>14</v>
      </c>
      <c r="W36" s="706">
        <f t="shared" si="14"/>
        <v>100</v>
      </c>
      <c r="X36" s="1354"/>
      <c r="Y36" s="372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1" t="str">
        <f t="shared" si="11"/>
        <v>内部装修状况</v>
      </c>
      <c r="R37" s="705" t="s">
        <v>14</v>
      </c>
      <c r="S37" s="706">
        <f t="shared" si="12"/>
        <v>100</v>
      </c>
      <c r="T37" s="705" t="s">
        <v>14</v>
      </c>
      <c r="U37" s="706">
        <f t="shared" si="13"/>
        <v>100</v>
      </c>
      <c r="V37" s="705" t="s">
        <v>14</v>
      </c>
      <c r="W37" s="706">
        <f t="shared" si="14"/>
        <v>100</v>
      </c>
      <c r="X37" s="1354"/>
      <c r="Y37" s="372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1">
        <f t="shared" si="11"/>
        <v>111</v>
      </c>
      <c r="R39" s="705" t="s">
        <v>14</v>
      </c>
      <c r="S39" s="706">
        <f t="shared" si="12"/>
        <v>100</v>
      </c>
      <c r="T39" s="705" t="s">
        <v>14</v>
      </c>
      <c r="U39" s="706">
        <f t="shared" si="13"/>
        <v>100</v>
      </c>
      <c r="V39" s="705" t="s">
        <v>14</v>
      </c>
      <c r="W39" s="706">
        <f t="shared" si="14"/>
        <v>100</v>
      </c>
      <c r="X39" s="1354"/>
      <c r="Y39" s="372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1">
        <f t="shared" si="11"/>
        <v>111</v>
      </c>
      <c r="R40" s="705" t="s">
        <v>14</v>
      </c>
      <c r="S40" s="706">
        <f t="shared" si="12"/>
        <v>100</v>
      </c>
      <c r="T40" s="705" t="s">
        <v>14</v>
      </c>
      <c r="U40" s="706">
        <f t="shared" si="13"/>
        <v>100</v>
      </c>
      <c r="V40" s="705" t="s">
        <v>14</v>
      </c>
      <c r="W40" s="706">
        <f t="shared" si="14"/>
        <v>100</v>
      </c>
      <c r="X40" s="1354"/>
      <c r="Y40" s="372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688" t="s">
        <v>1771</v>
      </c>
      <c r="S4" s="3689"/>
      <c r="T4" s="3688" t="s">
        <v>1772</v>
      </c>
      <c r="U4" s="3689"/>
      <c r="V4" s="3685" t="s">
        <v>1773</v>
      </c>
      <c r="W4" s="3685"/>
      <c r="X4" s="1354"/>
      <c r="Y4" s="3688" t="s">
        <v>1775</v>
      </c>
      <c r="Z4" s="3689"/>
      <c r="AA4" s="3682" t="s">
        <v>1771</v>
      </c>
      <c r="AB4" s="3683" t="s">
        <v>1772</v>
      </c>
      <c r="AC4" s="3682" t="s">
        <v>1773</v>
      </c>
    </row>
    <row r="5" spans="1:29" ht="15">
      <c r="A5" s="358"/>
      <c r="B5" s="359"/>
      <c r="C5" s="3698" t="s">
        <v>1673</v>
      </c>
      <c r="D5" s="3695"/>
      <c r="E5" s="3692" t="s">
        <v>1674</v>
      </c>
      <c r="F5" s="3693"/>
      <c r="G5" s="3698" t="s">
        <v>1675</v>
      </c>
      <c r="H5" s="3695"/>
      <c r="I5" s="3698" t="s">
        <v>1676</v>
      </c>
      <c r="J5" s="3695"/>
      <c r="K5" s="559"/>
      <c r="L5" s="2714"/>
      <c r="M5" s="2715"/>
      <c r="N5" s="2715"/>
      <c r="O5" s="2715"/>
      <c r="P5" s="3708"/>
      <c r="Q5" s="3709"/>
      <c r="R5" s="3690"/>
      <c r="S5" s="3691"/>
      <c r="T5" s="3690"/>
      <c r="U5" s="3691"/>
      <c r="V5" s="3685"/>
      <c r="W5" s="3685"/>
      <c r="X5" s="1354"/>
      <c r="Y5" s="3690"/>
      <c r="Z5" s="3691"/>
      <c r="AA5" s="3683"/>
      <c r="AB5" s="3683"/>
      <c r="AC5" s="3683"/>
    </row>
    <row r="6" spans="1:29" ht="15.75" thickBot="1">
      <c r="A6" s="360"/>
      <c r="B6" s="361"/>
      <c r="C6" s="3696" t="s">
        <v>1677</v>
      </c>
      <c r="D6" s="3697"/>
      <c r="E6" s="3699" t="s">
        <v>1677</v>
      </c>
      <c r="F6" s="3700"/>
      <c r="G6" s="3696" t="s">
        <v>1677</v>
      </c>
      <c r="H6" s="3697"/>
      <c r="I6" s="3696" t="s">
        <v>1677</v>
      </c>
      <c r="J6" s="3697"/>
      <c r="K6" s="559" t="s">
        <v>1678</v>
      </c>
      <c r="L6" s="2714"/>
      <c r="M6" s="2715"/>
      <c r="N6" s="2715"/>
      <c r="O6" s="2715"/>
      <c r="P6" s="3710"/>
      <c r="Q6" s="3711"/>
      <c r="R6" s="3690"/>
      <c r="S6" s="3691"/>
      <c r="T6" s="3712"/>
      <c r="U6" s="3713"/>
      <c r="V6" s="3685"/>
      <c r="W6" s="3685"/>
      <c r="X6" s="1354"/>
      <c r="Y6" s="3712"/>
      <c r="Z6" s="3713"/>
      <c r="AA6" s="3684"/>
      <c r="AB6" s="3684"/>
      <c r="AC6" s="3684"/>
    </row>
    <row r="7" spans="1:29" s="108" customFormat="1" ht="15.75" thickBot="1">
      <c r="A7" s="362" t="s">
        <v>1679</v>
      </c>
      <c r="B7" s="363"/>
      <c r="C7" s="364">
        <f>'数据-取费表'!B2</f>
        <v>45183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6" t="s">
        <v>1683</v>
      </c>
      <c r="Q8" s="3687"/>
      <c r="R8" s="701" t="s">
        <v>14</v>
      </c>
      <c r="S8" s="702">
        <f t="shared" si="0"/>
        <v>100</v>
      </c>
      <c r="T8" s="701" t="s">
        <v>14</v>
      </c>
      <c r="U8" s="702">
        <f t="shared" si="1"/>
        <v>100</v>
      </c>
      <c r="V8" s="701" t="s">
        <v>14</v>
      </c>
      <c r="W8" s="702">
        <f t="shared" si="2"/>
        <v>100</v>
      </c>
      <c r="X8" s="703"/>
      <c r="Y8" s="3686"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1686</v>
      </c>
      <c r="Q9" s="1342" t="str">
        <f t="shared" ref="Q9:Q14" si="6">B9</f>
        <v>用途</v>
      </c>
      <c r="R9" s="701" t="s">
        <v>14</v>
      </c>
      <c r="S9" s="702">
        <f t="shared" si="0"/>
        <v>100</v>
      </c>
      <c r="T9" s="701" t="s">
        <v>14</v>
      </c>
      <c r="U9" s="702">
        <f t="shared" si="1"/>
        <v>100</v>
      </c>
      <c r="V9" s="701" t="s">
        <v>14</v>
      </c>
      <c r="W9" s="702">
        <f t="shared" si="2"/>
        <v>100</v>
      </c>
      <c r="X9" s="703"/>
      <c r="Y9" s="365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7" t="s">
        <v>1691</v>
      </c>
      <c r="Q14" s="1351" t="str">
        <f t="shared" si="6"/>
        <v>交通便捷度</v>
      </c>
      <c r="R14" s="705" t="s">
        <v>14</v>
      </c>
      <c r="S14" s="706">
        <f t="shared" si="0"/>
        <v>100</v>
      </c>
      <c r="T14" s="705" t="s">
        <v>14</v>
      </c>
      <c r="U14" s="706">
        <f t="shared" si="1"/>
        <v>100</v>
      </c>
      <c r="V14" s="705" t="s">
        <v>14</v>
      </c>
      <c r="W14" s="706">
        <f t="shared" si="2"/>
        <v>100</v>
      </c>
      <c r="X14" s="1354"/>
      <c r="Y14" s="371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8"/>
      <c r="Q15" s="1351"/>
      <c r="R15" s="705"/>
      <c r="S15" s="706"/>
      <c r="T15" s="705"/>
      <c r="U15" s="706"/>
      <c r="V15" s="705"/>
      <c r="W15" s="706"/>
      <c r="X15" s="1354"/>
      <c r="Y15" s="371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8"/>
      <c r="Q16" s="1351" t="str">
        <f>B16</f>
        <v>公共配套设施</v>
      </c>
      <c r="R16" s="705" t="s">
        <v>14</v>
      </c>
      <c r="S16" s="706">
        <f>F16</f>
        <v>100</v>
      </c>
      <c r="T16" s="705" t="s">
        <v>14</v>
      </c>
      <c r="U16" s="706">
        <f>H16</f>
        <v>100</v>
      </c>
      <c r="V16" s="705" t="s">
        <v>14</v>
      </c>
      <c r="W16" s="706">
        <f>J16</f>
        <v>100</v>
      </c>
      <c r="X16" s="1354"/>
      <c r="Y16" s="371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8"/>
      <c r="Q17" s="1351"/>
      <c r="R17" s="705"/>
      <c r="S17" s="706"/>
      <c r="T17" s="705"/>
      <c r="U17" s="706"/>
      <c r="V17" s="705"/>
      <c r="W17" s="706"/>
      <c r="X17" s="1354"/>
      <c r="Y17" s="371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8"/>
      <c r="Q18" s="1351" t="str">
        <f>B18</f>
        <v>基础设施水平</v>
      </c>
      <c r="R18" s="705" t="s">
        <v>14</v>
      </c>
      <c r="S18" s="706">
        <f>F18</f>
        <v>100</v>
      </c>
      <c r="T18" s="705" t="s">
        <v>14</v>
      </c>
      <c r="U18" s="706">
        <f>H18</f>
        <v>100</v>
      </c>
      <c r="V18" s="705" t="s">
        <v>14</v>
      </c>
      <c r="W18" s="706">
        <f>J18</f>
        <v>100</v>
      </c>
      <c r="X18" s="1354"/>
      <c r="Y18" s="371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8"/>
      <c r="Q19" s="1351"/>
      <c r="R19" s="705"/>
      <c r="S19" s="706"/>
      <c r="T19" s="705"/>
      <c r="U19" s="706"/>
      <c r="V19" s="705"/>
      <c r="W19" s="706"/>
      <c r="X19" s="1354"/>
      <c r="Y19" s="371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8"/>
      <c r="Q20" s="1351" t="str">
        <f>B20</f>
        <v>自然及人文环境</v>
      </c>
      <c r="R20" s="705" t="s">
        <v>14</v>
      </c>
      <c r="S20" s="706">
        <f>F20</f>
        <v>100</v>
      </c>
      <c r="T20" s="705" t="s">
        <v>14</v>
      </c>
      <c r="U20" s="706">
        <f>H20</f>
        <v>100</v>
      </c>
      <c r="V20" s="705" t="s">
        <v>14</v>
      </c>
      <c r="W20" s="706">
        <f>J20</f>
        <v>100</v>
      </c>
      <c r="X20" s="1354"/>
      <c r="Y20" s="371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8"/>
      <c r="Q21" s="1351"/>
      <c r="R21" s="705"/>
      <c r="S21" s="706"/>
      <c r="T21" s="705"/>
      <c r="U21" s="706"/>
      <c r="V21" s="705"/>
      <c r="W21" s="706"/>
      <c r="X21" s="1354"/>
      <c r="Y21" s="371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8"/>
      <c r="Q22" s="1351" t="str">
        <f>B22</f>
        <v>楼层</v>
      </c>
      <c r="R22" s="705" t="s">
        <v>14</v>
      </c>
      <c r="S22" s="706">
        <f>F22</f>
        <v>100</v>
      </c>
      <c r="T22" s="705" t="s">
        <v>14</v>
      </c>
      <c r="U22" s="706">
        <f>H22</f>
        <v>100</v>
      </c>
      <c r="V22" s="705" t="s">
        <v>14</v>
      </c>
      <c r="W22" s="706">
        <f>J22</f>
        <v>100</v>
      </c>
      <c r="X22" s="1354"/>
      <c r="Y22" s="371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8"/>
      <c r="Q23" s="1351">
        <f>B23</f>
        <v>111</v>
      </c>
      <c r="R23" s="705" t="s">
        <v>14</v>
      </c>
      <c r="S23" s="706">
        <f>F23</f>
        <v>100</v>
      </c>
      <c r="T23" s="705" t="s">
        <v>14</v>
      </c>
      <c r="U23" s="706">
        <f>H23</f>
        <v>100</v>
      </c>
      <c r="V23" s="705" t="s">
        <v>14</v>
      </c>
      <c r="W23" s="706">
        <f>J23</f>
        <v>100</v>
      </c>
      <c r="X23" s="1354"/>
      <c r="Y23" s="371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8"/>
      <c r="Q24" s="1351">
        <f t="shared" ref="Q24:Q36" si="11">B24</f>
        <v>111</v>
      </c>
      <c r="R24" s="705" t="s">
        <v>14</v>
      </c>
      <c r="S24" s="706">
        <f>F24</f>
        <v>100</v>
      </c>
      <c r="T24" s="705" t="s">
        <v>14</v>
      </c>
      <c r="U24" s="706">
        <f>H24</f>
        <v>100</v>
      </c>
      <c r="V24" s="705" t="s">
        <v>14</v>
      </c>
      <c r="W24" s="706">
        <f>J24</f>
        <v>100</v>
      </c>
      <c r="X24" s="1354"/>
      <c r="Y24" s="371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8"/>
      <c r="Q25" s="1342">
        <f t="shared" si="11"/>
        <v>111</v>
      </c>
      <c r="R25" s="701" t="s">
        <v>14</v>
      </c>
      <c r="S25" s="702">
        <f>F25</f>
        <v>100</v>
      </c>
      <c r="T25" s="701" t="s">
        <v>14</v>
      </c>
      <c r="U25" s="702">
        <f>H25</f>
        <v>100</v>
      </c>
      <c r="V25" s="701" t="s">
        <v>14</v>
      </c>
      <c r="W25" s="702">
        <f>J25</f>
        <v>100</v>
      </c>
      <c r="X25" s="703"/>
      <c r="Y25" s="371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2"/>
      <c r="Q28" s="1351" t="str">
        <f t="shared" si="11"/>
        <v>公共部分装修</v>
      </c>
      <c r="R28" s="705" t="s">
        <v>14</v>
      </c>
      <c r="S28" s="706">
        <f t="shared" si="12"/>
        <v>100</v>
      </c>
      <c r="T28" s="705" t="s">
        <v>14</v>
      </c>
      <c r="U28" s="706">
        <f t="shared" si="13"/>
        <v>100</v>
      </c>
      <c r="V28" s="705" t="s">
        <v>14</v>
      </c>
      <c r="W28" s="706">
        <f t="shared" si="14"/>
        <v>100</v>
      </c>
      <c r="X28" s="1354"/>
      <c r="Y28" s="372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2"/>
      <c r="Q29" s="1351" t="str">
        <f t="shared" si="11"/>
        <v>成新率</v>
      </c>
      <c r="R29" s="705" t="s">
        <v>14</v>
      </c>
      <c r="S29" s="706" t="e">
        <f t="shared" si="12"/>
        <v>#N/A</v>
      </c>
      <c r="T29" s="705" t="s">
        <v>14</v>
      </c>
      <c r="U29" s="706" t="e">
        <f t="shared" si="13"/>
        <v>#N/A</v>
      </c>
      <c r="V29" s="705" t="s">
        <v>14</v>
      </c>
      <c r="W29" s="706" t="e">
        <f t="shared" si="14"/>
        <v>#N/A</v>
      </c>
      <c r="X29" s="1354"/>
      <c r="Y29" s="372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2"/>
      <c r="Q30" s="1351" t="str">
        <f t="shared" si="11"/>
        <v>物业等级</v>
      </c>
      <c r="R30" s="705" t="s">
        <v>14</v>
      </c>
      <c r="S30" s="706">
        <f t="shared" si="12"/>
        <v>100</v>
      </c>
      <c r="T30" s="705" t="s">
        <v>14</v>
      </c>
      <c r="U30" s="706">
        <f t="shared" si="13"/>
        <v>100</v>
      </c>
      <c r="V30" s="705" t="s">
        <v>14</v>
      </c>
      <c r="W30" s="706">
        <f t="shared" si="14"/>
        <v>100</v>
      </c>
      <c r="X30" s="1354"/>
      <c r="Y30" s="372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2"/>
      <c r="Q31" s="1342"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2" t="s">
        <v>1696</v>
      </c>
      <c r="Q32" s="1351" t="str">
        <f t="shared" si="11"/>
        <v>车位类型</v>
      </c>
      <c r="R32" s="705" t="s">
        <v>14</v>
      </c>
      <c r="S32" s="706">
        <f t="shared" si="12"/>
        <v>100</v>
      </c>
      <c r="T32" s="705" t="s">
        <v>14</v>
      </c>
      <c r="U32" s="706">
        <f t="shared" si="13"/>
        <v>100</v>
      </c>
      <c r="V32" s="705" t="s">
        <v>14</v>
      </c>
      <c r="W32" s="706">
        <f t="shared" si="14"/>
        <v>100</v>
      </c>
      <c r="X32" s="1354"/>
      <c r="Y32" s="372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2"/>
      <c r="Q33" s="1351" t="str">
        <f t="shared" si="11"/>
        <v>是否直接入户</v>
      </c>
      <c r="R33" s="705" t="s">
        <v>14</v>
      </c>
      <c r="S33" s="706">
        <f t="shared" si="12"/>
        <v>100</v>
      </c>
      <c r="T33" s="705" t="s">
        <v>14</v>
      </c>
      <c r="U33" s="706">
        <f t="shared" si="13"/>
        <v>100</v>
      </c>
      <c r="V33" s="705" t="s">
        <v>14</v>
      </c>
      <c r="W33" s="706">
        <f t="shared" si="14"/>
        <v>100</v>
      </c>
      <c r="X33" s="1354"/>
      <c r="Y33" s="372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2"/>
      <c r="Q34" s="1351">
        <f t="shared" si="11"/>
        <v>111</v>
      </c>
      <c r="R34" s="705" t="s">
        <v>14</v>
      </c>
      <c r="S34" s="706">
        <f t="shared" si="12"/>
        <v>100</v>
      </c>
      <c r="T34" s="705" t="s">
        <v>14</v>
      </c>
      <c r="U34" s="706">
        <f t="shared" si="13"/>
        <v>100</v>
      </c>
      <c r="V34" s="705" t="s">
        <v>14</v>
      </c>
      <c r="W34" s="706">
        <f t="shared" si="14"/>
        <v>100</v>
      </c>
      <c r="X34" s="1354"/>
      <c r="Y34" s="372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2"/>
      <c r="Q36" s="1351">
        <f t="shared" si="11"/>
        <v>111</v>
      </c>
      <c r="R36" s="705" t="s">
        <v>14</v>
      </c>
      <c r="S36" s="706">
        <f t="shared" si="12"/>
        <v>100</v>
      </c>
      <c r="T36" s="705" t="s">
        <v>14</v>
      </c>
      <c r="U36" s="706">
        <f t="shared" si="13"/>
        <v>100</v>
      </c>
      <c r="V36" s="705" t="s">
        <v>14</v>
      </c>
      <c r="W36" s="706">
        <f t="shared" si="14"/>
        <v>100</v>
      </c>
      <c r="X36" s="1354"/>
      <c r="Y36" s="3722"/>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76" t="e">
        <f>IF(F1="售价",ROUND(IF(D38="简单平均",AVERAGE(R38:W38),R38*F38+T38*H38+V38*J38),0),ROUND(IF(D38="简单平均",AVERAGE(R38:V38),R38*F38+T38*H38+V38*J38),1))</f>
        <v>#DIV/0!</v>
      </c>
      <c r="S39" s="3776"/>
      <c r="T39" s="3776"/>
      <c r="U39" s="3776"/>
      <c r="V39" s="3776"/>
      <c r="W39" s="377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688" t="s">
        <v>1771</v>
      </c>
      <c r="S4" s="3689"/>
      <c r="T4" s="3688" t="s">
        <v>1772</v>
      </c>
      <c r="U4" s="3689"/>
      <c r="V4" s="3685" t="s">
        <v>1773</v>
      </c>
      <c r="W4" s="3685"/>
      <c r="X4" s="1354"/>
      <c r="Y4" s="3688" t="s">
        <v>1775</v>
      </c>
      <c r="Z4" s="3689"/>
      <c r="AA4" s="3682" t="s">
        <v>1771</v>
      </c>
      <c r="AB4" s="3683" t="s">
        <v>1772</v>
      </c>
      <c r="AC4" s="3682" t="s">
        <v>1773</v>
      </c>
    </row>
    <row r="5" spans="1:29" ht="15">
      <c r="A5" s="358"/>
      <c r="B5" s="359"/>
      <c r="C5" s="3698" t="s">
        <v>1673</v>
      </c>
      <c r="D5" s="3695"/>
      <c r="E5" s="3692" t="s">
        <v>1674</v>
      </c>
      <c r="F5" s="3693"/>
      <c r="G5" s="3698" t="s">
        <v>1675</v>
      </c>
      <c r="H5" s="3695"/>
      <c r="I5" s="3698" t="s">
        <v>1676</v>
      </c>
      <c r="J5" s="3695"/>
      <c r="K5" s="559"/>
      <c r="L5" s="2714"/>
      <c r="M5" s="2715"/>
      <c r="N5" s="2715"/>
      <c r="O5" s="2715"/>
      <c r="P5" s="3708"/>
      <c r="Q5" s="3709"/>
      <c r="R5" s="3690"/>
      <c r="S5" s="3691"/>
      <c r="T5" s="3690"/>
      <c r="U5" s="3691"/>
      <c r="V5" s="3685"/>
      <c r="W5" s="3685"/>
      <c r="X5" s="1354"/>
      <c r="Y5" s="3690"/>
      <c r="Z5" s="3691"/>
      <c r="AA5" s="3683"/>
      <c r="AB5" s="3683"/>
      <c r="AC5" s="3683"/>
    </row>
    <row r="6" spans="1:29" ht="15.75" thickBot="1">
      <c r="A6" s="360"/>
      <c r="B6" s="361"/>
      <c r="C6" s="3696" t="s">
        <v>1677</v>
      </c>
      <c r="D6" s="3697"/>
      <c r="E6" s="3699" t="s">
        <v>1677</v>
      </c>
      <c r="F6" s="3700"/>
      <c r="G6" s="3696" t="s">
        <v>1677</v>
      </c>
      <c r="H6" s="3697"/>
      <c r="I6" s="3696" t="s">
        <v>1677</v>
      </c>
      <c r="J6" s="3697"/>
      <c r="K6" s="559" t="s">
        <v>1678</v>
      </c>
      <c r="L6" s="2714"/>
      <c r="M6" s="2715"/>
      <c r="N6" s="2715"/>
      <c r="O6" s="2715"/>
      <c r="P6" s="3710"/>
      <c r="Q6" s="3711"/>
      <c r="R6" s="3690"/>
      <c r="S6" s="3691"/>
      <c r="T6" s="3712"/>
      <c r="U6" s="3713"/>
      <c r="V6" s="3685"/>
      <c r="W6" s="3685"/>
      <c r="X6" s="1354"/>
      <c r="Y6" s="3712"/>
      <c r="Z6" s="3713"/>
      <c r="AA6" s="3684"/>
      <c r="AB6" s="3684"/>
      <c r="AC6" s="3684"/>
    </row>
    <row r="7" spans="1:29" s="108" customFormat="1" ht="15.75" thickBot="1">
      <c r="A7" s="362" t="s">
        <v>1679</v>
      </c>
      <c r="B7" s="363"/>
      <c r="C7" s="364">
        <f>'数据-取费表'!B2</f>
        <v>45183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6" t="s">
        <v>1683</v>
      </c>
      <c r="Q8" s="3687"/>
      <c r="R8" s="701" t="s">
        <v>14</v>
      </c>
      <c r="S8" s="702">
        <f t="shared" si="0"/>
        <v>100</v>
      </c>
      <c r="T8" s="701" t="s">
        <v>14</v>
      </c>
      <c r="U8" s="702">
        <f t="shared" si="1"/>
        <v>100</v>
      </c>
      <c r="V8" s="701" t="s">
        <v>14</v>
      </c>
      <c r="W8" s="702">
        <f t="shared" si="2"/>
        <v>100</v>
      </c>
      <c r="X8" s="703"/>
      <c r="Y8" s="3686"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1686</v>
      </c>
      <c r="Q9" s="1342" t="str">
        <f t="shared" ref="Q9:Q14" si="6">B9</f>
        <v>用途</v>
      </c>
      <c r="R9" s="701" t="s">
        <v>14</v>
      </c>
      <c r="S9" s="702">
        <f t="shared" si="0"/>
        <v>100</v>
      </c>
      <c r="T9" s="701" t="s">
        <v>14</v>
      </c>
      <c r="U9" s="702">
        <f t="shared" si="1"/>
        <v>100</v>
      </c>
      <c r="V9" s="701" t="s">
        <v>14</v>
      </c>
      <c r="W9" s="702">
        <f t="shared" si="2"/>
        <v>100</v>
      </c>
      <c r="X9" s="703"/>
      <c r="Y9" s="365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7" t="s">
        <v>1691</v>
      </c>
      <c r="Q14" s="1351" t="str">
        <f t="shared" si="6"/>
        <v>交通便捷度</v>
      </c>
      <c r="R14" s="705" t="s">
        <v>14</v>
      </c>
      <c r="S14" s="706">
        <f t="shared" si="0"/>
        <v>100</v>
      </c>
      <c r="T14" s="705" t="s">
        <v>14</v>
      </c>
      <c r="U14" s="706">
        <f t="shared" si="1"/>
        <v>100</v>
      </c>
      <c r="V14" s="705" t="s">
        <v>14</v>
      </c>
      <c r="W14" s="706">
        <f t="shared" si="2"/>
        <v>100</v>
      </c>
      <c r="X14" s="1354"/>
      <c r="Y14" s="371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8"/>
      <c r="Q15" s="1351"/>
      <c r="R15" s="705"/>
      <c r="S15" s="706"/>
      <c r="T15" s="705"/>
      <c r="U15" s="706"/>
      <c r="V15" s="705"/>
      <c r="W15" s="706"/>
      <c r="X15" s="1354"/>
      <c r="Y15" s="371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8"/>
      <c r="Q16" s="1351" t="str">
        <f>B16</f>
        <v>公共配套设施</v>
      </c>
      <c r="R16" s="705" t="s">
        <v>14</v>
      </c>
      <c r="S16" s="706">
        <f>F16</f>
        <v>100</v>
      </c>
      <c r="T16" s="705" t="s">
        <v>14</v>
      </c>
      <c r="U16" s="706">
        <f>H16</f>
        <v>100</v>
      </c>
      <c r="V16" s="705" t="s">
        <v>14</v>
      </c>
      <c r="W16" s="706">
        <f>J16</f>
        <v>100</v>
      </c>
      <c r="X16" s="1354"/>
      <c r="Y16" s="371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8"/>
      <c r="Q17" s="1351"/>
      <c r="R17" s="705"/>
      <c r="S17" s="706"/>
      <c r="T17" s="705"/>
      <c r="U17" s="706"/>
      <c r="V17" s="705"/>
      <c r="W17" s="706"/>
      <c r="X17" s="1354"/>
      <c r="Y17" s="371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8"/>
      <c r="Q18" s="1351" t="str">
        <f>B18</f>
        <v>基础设施水平</v>
      </c>
      <c r="R18" s="705" t="s">
        <v>14</v>
      </c>
      <c r="S18" s="706">
        <f>F18</f>
        <v>100</v>
      </c>
      <c r="T18" s="705" t="s">
        <v>14</v>
      </c>
      <c r="U18" s="706">
        <f>H18</f>
        <v>100</v>
      </c>
      <c r="V18" s="705" t="s">
        <v>14</v>
      </c>
      <c r="W18" s="706">
        <f>J18</f>
        <v>100</v>
      </c>
      <c r="X18" s="1354"/>
      <c r="Y18" s="371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8"/>
      <c r="Q19" s="1351"/>
      <c r="R19" s="705"/>
      <c r="S19" s="706"/>
      <c r="T19" s="705"/>
      <c r="U19" s="706"/>
      <c r="V19" s="705"/>
      <c r="W19" s="706"/>
      <c r="X19" s="1354"/>
      <c r="Y19" s="371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8"/>
      <c r="Q20" s="1351" t="str">
        <f>B20</f>
        <v>自然及人文环境</v>
      </c>
      <c r="R20" s="705" t="s">
        <v>14</v>
      </c>
      <c r="S20" s="706">
        <f>F20</f>
        <v>100</v>
      </c>
      <c r="T20" s="705" t="s">
        <v>14</v>
      </c>
      <c r="U20" s="706">
        <f>H20</f>
        <v>100</v>
      </c>
      <c r="V20" s="705" t="s">
        <v>14</v>
      </c>
      <c r="W20" s="706">
        <f>J20</f>
        <v>100</v>
      </c>
      <c r="X20" s="1354"/>
      <c r="Y20" s="371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8"/>
      <c r="Q21" s="1351"/>
      <c r="R21" s="705"/>
      <c r="S21" s="706"/>
      <c r="T21" s="705"/>
      <c r="U21" s="706"/>
      <c r="V21" s="705"/>
      <c r="W21" s="706"/>
      <c r="X21" s="1354"/>
      <c r="Y21" s="371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8"/>
      <c r="Q22" s="1351" t="str">
        <f>B22</f>
        <v>楼层</v>
      </c>
      <c r="R22" s="705" t="s">
        <v>14</v>
      </c>
      <c r="S22" s="706">
        <f>F22</f>
        <v>100</v>
      </c>
      <c r="T22" s="705" t="s">
        <v>14</v>
      </c>
      <c r="U22" s="706">
        <f>H22</f>
        <v>100</v>
      </c>
      <c r="V22" s="705" t="s">
        <v>14</v>
      </c>
      <c r="W22" s="706">
        <f>J22</f>
        <v>100</v>
      </c>
      <c r="X22" s="1354"/>
      <c r="Y22" s="371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8"/>
      <c r="Q23" s="1351">
        <f>B23</f>
        <v>111</v>
      </c>
      <c r="R23" s="705" t="s">
        <v>14</v>
      </c>
      <c r="S23" s="706">
        <f>F23</f>
        <v>100</v>
      </c>
      <c r="T23" s="705" t="s">
        <v>14</v>
      </c>
      <c r="U23" s="706">
        <f>H23</f>
        <v>100</v>
      </c>
      <c r="V23" s="705" t="s">
        <v>14</v>
      </c>
      <c r="W23" s="706">
        <f>J23</f>
        <v>100</v>
      </c>
      <c r="X23" s="1354"/>
      <c r="Y23" s="371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8"/>
      <c r="Q24" s="1351">
        <f t="shared" ref="Q24:Q34" si="11">B24</f>
        <v>111</v>
      </c>
      <c r="R24" s="705" t="s">
        <v>14</v>
      </c>
      <c r="S24" s="706">
        <f>F24</f>
        <v>100</v>
      </c>
      <c r="T24" s="705" t="s">
        <v>14</v>
      </c>
      <c r="U24" s="706">
        <f>H24</f>
        <v>100</v>
      </c>
      <c r="V24" s="705" t="s">
        <v>14</v>
      </c>
      <c r="W24" s="706">
        <f>J24</f>
        <v>100</v>
      </c>
      <c r="X24" s="1354"/>
      <c r="Y24" s="371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8"/>
      <c r="Q25" s="1342">
        <f t="shared" si="11"/>
        <v>111</v>
      </c>
      <c r="R25" s="701" t="s">
        <v>14</v>
      </c>
      <c r="S25" s="702">
        <f>F25</f>
        <v>100</v>
      </c>
      <c r="T25" s="701" t="s">
        <v>14</v>
      </c>
      <c r="U25" s="702">
        <f>H25</f>
        <v>100</v>
      </c>
      <c r="V25" s="701" t="s">
        <v>14</v>
      </c>
      <c r="W25" s="702">
        <f>J25</f>
        <v>100</v>
      </c>
      <c r="X25" s="703"/>
      <c r="Y25" s="371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2"/>
      <c r="Q28" s="1351" t="str">
        <f t="shared" si="11"/>
        <v>物业等级</v>
      </c>
      <c r="R28" s="705" t="s">
        <v>14</v>
      </c>
      <c r="S28" s="706">
        <f t="shared" si="12"/>
        <v>100</v>
      </c>
      <c r="T28" s="705" t="s">
        <v>14</v>
      </c>
      <c r="U28" s="706">
        <f t="shared" si="13"/>
        <v>100</v>
      </c>
      <c r="V28" s="705" t="s">
        <v>14</v>
      </c>
      <c r="W28" s="706">
        <f t="shared" si="14"/>
        <v>100</v>
      </c>
      <c r="X28" s="1354"/>
      <c r="Y28" s="372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2"/>
      <c r="Q29" s="1351" t="str">
        <f t="shared" si="11"/>
        <v>有无电梯</v>
      </c>
      <c r="R29" s="705" t="s">
        <v>14</v>
      </c>
      <c r="S29" s="706">
        <f t="shared" si="12"/>
        <v>100</v>
      </c>
      <c r="T29" s="705" t="s">
        <v>14</v>
      </c>
      <c r="U29" s="706">
        <f t="shared" si="13"/>
        <v>100</v>
      </c>
      <c r="V29" s="705" t="s">
        <v>14</v>
      </c>
      <c r="W29" s="706">
        <f t="shared" si="14"/>
        <v>100</v>
      </c>
      <c r="X29" s="1354"/>
      <c r="Y29" s="372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2"/>
      <c r="Q30" s="1351" t="str">
        <f t="shared" si="11"/>
        <v>建筑面积</v>
      </c>
      <c r="R30" s="705" t="s">
        <v>14</v>
      </c>
      <c r="S30" s="706" t="e">
        <f t="shared" si="12"/>
        <v>#N/A</v>
      </c>
      <c r="T30" s="705" t="s">
        <v>14</v>
      </c>
      <c r="U30" s="706" t="e">
        <f t="shared" si="13"/>
        <v>#N/A</v>
      </c>
      <c r="V30" s="705" t="s">
        <v>14</v>
      </c>
      <c r="W30" s="706" t="e">
        <f t="shared" si="14"/>
        <v>#N/A</v>
      </c>
      <c r="X30" s="1354"/>
      <c r="Y30" s="372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2"/>
      <c r="Q31" s="1342"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2" t="s">
        <v>1696</v>
      </c>
      <c r="Q32" s="1351">
        <f t="shared" si="11"/>
        <v>111</v>
      </c>
      <c r="R32" s="705" t="s">
        <v>14</v>
      </c>
      <c r="S32" s="706">
        <f t="shared" si="12"/>
        <v>100</v>
      </c>
      <c r="T32" s="705" t="s">
        <v>14</v>
      </c>
      <c r="U32" s="706">
        <f t="shared" si="13"/>
        <v>100</v>
      </c>
      <c r="V32" s="705" t="s">
        <v>14</v>
      </c>
      <c r="W32" s="706">
        <f t="shared" si="14"/>
        <v>100</v>
      </c>
      <c r="X32" s="1354"/>
      <c r="Y32" s="372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2"/>
      <c r="Q33" s="1351">
        <f t="shared" si="11"/>
        <v>111</v>
      </c>
      <c r="R33" s="705" t="s">
        <v>14</v>
      </c>
      <c r="S33" s="706">
        <f t="shared" si="12"/>
        <v>100</v>
      </c>
      <c r="T33" s="705" t="s">
        <v>14</v>
      </c>
      <c r="U33" s="706">
        <f t="shared" si="13"/>
        <v>100</v>
      </c>
      <c r="V33" s="705" t="s">
        <v>14</v>
      </c>
      <c r="W33" s="706">
        <f t="shared" si="14"/>
        <v>100</v>
      </c>
      <c r="X33" s="1354"/>
      <c r="Y33" s="372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2"/>
      <c r="Q34" s="1351">
        <f t="shared" si="11"/>
        <v>111</v>
      </c>
      <c r="R34" s="705" t="s">
        <v>14</v>
      </c>
      <c r="S34" s="706">
        <f t="shared" si="12"/>
        <v>100</v>
      </c>
      <c r="T34" s="705" t="s">
        <v>14</v>
      </c>
      <c r="U34" s="706">
        <f t="shared" si="13"/>
        <v>100</v>
      </c>
      <c r="V34" s="705" t="s">
        <v>14</v>
      </c>
      <c r="W34" s="706">
        <f t="shared" si="14"/>
        <v>100</v>
      </c>
      <c r="X34" s="1354"/>
      <c r="Y34" s="372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76" t="e">
        <f>IF(F1="售价",ROUND(IF(D36="简单平均",AVERAGE(R36:W36),R36*F36+T36*H36+V36*J36),0),ROUND(IF(D36="简单平均",AVERAGE(R36:V36),R36*F36+T36*H36+V36*J36),1))</f>
        <v>#DIV/0!</v>
      </c>
      <c r="S37" s="3776"/>
      <c r="T37" s="3776"/>
      <c r="U37" s="3776"/>
      <c r="V37" s="3776"/>
      <c r="W37" s="377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688" t="s">
        <v>1771</v>
      </c>
      <c r="S4" s="3689"/>
      <c r="T4" s="3688" t="s">
        <v>1772</v>
      </c>
      <c r="U4" s="3689"/>
      <c r="V4" s="3685" t="s">
        <v>1773</v>
      </c>
      <c r="W4" s="3685"/>
      <c r="X4" s="1354"/>
      <c r="Y4" s="3688" t="s">
        <v>1775</v>
      </c>
      <c r="Z4" s="3689"/>
      <c r="AA4" s="3682" t="s">
        <v>1771</v>
      </c>
      <c r="AB4" s="3683" t="s">
        <v>1772</v>
      </c>
      <c r="AC4" s="3682" t="s">
        <v>1773</v>
      </c>
    </row>
    <row r="5" spans="1:30" ht="15">
      <c r="A5" s="358"/>
      <c r="B5" s="359"/>
      <c r="C5" s="3698" t="s">
        <v>1673</v>
      </c>
      <c r="D5" s="3695"/>
      <c r="E5" s="3692" t="s">
        <v>1674</v>
      </c>
      <c r="F5" s="3693"/>
      <c r="G5" s="3698" t="s">
        <v>1675</v>
      </c>
      <c r="H5" s="3695"/>
      <c r="I5" s="3698" t="s">
        <v>1676</v>
      </c>
      <c r="J5" s="3695"/>
      <c r="K5" s="559"/>
      <c r="L5" s="2714"/>
      <c r="M5" s="2715"/>
      <c r="N5" s="2715"/>
      <c r="O5" s="2715"/>
      <c r="P5" s="3708"/>
      <c r="Q5" s="3709"/>
      <c r="R5" s="3690"/>
      <c r="S5" s="3691"/>
      <c r="T5" s="3690"/>
      <c r="U5" s="3691"/>
      <c r="V5" s="3685"/>
      <c r="W5" s="3685"/>
      <c r="X5" s="1354"/>
      <c r="Y5" s="3690"/>
      <c r="Z5" s="3691"/>
      <c r="AA5" s="3683"/>
      <c r="AB5" s="3683"/>
      <c r="AC5" s="3683"/>
    </row>
    <row r="6" spans="1:30" ht="15.75" thickBot="1">
      <c r="A6" s="360"/>
      <c r="B6" s="361"/>
      <c r="C6" s="3696" t="s">
        <v>1677</v>
      </c>
      <c r="D6" s="3697"/>
      <c r="E6" s="3699" t="s">
        <v>1677</v>
      </c>
      <c r="F6" s="3700"/>
      <c r="G6" s="3696" t="s">
        <v>1677</v>
      </c>
      <c r="H6" s="3697"/>
      <c r="I6" s="3696" t="s">
        <v>1677</v>
      </c>
      <c r="J6" s="3697"/>
      <c r="K6" s="559" t="s">
        <v>1678</v>
      </c>
      <c r="L6" s="2714"/>
      <c r="M6" s="2715"/>
      <c r="N6" s="2715"/>
      <c r="O6" s="2715"/>
      <c r="P6" s="3710"/>
      <c r="Q6" s="3711"/>
      <c r="R6" s="3690"/>
      <c r="S6" s="3691"/>
      <c r="T6" s="3712"/>
      <c r="U6" s="3713"/>
      <c r="V6" s="3685"/>
      <c r="W6" s="3685"/>
      <c r="X6" s="1354"/>
      <c r="Y6" s="3712"/>
      <c r="Z6" s="3713"/>
      <c r="AA6" s="3684"/>
      <c r="AB6" s="3684"/>
      <c r="AC6" s="3684"/>
    </row>
    <row r="7" spans="1:30" s="108" customFormat="1" ht="15.75" thickBot="1">
      <c r="A7" s="362" t="s">
        <v>1679</v>
      </c>
      <c r="B7" s="363"/>
      <c r="C7" s="364">
        <f>'数据-取费表'!B2</f>
        <v>45183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6" t="s">
        <v>1683</v>
      </c>
      <c r="Q8" s="3687"/>
      <c r="R8" s="701" t="s">
        <v>14</v>
      </c>
      <c r="S8" s="702">
        <f t="shared" si="0"/>
        <v>0</v>
      </c>
      <c r="T8" s="701" t="s">
        <v>14</v>
      </c>
      <c r="U8" s="702">
        <f t="shared" si="1"/>
        <v>0</v>
      </c>
      <c r="V8" s="701" t="s">
        <v>14</v>
      </c>
      <c r="W8" s="702">
        <f t="shared" si="2"/>
        <v>0</v>
      </c>
      <c r="X8" s="703"/>
      <c r="Y8" s="3686"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8"/>
      <c r="M10" s="2719"/>
      <c r="N10" s="2719"/>
      <c r="O10" s="2772"/>
      <c r="P10" s="3724"/>
      <c r="Q10" s="1342" t="str">
        <f t="shared" si="6"/>
        <v>土地使用年限（年）</v>
      </c>
      <c r="R10" s="701" t="s">
        <v>14</v>
      </c>
      <c r="S10" s="702">
        <f t="shared" si="0"/>
        <v>109</v>
      </c>
      <c r="T10" s="701" t="s">
        <v>14</v>
      </c>
      <c r="U10" s="702">
        <f t="shared" si="1"/>
        <v>109</v>
      </c>
      <c r="V10" s="701" t="s">
        <v>14</v>
      </c>
      <c r="W10" s="702">
        <f t="shared" si="2"/>
        <v>109</v>
      </c>
      <c r="X10" s="703"/>
      <c r="Y10" s="3653"/>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4"/>
      <c r="Q11" s="1342"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4"/>
      <c r="Q12" s="1342" t="str">
        <f t="shared" si="6"/>
        <v>配建</v>
      </c>
      <c r="R12" s="701" t="s">
        <v>14</v>
      </c>
      <c r="S12" s="702">
        <f t="shared" si="0"/>
        <v>100</v>
      </c>
      <c r="T12" s="701" t="s">
        <v>14</v>
      </c>
      <c r="U12" s="702">
        <f t="shared" si="1"/>
        <v>100</v>
      </c>
      <c r="V12" s="701" t="s">
        <v>14</v>
      </c>
      <c r="W12" s="702">
        <f t="shared" si="2"/>
        <v>100</v>
      </c>
      <c r="X12" s="703"/>
      <c r="Y12" s="365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5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4"/>
      <c r="Q14" s="1342">
        <f t="shared" si="6"/>
        <v>111</v>
      </c>
      <c r="R14" s="701" t="s">
        <v>14</v>
      </c>
      <c r="S14" s="702">
        <f t="shared" si="0"/>
        <v>100</v>
      </c>
      <c r="T14" s="701" t="s">
        <v>14</v>
      </c>
      <c r="U14" s="702">
        <f t="shared" si="1"/>
        <v>100</v>
      </c>
      <c r="V14" s="701" t="s">
        <v>14</v>
      </c>
      <c r="W14" s="702">
        <f t="shared" si="2"/>
        <v>100</v>
      </c>
      <c r="X14" s="703"/>
      <c r="Y14" s="365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7" t="s">
        <v>1691</v>
      </c>
      <c r="Q15" s="1351" t="str">
        <f t="shared" si="6"/>
        <v>居住社区成熟度</v>
      </c>
      <c r="R15" s="705" t="s">
        <v>14</v>
      </c>
      <c r="S15" s="706">
        <f t="shared" si="0"/>
        <v>100</v>
      </c>
      <c r="T15" s="705" t="s">
        <v>14</v>
      </c>
      <c r="U15" s="706">
        <f t="shared" si="1"/>
        <v>100</v>
      </c>
      <c r="V15" s="705" t="s">
        <v>14</v>
      </c>
      <c r="W15" s="706">
        <f t="shared" si="2"/>
        <v>100</v>
      </c>
      <c r="X15" s="1354"/>
      <c r="Y15" s="371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8"/>
      <c r="Q16" s="1351"/>
      <c r="R16" s="705"/>
      <c r="S16" s="706"/>
      <c r="T16" s="705"/>
      <c r="U16" s="706"/>
      <c r="V16" s="705"/>
      <c r="W16" s="706"/>
      <c r="X16" s="1354"/>
      <c r="Y16" s="371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8"/>
      <c r="Q17" s="1351" t="str">
        <f>B17</f>
        <v>商业繁华度</v>
      </c>
      <c r="R17" s="705" t="s">
        <v>14</v>
      </c>
      <c r="S17" s="706">
        <f>F17</f>
        <v>100</v>
      </c>
      <c r="T17" s="705" t="s">
        <v>14</v>
      </c>
      <c r="U17" s="706">
        <f>H17</f>
        <v>100</v>
      </c>
      <c r="V17" s="705" t="s">
        <v>14</v>
      </c>
      <c r="W17" s="706">
        <f>J17</f>
        <v>100</v>
      </c>
      <c r="X17" s="1354"/>
      <c r="Y17" s="371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8"/>
      <c r="Q18" s="1351"/>
      <c r="R18" s="705"/>
      <c r="S18" s="706"/>
      <c r="T18" s="705"/>
      <c r="U18" s="706"/>
      <c r="V18" s="705"/>
      <c r="W18" s="706"/>
      <c r="X18" s="1354"/>
      <c r="Y18" s="371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8"/>
      <c r="Q19" s="1351" t="str">
        <f>B19</f>
        <v>办公集聚程度</v>
      </c>
      <c r="R19" s="705" t="s">
        <v>14</v>
      </c>
      <c r="S19" s="706">
        <f>F19</f>
        <v>100</v>
      </c>
      <c r="T19" s="705" t="s">
        <v>14</v>
      </c>
      <c r="U19" s="706">
        <f>H19</f>
        <v>100</v>
      </c>
      <c r="V19" s="705" t="s">
        <v>14</v>
      </c>
      <c r="W19" s="706">
        <f>J19</f>
        <v>100</v>
      </c>
      <c r="X19" s="1354"/>
      <c r="Y19" s="371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8"/>
      <c r="Q20" s="1351"/>
      <c r="R20" s="705"/>
      <c r="S20" s="706"/>
      <c r="T20" s="705"/>
      <c r="U20" s="706"/>
      <c r="V20" s="705"/>
      <c r="W20" s="706"/>
      <c r="X20" s="1354"/>
      <c r="Y20" s="371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8"/>
      <c r="Q21" s="1351" t="str">
        <f>B21</f>
        <v>交通便捷度</v>
      </c>
      <c r="R21" s="705" t="s">
        <v>14</v>
      </c>
      <c r="S21" s="706">
        <f>F21</f>
        <v>100</v>
      </c>
      <c r="T21" s="705" t="s">
        <v>14</v>
      </c>
      <c r="U21" s="706">
        <f>H21</f>
        <v>100</v>
      </c>
      <c r="V21" s="705" t="s">
        <v>14</v>
      </c>
      <c r="W21" s="706">
        <f>J21</f>
        <v>100</v>
      </c>
      <c r="X21" s="1354"/>
      <c r="Y21" s="371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18"/>
      <c r="Q22" s="1351"/>
      <c r="R22" s="705"/>
      <c r="S22" s="706"/>
      <c r="T22" s="705"/>
      <c r="U22" s="706"/>
      <c r="V22" s="705"/>
      <c r="W22" s="706"/>
      <c r="X22" s="1354"/>
      <c r="Y22" s="371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8"/>
      <c r="Q23" s="1351" t="str">
        <f t="shared" ref="Q23:Q37" si="8">B23</f>
        <v>区域土地利用方向</v>
      </c>
      <c r="R23" s="705" t="s">
        <v>14</v>
      </c>
      <c r="S23" s="706">
        <f>F23</f>
        <v>100</v>
      </c>
      <c r="T23" s="705" t="s">
        <v>14</v>
      </c>
      <c r="U23" s="706">
        <f>H23</f>
        <v>100</v>
      </c>
      <c r="V23" s="705" t="s">
        <v>14</v>
      </c>
      <c r="W23" s="706">
        <f>J23</f>
        <v>100</v>
      </c>
      <c r="X23" s="1354"/>
      <c r="Y23" s="371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18"/>
      <c r="Q24" s="1351"/>
      <c r="R24" s="705"/>
      <c r="S24" s="706"/>
      <c r="T24" s="705"/>
      <c r="U24" s="706"/>
      <c r="V24" s="705"/>
      <c r="W24" s="706"/>
      <c r="X24" s="1354"/>
      <c r="Y24" s="371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8"/>
      <c r="Q25" s="1351" t="str">
        <f t="shared" si="8"/>
        <v>自然及人文环境状况</v>
      </c>
      <c r="R25" s="705" t="s">
        <v>14</v>
      </c>
      <c r="S25" s="706">
        <f>F25</f>
        <v>100</v>
      </c>
      <c r="T25" s="705" t="s">
        <v>14</v>
      </c>
      <c r="U25" s="706">
        <f>H25</f>
        <v>100</v>
      </c>
      <c r="V25" s="705" t="s">
        <v>14</v>
      </c>
      <c r="W25" s="706">
        <f>J25</f>
        <v>100</v>
      </c>
      <c r="X25" s="1354"/>
      <c r="Y25" s="371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8"/>
      <c r="Q26" s="1351"/>
      <c r="R26" s="705"/>
      <c r="S26" s="706"/>
      <c r="T26" s="705"/>
      <c r="U26" s="706"/>
      <c r="V26" s="705"/>
      <c r="W26" s="706"/>
      <c r="X26" s="1354"/>
      <c r="Y26" s="371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8"/>
      <c r="Q27" s="1342" t="str">
        <f t="shared" si="8"/>
        <v>公共配套设施</v>
      </c>
      <c r="R27" s="701" t="s">
        <v>14</v>
      </c>
      <c r="S27" s="702">
        <f>F27</f>
        <v>100</v>
      </c>
      <c r="T27" s="701" t="s">
        <v>14</v>
      </c>
      <c r="U27" s="702">
        <f>H27</f>
        <v>100</v>
      </c>
      <c r="V27" s="701" t="s">
        <v>14</v>
      </c>
      <c r="W27" s="702">
        <f>J27</f>
        <v>100</v>
      </c>
      <c r="X27" s="703"/>
      <c r="Y27" s="371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8"/>
      <c r="Q28" s="1342"/>
      <c r="R28" s="701"/>
      <c r="S28" s="702"/>
      <c r="T28" s="701"/>
      <c r="U28" s="702"/>
      <c r="V28" s="701"/>
      <c r="W28" s="702"/>
      <c r="X28" s="703"/>
      <c r="Y28" s="371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8"/>
      <c r="Q29" s="1342"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8"/>
      <c r="Q30" s="1342"/>
      <c r="R30" s="701"/>
      <c r="S30" s="702"/>
      <c r="T30" s="701"/>
      <c r="U30" s="702"/>
      <c r="V30" s="701"/>
      <c r="W30" s="702"/>
      <c r="X30" s="703"/>
      <c r="Y30" s="371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8"/>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8"/>
      <c r="Q32" s="1351" t="str">
        <f t="shared" si="8"/>
        <v>毗邻道路的类型与等级</v>
      </c>
      <c r="R32" s="705" t="s">
        <v>14</v>
      </c>
      <c r="S32" s="706">
        <f t="shared" si="10"/>
        <v>100</v>
      </c>
      <c r="T32" s="705" t="s">
        <v>14</v>
      </c>
      <c r="U32" s="706">
        <f t="shared" si="11"/>
        <v>100</v>
      </c>
      <c r="V32" s="705" t="s">
        <v>14</v>
      </c>
      <c r="W32" s="706">
        <f t="shared" si="12"/>
        <v>100</v>
      </c>
      <c r="X32" s="1354"/>
      <c r="Y32" s="371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8"/>
      <c r="Q33" s="1351"/>
      <c r="R33" s="705"/>
      <c r="S33" s="706"/>
      <c r="T33" s="705"/>
      <c r="U33" s="706"/>
      <c r="V33" s="705"/>
      <c r="W33" s="706"/>
      <c r="X33" s="1354"/>
      <c r="Y33" s="371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8"/>
      <c r="Q34" s="1351" t="str">
        <f t="shared" si="8"/>
        <v>土地级别</v>
      </c>
      <c r="R34" s="705" t="s">
        <v>14</v>
      </c>
      <c r="S34" s="706">
        <f t="shared" si="10"/>
        <v>100</v>
      </c>
      <c r="T34" s="705" t="s">
        <v>14</v>
      </c>
      <c r="U34" s="706">
        <f t="shared" si="11"/>
        <v>100</v>
      </c>
      <c r="V34" s="705" t="s">
        <v>14</v>
      </c>
      <c r="W34" s="706">
        <f t="shared" si="12"/>
        <v>100</v>
      </c>
      <c r="X34" s="1354"/>
      <c r="Y34" s="371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8"/>
      <c r="Q35" s="1351">
        <f t="shared" si="8"/>
        <v>111</v>
      </c>
      <c r="R35" s="705" t="s">
        <v>14</v>
      </c>
      <c r="S35" s="706">
        <f t="shared" si="10"/>
        <v>100</v>
      </c>
      <c r="T35" s="705" t="s">
        <v>14</v>
      </c>
      <c r="U35" s="706">
        <f t="shared" si="11"/>
        <v>100</v>
      </c>
      <c r="V35" s="705" t="s">
        <v>14</v>
      </c>
      <c r="W35" s="706">
        <f t="shared" si="12"/>
        <v>100</v>
      </c>
      <c r="X35" s="1354"/>
      <c r="Y35" s="371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5" t="s">
        <v>1696</v>
      </c>
      <c r="Q36" s="1351">
        <f t="shared" si="8"/>
        <v>111</v>
      </c>
      <c r="R36" s="705" t="s">
        <v>14</v>
      </c>
      <c r="S36" s="706">
        <f t="shared" si="10"/>
        <v>100</v>
      </c>
      <c r="T36" s="705" t="s">
        <v>14</v>
      </c>
      <c r="U36" s="706">
        <f t="shared" si="11"/>
        <v>100</v>
      </c>
      <c r="V36" s="705" t="s">
        <v>14</v>
      </c>
      <c r="W36" s="706">
        <f t="shared" si="12"/>
        <v>100</v>
      </c>
      <c r="X36" s="1354"/>
      <c r="Y36" s="372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2"/>
      <c r="Q37" s="1351">
        <f t="shared" si="8"/>
        <v>111</v>
      </c>
      <c r="R37" s="708" t="s">
        <v>14</v>
      </c>
      <c r="S37" s="709">
        <f t="shared" si="10"/>
        <v>100</v>
      </c>
      <c r="T37" s="708" t="s">
        <v>14</v>
      </c>
      <c r="U37" s="709">
        <f t="shared" si="11"/>
        <v>100</v>
      </c>
      <c r="V37" s="708" t="s">
        <v>14</v>
      </c>
      <c r="W37" s="709">
        <f t="shared" si="12"/>
        <v>100</v>
      </c>
      <c r="X37" s="710"/>
      <c r="Y37" s="3722"/>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2"/>
      <c r="Q38" s="1351" t="str">
        <f>B38</f>
        <v>宗地面积</v>
      </c>
      <c r="R38" s="705" t="s">
        <v>14</v>
      </c>
      <c r="S38" s="706" t="e">
        <f t="shared" si="10"/>
        <v>#N/A</v>
      </c>
      <c r="T38" s="705" t="s">
        <v>14</v>
      </c>
      <c r="U38" s="706" t="e">
        <f t="shared" si="11"/>
        <v>#N/A</v>
      </c>
      <c r="V38" s="705" t="s">
        <v>14</v>
      </c>
      <c r="W38" s="706" t="e">
        <f t="shared" si="12"/>
        <v>#N/A</v>
      </c>
      <c r="X38" s="1354"/>
      <c r="Y38" s="372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2"/>
      <c r="Q39" s="1351" t="str">
        <f t="shared" ref="Q39:Q45" si="14">B39</f>
        <v>宗地形状</v>
      </c>
      <c r="R39" s="705" t="s">
        <v>14</v>
      </c>
      <c r="S39" s="706">
        <f t="shared" si="10"/>
        <v>100</v>
      </c>
      <c r="T39" s="705" t="s">
        <v>14</v>
      </c>
      <c r="U39" s="706">
        <f t="shared" si="11"/>
        <v>100</v>
      </c>
      <c r="V39" s="705" t="s">
        <v>14</v>
      </c>
      <c r="W39" s="706">
        <f t="shared" si="12"/>
        <v>100</v>
      </c>
      <c r="X39" s="1354"/>
      <c r="Y39" s="372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2"/>
      <c r="Q40" s="1351" t="str">
        <f t="shared" si="14"/>
        <v>临街宽度及深度</v>
      </c>
      <c r="R40" s="705" t="s">
        <v>14</v>
      </c>
      <c r="S40" s="706">
        <f t="shared" si="10"/>
        <v>100</v>
      </c>
      <c r="T40" s="705" t="s">
        <v>14</v>
      </c>
      <c r="U40" s="706">
        <f t="shared" si="11"/>
        <v>100</v>
      </c>
      <c r="V40" s="705" t="s">
        <v>14</v>
      </c>
      <c r="W40" s="706">
        <f t="shared" si="12"/>
        <v>100</v>
      </c>
      <c r="X40" s="1354"/>
      <c r="Y40" s="372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2"/>
      <c r="Q41" s="1351"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2" t="s">
        <v>1696</v>
      </c>
      <c r="Q42" s="1351" t="str">
        <f t="shared" si="14"/>
        <v>工程地质条件</v>
      </c>
      <c r="R42" s="705" t="s">
        <v>14</v>
      </c>
      <c r="S42" s="706">
        <f t="shared" si="10"/>
        <v>100</v>
      </c>
      <c r="T42" s="705" t="s">
        <v>14</v>
      </c>
      <c r="U42" s="706">
        <f t="shared" si="11"/>
        <v>100</v>
      </c>
      <c r="V42" s="705" t="s">
        <v>14</v>
      </c>
      <c r="W42" s="706">
        <f t="shared" si="12"/>
        <v>100</v>
      </c>
      <c r="X42" s="1354"/>
      <c r="Y42" s="372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2"/>
      <c r="Q43" s="1351">
        <f t="shared" si="14"/>
        <v>111</v>
      </c>
      <c r="R43" s="705" t="s">
        <v>14</v>
      </c>
      <c r="S43" s="706">
        <f t="shared" si="10"/>
        <v>100</v>
      </c>
      <c r="T43" s="705" t="s">
        <v>14</v>
      </c>
      <c r="U43" s="706">
        <f t="shared" si="11"/>
        <v>100</v>
      </c>
      <c r="V43" s="705" t="s">
        <v>14</v>
      </c>
      <c r="W43" s="706">
        <f t="shared" si="12"/>
        <v>100</v>
      </c>
      <c r="X43" s="1354"/>
      <c r="Y43" s="372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2"/>
      <c r="Q44" s="1351">
        <f t="shared" si="14"/>
        <v>111</v>
      </c>
      <c r="R44" s="705" t="s">
        <v>14</v>
      </c>
      <c r="S44" s="706">
        <f t="shared" si="10"/>
        <v>100</v>
      </c>
      <c r="T44" s="705" t="s">
        <v>14</v>
      </c>
      <c r="U44" s="706">
        <f t="shared" si="11"/>
        <v>100</v>
      </c>
      <c r="V44" s="705" t="s">
        <v>14</v>
      </c>
      <c r="W44" s="706">
        <f t="shared" si="12"/>
        <v>100</v>
      </c>
      <c r="X44" s="1354"/>
      <c r="Y44" s="372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2"/>
      <c r="Q45" s="1351">
        <f t="shared" si="14"/>
        <v>111</v>
      </c>
      <c r="R45" s="708" t="s">
        <v>14</v>
      </c>
      <c r="S45" s="709">
        <f t="shared" si="10"/>
        <v>100</v>
      </c>
      <c r="T45" s="708" t="s">
        <v>14</v>
      </c>
      <c r="U45" s="709">
        <f t="shared" si="11"/>
        <v>100</v>
      </c>
      <c r="V45" s="708" t="s">
        <v>14</v>
      </c>
      <c r="W45" s="709">
        <f t="shared" si="12"/>
        <v>100</v>
      </c>
      <c r="X45" s="710"/>
      <c r="Y45" s="3722"/>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4" t="str">
        <f>A46</f>
        <v>成交单价</v>
      </c>
      <c r="Q46" s="3724"/>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77" t="e">
        <f>ROUND(PRODUCT(R46,AA7:AA45),0)</f>
        <v>#DIV/0!</v>
      </c>
      <c r="S47" s="3777"/>
      <c r="T47" s="3777" t="e">
        <f>ROUND(PRODUCT(T46,AB7:AB45),0)</f>
        <v>#DIV/0!</v>
      </c>
      <c r="U47" s="3777"/>
      <c r="V47" s="3777" t="e">
        <f>ROUND(PRODUCT(V46,AC7:AC45),0)</f>
        <v>#DIV/0!</v>
      </c>
      <c r="W47" s="377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78" t="e">
        <f>ROUND(IF(D47="简单平均",AVERAGE(R47:W47),R47*F47+T47*H47+V47*J47),0)</f>
        <v>#DIV/0!</v>
      </c>
      <c r="S48" s="3778"/>
      <c r="T48" s="3778"/>
      <c r="U48" s="3778"/>
      <c r="V48" s="3778"/>
      <c r="W48" s="377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2" t="s">
        <v>1887</v>
      </c>
      <c r="H55" s="377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489.2</v>
      </c>
      <c r="F56" s="886" t="e">
        <f t="shared" ref="F56:F64" si="15">ROUND(B56*E56/10000,0)</f>
        <v>#DIV/0!</v>
      </c>
      <c r="G56" s="3701"/>
      <c r="H56" s="372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489.2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估价结果一览表（市场价值不需“结果表-1”）</v>
      </c>
      <c r="B3" s="3500"/>
      <c r="C3" s="3500"/>
      <c r="D3" s="3500"/>
      <c r="E3" s="3500"/>
    </row>
    <row r="4" spans="1:5" ht="19.5" thickBot="1">
      <c r="A4" s="1492"/>
      <c r="B4" s="3498" t="s">
        <v>917</v>
      </c>
      <c r="C4" s="3498"/>
      <c r="D4" s="3498"/>
      <c r="E4" s="1492"/>
    </row>
    <row r="5" spans="1:5" ht="16.5" thickTop="1">
      <c r="A5" s="1490"/>
      <c r="B5" s="3496" t="s">
        <v>909</v>
      </c>
      <c r="C5" s="1493" t="s">
        <v>910</v>
      </c>
      <c r="D5" s="850" t="e">
        <f ca="1">结果表!H101</f>
        <v>#REF!</v>
      </c>
      <c r="E5" s="1490"/>
    </row>
    <row r="6" spans="1:5" ht="15.75">
      <c r="A6" s="1490"/>
      <c r="B6" s="3496"/>
      <c r="C6" s="1493" t="s">
        <v>911</v>
      </c>
      <c r="D6" s="850" t="e">
        <f ca="1">NUMBERSTRING(INT(D5*10000),2)&amp;"元整"</f>
        <v>#REF!</v>
      </c>
      <c r="E6" s="1490"/>
    </row>
    <row r="7" spans="1:5" ht="15.75">
      <c r="A7" s="1490"/>
      <c r="B7" s="3501"/>
      <c r="C7" s="1494" t="s">
        <v>912</v>
      </c>
      <c r="D7" s="851" t="e">
        <f ca="1">结果表!H102</f>
        <v>#REF!</v>
      </c>
      <c r="E7" s="1490"/>
    </row>
    <row r="8" spans="1:5" ht="15.75">
      <c r="A8" s="1490"/>
      <c r="B8" s="3502" t="str">
        <f>结果表!E103</f>
        <v>2.估价师知悉的法定优先受偿款</v>
      </c>
      <c r="C8" s="1495" t="s">
        <v>913</v>
      </c>
      <c r="D8" s="851">
        <f>结果表!H103</f>
        <v>0</v>
      </c>
      <c r="E8" s="1490"/>
    </row>
    <row r="9" spans="1:5" ht="15.75">
      <c r="A9" s="1490"/>
      <c r="B9" s="350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5" t="str">
        <f>结果表!E107</f>
        <v>3.房地产抵押价值</v>
      </c>
      <c r="C13" s="1498" t="s">
        <v>910</v>
      </c>
      <c r="D13" s="853" t="e">
        <f ca="1">结果表!H107</f>
        <v>#REF!</v>
      </c>
      <c r="E13" s="1490"/>
    </row>
    <row r="14" spans="1:5" ht="15.75">
      <c r="A14" s="1490"/>
      <c r="B14" s="3496"/>
      <c r="C14" s="1493" t="s">
        <v>911</v>
      </c>
      <c r="D14" s="850" t="e">
        <f ca="1">NUMBERSTRING(INT(D13*10000),2)&amp;"元整"</f>
        <v>#REF!</v>
      </c>
      <c r="E14" s="1490"/>
    </row>
    <row r="15" spans="1:5" ht="15">
      <c r="A15" s="1490"/>
      <c r="B15" s="3501"/>
      <c r="C15" s="1494" t="s">
        <v>921</v>
      </c>
      <c r="D15" s="859" t="e">
        <f ca="1">结果表!H108</f>
        <v>#REF!</v>
      </c>
      <c r="E15" s="1490"/>
    </row>
    <row r="16" spans="1:5" ht="15">
      <c r="A16" s="1490"/>
      <c r="B16" s="3502" t="str">
        <f>结果表!E109</f>
        <v>——</v>
      </c>
      <c r="C16" s="1498" t="s">
        <v>922</v>
      </c>
      <c r="D16" s="1499" t="str">
        <f>结果表!H109</f>
        <v>——</v>
      </c>
      <c r="E16" s="1490"/>
    </row>
    <row r="17" spans="1:5" ht="15.75">
      <c r="A17" s="1490"/>
      <c r="B17" s="3503"/>
      <c r="C17" s="1493" t="s">
        <v>923</v>
      </c>
      <c r="D17" s="850" t="e">
        <f>NUMBERSTRING(INT(D16*10000),2)&amp;"元整"</f>
        <v>#VALUE!</v>
      </c>
      <c r="E17" s="1490"/>
    </row>
    <row r="18" spans="1:5" ht="15">
      <c r="A18" s="1490"/>
      <c r="B18" s="3504"/>
      <c r="C18" s="1494" t="s">
        <v>912</v>
      </c>
      <c r="D18" s="859" t="str">
        <f>结果表!H110</f>
        <v>——</v>
      </c>
      <c r="E18" s="1490"/>
    </row>
    <row r="19" spans="1:5" ht="15.75">
      <c r="A19" s="1490"/>
      <c r="B19" s="3495" t="str">
        <f>结果表!E111</f>
        <v>——</v>
      </c>
      <c r="C19" s="1498" t="s">
        <v>910</v>
      </c>
      <c r="D19" s="851" t="str">
        <f>结果表!H111</f>
        <v>——</v>
      </c>
      <c r="E19" s="1490"/>
    </row>
    <row r="20" spans="1:5" ht="15.75">
      <c r="A20" s="1490"/>
      <c r="B20" s="3496"/>
      <c r="C20" s="1493" t="s">
        <v>923</v>
      </c>
      <c r="D20" s="850" t="e">
        <f>NUMBERSTRING(INT(D19*10000),2)&amp;"元整"</f>
        <v>#VALUE!</v>
      </c>
      <c r="E20" s="1490"/>
    </row>
    <row r="21" spans="1:5" ht="15.75" thickBot="1">
      <c r="A21" s="1490"/>
      <c r="B21" s="349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4"/>
      <c r="M4" s="2715"/>
      <c r="N4" s="2715"/>
      <c r="O4" s="2715"/>
      <c r="P4" s="3706" t="s">
        <v>1775</v>
      </c>
      <c r="Q4" s="3707"/>
      <c r="R4" s="3688" t="s">
        <v>1771</v>
      </c>
      <c r="S4" s="3689"/>
      <c r="T4" s="3688" t="s">
        <v>1772</v>
      </c>
      <c r="U4" s="3689"/>
      <c r="V4" s="3685" t="s">
        <v>1773</v>
      </c>
      <c r="W4" s="3685"/>
      <c r="X4" s="1354"/>
      <c r="Y4" s="3688" t="s">
        <v>1775</v>
      </c>
      <c r="Z4" s="3689"/>
      <c r="AA4" s="3682" t="s">
        <v>1771</v>
      </c>
      <c r="AB4" s="3683" t="s">
        <v>1772</v>
      </c>
      <c r="AC4" s="3682" t="s">
        <v>1773</v>
      </c>
    </row>
    <row r="5" spans="1:29" ht="15">
      <c r="A5" s="358"/>
      <c r="B5" s="359"/>
      <c r="C5" s="3698" t="s">
        <v>1673</v>
      </c>
      <c r="D5" s="3695"/>
      <c r="E5" s="3692" t="s">
        <v>1674</v>
      </c>
      <c r="F5" s="3693"/>
      <c r="G5" s="3698" t="s">
        <v>1675</v>
      </c>
      <c r="H5" s="3695"/>
      <c r="I5" s="3698" t="s">
        <v>1676</v>
      </c>
      <c r="J5" s="3695"/>
      <c r="K5" s="559"/>
      <c r="L5" s="2714"/>
      <c r="M5" s="2715"/>
      <c r="N5" s="2715"/>
      <c r="O5" s="2715"/>
      <c r="P5" s="3708"/>
      <c r="Q5" s="3709"/>
      <c r="R5" s="3690"/>
      <c r="S5" s="3691"/>
      <c r="T5" s="3690"/>
      <c r="U5" s="3691"/>
      <c r="V5" s="3685"/>
      <c r="W5" s="3685"/>
      <c r="X5" s="1354"/>
      <c r="Y5" s="3690"/>
      <c r="Z5" s="3691"/>
      <c r="AA5" s="3683"/>
      <c r="AB5" s="3683"/>
      <c r="AC5" s="3683"/>
    </row>
    <row r="6" spans="1:29" ht="15.75" thickBot="1">
      <c r="A6" s="360"/>
      <c r="B6" s="361"/>
      <c r="C6" s="3780" t="s">
        <v>1919</v>
      </c>
      <c r="D6" s="3781"/>
      <c r="E6" s="3782" t="s">
        <v>1919</v>
      </c>
      <c r="F6" s="3783"/>
      <c r="G6" s="3780" t="s">
        <v>1919</v>
      </c>
      <c r="H6" s="3781"/>
      <c r="I6" s="3780" t="s">
        <v>1919</v>
      </c>
      <c r="J6" s="3781"/>
      <c r="K6" s="559" t="s">
        <v>1678</v>
      </c>
      <c r="L6" s="2714"/>
      <c r="M6" s="2715"/>
      <c r="N6" s="2715"/>
      <c r="O6" s="2715"/>
      <c r="P6" s="3710"/>
      <c r="Q6" s="3711"/>
      <c r="R6" s="3690"/>
      <c r="S6" s="3691"/>
      <c r="T6" s="3712"/>
      <c r="U6" s="3713"/>
      <c r="V6" s="3685"/>
      <c r="W6" s="3685"/>
      <c r="X6" s="1354"/>
      <c r="Y6" s="3712"/>
      <c r="Z6" s="3713"/>
      <c r="AA6" s="3684"/>
      <c r="AB6" s="3684"/>
      <c r="AC6" s="3684"/>
    </row>
    <row r="7" spans="1:29" s="108" customFormat="1" ht="15.75" thickBot="1">
      <c r="A7" s="362" t="s">
        <v>1679</v>
      </c>
      <c r="B7" s="363"/>
      <c r="C7" s="364">
        <f>'数据-取费表'!B2</f>
        <v>45183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6" t="s">
        <v>1683</v>
      </c>
      <c r="Q8" s="3687"/>
      <c r="R8" s="701" t="s">
        <v>14</v>
      </c>
      <c r="S8" s="702">
        <f t="shared" si="0"/>
        <v>0</v>
      </c>
      <c r="T8" s="701" t="s">
        <v>14</v>
      </c>
      <c r="U8" s="702">
        <f t="shared" si="1"/>
        <v>0</v>
      </c>
      <c r="V8" s="701" t="s">
        <v>14</v>
      </c>
      <c r="W8" s="702">
        <f t="shared" si="2"/>
        <v>0</v>
      </c>
      <c r="X8" s="703"/>
      <c r="Y8" s="3686"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24" t="s">
        <v>1686</v>
      </c>
      <c r="Q9" s="1342"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8"/>
      <c r="M10" s="2719"/>
      <c r="N10" s="2719"/>
      <c r="O10" s="2772"/>
      <c r="P10" s="3724"/>
      <c r="Q10" s="1342" t="str">
        <f t="shared" si="6"/>
        <v>土地使用年限（年）</v>
      </c>
      <c r="R10" s="701" t="s">
        <v>14</v>
      </c>
      <c r="S10" s="702">
        <f t="shared" si="0"/>
        <v>109</v>
      </c>
      <c r="T10" s="701" t="s">
        <v>14</v>
      </c>
      <c r="U10" s="702">
        <f t="shared" si="1"/>
        <v>109</v>
      </c>
      <c r="V10" s="701" t="s">
        <v>14</v>
      </c>
      <c r="W10" s="702">
        <f t="shared" si="2"/>
        <v>109</v>
      </c>
      <c r="X10" s="703"/>
      <c r="Y10" s="3653"/>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4"/>
      <c r="Q11" s="1342"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4"/>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4"/>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4"/>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7" t="s">
        <v>1691</v>
      </c>
      <c r="Q15" s="1351" t="str">
        <f t="shared" si="6"/>
        <v>产业集聚程度</v>
      </c>
      <c r="R15" s="705" t="s">
        <v>14</v>
      </c>
      <c r="S15" s="706">
        <f t="shared" si="0"/>
        <v>100</v>
      </c>
      <c r="T15" s="705" t="s">
        <v>14</v>
      </c>
      <c r="U15" s="706">
        <f t="shared" si="1"/>
        <v>100</v>
      </c>
      <c r="V15" s="705" t="s">
        <v>14</v>
      </c>
      <c r="W15" s="706">
        <f t="shared" si="2"/>
        <v>100</v>
      </c>
      <c r="X15" s="1354"/>
      <c r="Y15" s="371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8"/>
      <c r="Q16" s="1351"/>
      <c r="R16" s="705"/>
      <c r="S16" s="706"/>
      <c r="T16" s="705"/>
      <c r="U16" s="706"/>
      <c r="V16" s="705"/>
      <c r="W16" s="706"/>
      <c r="X16" s="1354"/>
      <c r="Y16" s="371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8"/>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8"/>
      <c r="Q18" s="1351"/>
      <c r="R18" s="705"/>
      <c r="S18" s="706"/>
      <c r="T18" s="705"/>
      <c r="U18" s="706"/>
      <c r="V18" s="705"/>
      <c r="W18" s="706"/>
      <c r="X18" s="1354"/>
      <c r="Y18" s="371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8"/>
      <c r="Q19" s="1351" t="str">
        <f t="shared" ref="Q19:Q33" si="8">B19</f>
        <v>区域土地利用方向</v>
      </c>
      <c r="R19" s="705" t="s">
        <v>14</v>
      </c>
      <c r="S19" s="706">
        <f>F19</f>
        <v>100</v>
      </c>
      <c r="T19" s="705" t="s">
        <v>14</v>
      </c>
      <c r="U19" s="706">
        <f>H19</f>
        <v>100</v>
      </c>
      <c r="V19" s="705" t="s">
        <v>14</v>
      </c>
      <c r="W19" s="706">
        <f>J19</f>
        <v>100</v>
      </c>
      <c r="X19" s="1354"/>
      <c r="Y19" s="371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8"/>
      <c r="Q20" s="1351"/>
      <c r="R20" s="705"/>
      <c r="S20" s="706"/>
      <c r="T20" s="705"/>
      <c r="U20" s="706"/>
      <c r="V20" s="705"/>
      <c r="W20" s="706"/>
      <c r="X20" s="1354"/>
      <c r="Y20" s="371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8"/>
      <c r="Q21" s="1351" t="str">
        <f t="shared" si="8"/>
        <v>环境状况</v>
      </c>
      <c r="R21" s="705" t="s">
        <v>14</v>
      </c>
      <c r="S21" s="706">
        <f>F21</f>
        <v>100</v>
      </c>
      <c r="T21" s="705" t="s">
        <v>14</v>
      </c>
      <c r="U21" s="706">
        <f>H21</f>
        <v>100</v>
      </c>
      <c r="V21" s="705" t="s">
        <v>14</v>
      </c>
      <c r="W21" s="706">
        <f>J21</f>
        <v>100</v>
      </c>
      <c r="X21" s="1354"/>
      <c r="Y21" s="371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8"/>
      <c r="Q22" s="1351"/>
      <c r="R22" s="705"/>
      <c r="S22" s="706"/>
      <c r="T22" s="705"/>
      <c r="U22" s="706"/>
      <c r="V22" s="705"/>
      <c r="W22" s="706"/>
      <c r="X22" s="1354"/>
      <c r="Y22" s="371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8"/>
      <c r="Q23" s="1342" t="str">
        <f t="shared" si="8"/>
        <v>公共配套设施</v>
      </c>
      <c r="R23" s="701" t="s">
        <v>14</v>
      </c>
      <c r="S23" s="702">
        <f>F23</f>
        <v>100</v>
      </c>
      <c r="T23" s="701" t="s">
        <v>14</v>
      </c>
      <c r="U23" s="702">
        <f>H23</f>
        <v>100</v>
      </c>
      <c r="V23" s="701" t="s">
        <v>14</v>
      </c>
      <c r="W23" s="702">
        <f>J23</f>
        <v>100</v>
      </c>
      <c r="X23" s="703"/>
      <c r="Y23" s="371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8"/>
      <c r="Q24" s="1342"/>
      <c r="R24" s="701"/>
      <c r="S24" s="702"/>
      <c r="T24" s="701"/>
      <c r="U24" s="702"/>
      <c r="V24" s="701"/>
      <c r="W24" s="702"/>
      <c r="X24" s="703"/>
      <c r="Y24" s="371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8"/>
      <c r="Q25" s="1342"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8"/>
      <c r="Q26" s="1342"/>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8"/>
      <c r="Q28" s="1351" t="str">
        <f t="shared" si="8"/>
        <v>毗邻道路的类型与等级</v>
      </c>
      <c r="R28" s="705" t="s">
        <v>14</v>
      </c>
      <c r="S28" s="706">
        <f t="shared" si="10"/>
        <v>100</v>
      </c>
      <c r="T28" s="705" t="s">
        <v>14</v>
      </c>
      <c r="U28" s="706">
        <f t="shared" si="11"/>
        <v>100</v>
      </c>
      <c r="V28" s="705" t="s">
        <v>14</v>
      </c>
      <c r="W28" s="706">
        <f t="shared" si="12"/>
        <v>100</v>
      </c>
      <c r="X28" s="1354"/>
      <c r="Y28" s="371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8"/>
      <c r="Q29" s="1351"/>
      <c r="R29" s="705"/>
      <c r="S29" s="706"/>
      <c r="T29" s="705"/>
      <c r="U29" s="706"/>
      <c r="V29" s="705"/>
      <c r="W29" s="706"/>
      <c r="X29" s="1354"/>
      <c r="Y29" s="371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8"/>
      <c r="Q30" s="1351" t="str">
        <f t="shared" si="8"/>
        <v>土地级别</v>
      </c>
      <c r="R30" s="705" t="s">
        <v>14</v>
      </c>
      <c r="S30" s="706">
        <f t="shared" si="10"/>
        <v>100</v>
      </c>
      <c r="T30" s="705" t="s">
        <v>14</v>
      </c>
      <c r="U30" s="706">
        <f t="shared" si="11"/>
        <v>100</v>
      </c>
      <c r="V30" s="705" t="s">
        <v>14</v>
      </c>
      <c r="W30" s="706">
        <f t="shared" si="12"/>
        <v>100</v>
      </c>
      <c r="X30" s="1354"/>
      <c r="Y30" s="371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8"/>
      <c r="Q31" s="1351">
        <f t="shared" si="8"/>
        <v>111</v>
      </c>
      <c r="R31" s="705" t="s">
        <v>14</v>
      </c>
      <c r="S31" s="706">
        <f t="shared" si="10"/>
        <v>100</v>
      </c>
      <c r="T31" s="705" t="s">
        <v>14</v>
      </c>
      <c r="U31" s="706">
        <f t="shared" si="11"/>
        <v>100</v>
      </c>
      <c r="V31" s="705" t="s">
        <v>14</v>
      </c>
      <c r="W31" s="706">
        <f t="shared" si="12"/>
        <v>100</v>
      </c>
      <c r="X31" s="1354"/>
      <c r="Y31" s="371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5" t="s">
        <v>1696</v>
      </c>
      <c r="Q32" s="1351">
        <f t="shared" si="8"/>
        <v>111</v>
      </c>
      <c r="R32" s="705" t="s">
        <v>14</v>
      </c>
      <c r="S32" s="706">
        <f t="shared" si="10"/>
        <v>100</v>
      </c>
      <c r="T32" s="705" t="s">
        <v>14</v>
      </c>
      <c r="U32" s="706">
        <f t="shared" si="11"/>
        <v>100</v>
      </c>
      <c r="V32" s="705" t="s">
        <v>14</v>
      </c>
      <c r="W32" s="706">
        <f t="shared" si="12"/>
        <v>100</v>
      </c>
      <c r="X32" s="1354"/>
      <c r="Y32" s="372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2"/>
      <c r="Q33" s="1351">
        <f t="shared" si="8"/>
        <v>111</v>
      </c>
      <c r="R33" s="708" t="s">
        <v>14</v>
      </c>
      <c r="S33" s="709">
        <f t="shared" si="10"/>
        <v>100</v>
      </c>
      <c r="T33" s="708" t="s">
        <v>14</v>
      </c>
      <c r="U33" s="709">
        <f t="shared" si="11"/>
        <v>100</v>
      </c>
      <c r="V33" s="708" t="s">
        <v>14</v>
      </c>
      <c r="W33" s="709">
        <f t="shared" si="12"/>
        <v>100</v>
      </c>
      <c r="X33" s="710"/>
      <c r="Y33" s="372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2"/>
      <c r="Q34" s="1351" t="str">
        <f>B34</f>
        <v>宗地面积</v>
      </c>
      <c r="R34" s="705" t="s">
        <v>14</v>
      </c>
      <c r="S34" s="706" t="e">
        <f t="shared" si="10"/>
        <v>#N/A</v>
      </c>
      <c r="T34" s="705" t="s">
        <v>14</v>
      </c>
      <c r="U34" s="706" t="e">
        <f t="shared" si="11"/>
        <v>#N/A</v>
      </c>
      <c r="V34" s="705" t="s">
        <v>14</v>
      </c>
      <c r="W34" s="706" t="e">
        <f t="shared" si="12"/>
        <v>#N/A</v>
      </c>
      <c r="X34" s="1354"/>
      <c r="Y34" s="372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2"/>
      <c r="Q35" s="1351" t="str">
        <f t="shared" ref="Q35:Q40" si="14">B35</f>
        <v>宗地形状</v>
      </c>
      <c r="R35" s="705" t="s">
        <v>14</v>
      </c>
      <c r="S35" s="706">
        <f t="shared" si="10"/>
        <v>100</v>
      </c>
      <c r="T35" s="705" t="s">
        <v>14</v>
      </c>
      <c r="U35" s="706">
        <f t="shared" si="11"/>
        <v>100</v>
      </c>
      <c r="V35" s="705" t="s">
        <v>14</v>
      </c>
      <c r="W35" s="706">
        <f t="shared" si="12"/>
        <v>100</v>
      </c>
      <c r="X35" s="1354"/>
      <c r="Y35" s="372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2"/>
      <c r="Q36" s="1351"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2" t="s">
        <v>1696</v>
      </c>
      <c r="Q37" s="1351" t="str">
        <f t="shared" si="14"/>
        <v>工程地质条件</v>
      </c>
      <c r="R37" s="705" t="s">
        <v>14</v>
      </c>
      <c r="S37" s="706">
        <f t="shared" si="10"/>
        <v>100</v>
      </c>
      <c r="T37" s="705" t="s">
        <v>14</v>
      </c>
      <c r="U37" s="706">
        <f t="shared" si="11"/>
        <v>100</v>
      </c>
      <c r="V37" s="705" t="s">
        <v>14</v>
      </c>
      <c r="W37" s="706">
        <f t="shared" si="12"/>
        <v>100</v>
      </c>
      <c r="X37" s="1354"/>
      <c r="Y37" s="372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2"/>
      <c r="Q38" s="1351">
        <f t="shared" si="14"/>
        <v>111</v>
      </c>
      <c r="R38" s="705" t="s">
        <v>14</v>
      </c>
      <c r="S38" s="706">
        <f t="shared" si="10"/>
        <v>100</v>
      </c>
      <c r="T38" s="705" t="s">
        <v>14</v>
      </c>
      <c r="U38" s="706">
        <f t="shared" si="11"/>
        <v>100</v>
      </c>
      <c r="V38" s="705" t="s">
        <v>14</v>
      </c>
      <c r="W38" s="706">
        <f t="shared" si="12"/>
        <v>100</v>
      </c>
      <c r="X38" s="1354"/>
      <c r="Y38" s="372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2"/>
      <c r="Q39" s="1351">
        <f t="shared" si="14"/>
        <v>111</v>
      </c>
      <c r="R39" s="705" t="s">
        <v>14</v>
      </c>
      <c r="S39" s="706">
        <f t="shared" si="10"/>
        <v>100</v>
      </c>
      <c r="T39" s="705" t="s">
        <v>14</v>
      </c>
      <c r="U39" s="706">
        <f t="shared" si="11"/>
        <v>100</v>
      </c>
      <c r="V39" s="705" t="s">
        <v>14</v>
      </c>
      <c r="W39" s="706">
        <f t="shared" si="12"/>
        <v>100</v>
      </c>
      <c r="X39" s="1354"/>
      <c r="Y39" s="372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2"/>
      <c r="Q40" s="1351">
        <f t="shared" si="14"/>
        <v>111</v>
      </c>
      <c r="R40" s="708" t="s">
        <v>14</v>
      </c>
      <c r="S40" s="709">
        <f t="shared" si="10"/>
        <v>100</v>
      </c>
      <c r="T40" s="708" t="s">
        <v>14</v>
      </c>
      <c r="U40" s="709">
        <f t="shared" si="11"/>
        <v>100</v>
      </c>
      <c r="V40" s="708" t="s">
        <v>14</v>
      </c>
      <c r="W40" s="709">
        <f t="shared" si="12"/>
        <v>100</v>
      </c>
      <c r="X40" s="710"/>
      <c r="Y40" s="372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24" t="str">
        <f>A41</f>
        <v>成交单价</v>
      </c>
      <c r="Q41" s="3724"/>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24" t="str">
        <f>A42</f>
        <v>比较价值（元/平方米）</v>
      </c>
      <c r="Q42" s="3724"/>
      <c r="R42" s="3777" t="e">
        <f>ROUND(PRODUCT(R41,AA7:AA40),0)</f>
        <v>#DIV/0!</v>
      </c>
      <c r="S42" s="3777"/>
      <c r="T42" s="3777" t="e">
        <f>ROUND(PRODUCT(T41,AB7:AB40),0)</f>
        <v>#DIV/0!</v>
      </c>
      <c r="U42" s="3777"/>
      <c r="V42" s="3777" t="e">
        <f>ROUND(PRODUCT(V41,AC7:AC40),0)</f>
        <v>#DIV/0!</v>
      </c>
      <c r="W42" s="377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78" t="e">
        <f>ROUND(IF(D42="简单平均",AVERAGE(R42:W42),R42*F42+T42*H42+V42*J42),0)</f>
        <v>#DIV/0!</v>
      </c>
      <c r="S43" s="3778"/>
      <c r="T43" s="3778"/>
      <c r="U43" s="3778"/>
      <c r="V43" s="3778"/>
      <c r="W43" s="377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2" t="s">
        <v>1887</v>
      </c>
      <c r="H50" s="377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489.2</v>
      </c>
      <c r="F51" s="639" t="e">
        <f t="shared" ref="F51:F60" si="15">ROUND(B51*E51/10000,0)</f>
        <v>#DIV/0!</v>
      </c>
      <c r="G51" s="3701"/>
      <c r="H51" s="372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1397.71</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7" t="s">
        <v>2084</v>
      </c>
      <c r="D1" s="3788"/>
      <c r="E1" s="3788"/>
      <c r="F1" s="3788"/>
      <c r="G1" s="3788"/>
      <c r="H1" s="3788"/>
      <c r="I1" s="3788"/>
      <c r="J1" s="3788"/>
      <c r="K1" s="3788"/>
      <c r="L1" s="3788"/>
      <c r="M1" s="3788"/>
      <c r="N1" s="3788"/>
      <c r="O1" s="3788"/>
      <c r="P1" s="3788"/>
      <c r="Q1" s="3788"/>
      <c r="R1" s="3788"/>
      <c r="S1" s="378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4" t="s">
        <v>27</v>
      </c>
      <c r="D22" s="3785"/>
      <c r="E22" s="3785"/>
      <c r="F22" s="3785"/>
      <c r="G22" s="3785"/>
      <c r="H22" s="3785"/>
      <c r="I22" s="3785"/>
      <c r="J22" s="3785"/>
      <c r="K22" s="3785"/>
      <c r="L22" s="3785"/>
      <c r="M22" s="3785"/>
      <c r="N22" s="3785"/>
      <c r="O22" s="3785"/>
      <c r="P22" s="3785"/>
      <c r="Q22" s="378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2501</v>
      </c>
      <c r="C2" s="2144" t="s">
        <v>2074</v>
      </c>
      <c r="D2" s="2144" t="s">
        <v>2075</v>
      </c>
      <c r="E2" s="2611">
        <f ca="1">SUMIF(E6:E13,"&lt;&gt;#ref!",E6:E13)</f>
        <v>1397.71</v>
      </c>
      <c r="F2" s="2792"/>
      <c r="G2" s="2792"/>
      <c r="H2" s="2792"/>
      <c r="I2" s="2792"/>
      <c r="J2" s="2792"/>
      <c r="K2" s="2792"/>
      <c r="L2" s="2792"/>
      <c r="M2" s="2792"/>
      <c r="N2" s="2792"/>
      <c r="O2" s="2792"/>
      <c r="P2" s="2792"/>
    </row>
    <row r="3" spans="1:16" ht="15.75">
      <c r="A3" s="2144" t="s">
        <v>2076</v>
      </c>
      <c r="B3" s="2601">
        <f ca="1">ROUND(B2*10000/E2,0)</f>
        <v>17894</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2501</v>
      </c>
      <c r="C6" s="2144" t="s">
        <v>2074</v>
      </c>
      <c r="D6" s="2792"/>
      <c r="E6" s="2611">
        <f ca="1">SUMIF(INDIRECT("'"&amp;A6&amp;"'"&amp;"!C:C"),"建筑面积",INDIRECT("'"&amp;A6&amp;"'"&amp;"!D:D"))</f>
        <v>1397.71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D12" sqref="D1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1397.71</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2501</v>
      </c>
      <c r="C2" s="1998" t="s">
        <v>1935</v>
      </c>
      <c r="D2" s="1999" t="s">
        <v>1936</v>
      </c>
      <c r="E2" s="3421" t="s">
        <v>3445</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21990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17894</v>
      </c>
      <c r="C3" s="1998" t="s">
        <v>1941</v>
      </c>
      <c r="D3" s="1999" t="s">
        <v>1942</v>
      </c>
      <c r="E3" s="3419" t="s">
        <v>3447</v>
      </c>
      <c r="F3" s="2003" t="s">
        <v>3388</v>
      </c>
      <c r="G3" s="752">
        <f>IF(F3="宗地容积率",'数据-汇总表'!I4,IF(F3="估价对象容积率",'数据-汇总表'!I6,'数据-汇总表'!I7))</f>
        <v>1</v>
      </c>
      <c r="H3" s="170" t="s">
        <v>1943</v>
      </c>
      <c r="I3" s="775">
        <v>1</v>
      </c>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17332</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7"/>
      <c r="B4" s="3798"/>
      <c r="C4" s="3798"/>
      <c r="D4" s="3799"/>
      <c r="E4" s="3799"/>
      <c r="F4" s="3799"/>
      <c r="G4" s="3799"/>
      <c r="H4" s="3799"/>
      <c r="I4" s="3799"/>
      <c r="J4" s="3800"/>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14649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14241</v>
      </c>
      <c r="D5" s="1338">
        <f>ROUND(C6*C17+C20,0)</f>
        <v>12330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12920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12330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12416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12330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1</v>
      </c>
      <c r="AA7" s="1215"/>
      <c r="AB7" s="1215"/>
      <c r="AC7" s="1216"/>
      <c r="AD7" s="1217"/>
      <c r="AE7" s="1217"/>
      <c r="AF7" s="1217"/>
      <c r="AG7" s="1217"/>
      <c r="AH7" s="1217"/>
      <c r="AI7" s="1217"/>
      <c r="AJ7" s="1218"/>
    </row>
    <row r="8" spans="1:36" ht="15">
      <c r="A8" s="3298"/>
      <c r="B8" s="170" t="s">
        <v>1957</v>
      </c>
      <c r="C8" s="2025"/>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4" t="s">
        <v>1960</v>
      </c>
      <c r="X8" s="379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6"/>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1.155</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3505</v>
      </c>
      <c r="D15" s="2043" t="s">
        <v>3505</v>
      </c>
      <c r="E15" s="2044"/>
      <c r="F15" s="3312" t="s">
        <v>3249</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1.1000000000000001</v>
      </c>
      <c r="D16" s="3317">
        <v>1.05</v>
      </c>
      <c r="E16" s="3317">
        <v>1</v>
      </c>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1" t="s">
        <v>3259</v>
      </c>
      <c r="B20" s="167" t="s">
        <v>1994</v>
      </c>
      <c r="C20" s="3324">
        <f>ROUND(IF(F21="与级别开发程度一致",0,(G21-E21)/C21),0)</f>
        <v>0</v>
      </c>
      <c r="D20" s="3340" t="s">
        <v>1998</v>
      </c>
      <c r="E20" s="3341"/>
      <c r="F20" s="3807" t="s">
        <v>1995</v>
      </c>
      <c r="G20" s="3808"/>
      <c r="H20" s="3325" t="s">
        <v>3390</v>
      </c>
      <c r="I20" s="3325" t="s">
        <v>3391</v>
      </c>
      <c r="J20" s="3326" t="s">
        <v>3392</v>
      </c>
      <c r="K20" s="2046" t="s">
        <v>3393</v>
      </c>
      <c r="L20" s="2046" t="s">
        <v>3394</v>
      </c>
      <c r="M20" s="2046" t="s">
        <v>3395</v>
      </c>
      <c r="N20" s="2046" t="s">
        <v>3448</v>
      </c>
      <c r="O20" s="2047" t="s">
        <v>3396</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3" t="s">
        <v>2002</v>
      </c>
      <c r="E23" s="761">
        <v>44197</v>
      </c>
      <c r="F23" s="2053" t="s">
        <v>2003</v>
      </c>
      <c r="G23" s="762">
        <f>'数据-取费表'!B2</f>
        <v>45183</v>
      </c>
      <c r="H23" s="3342" t="s">
        <v>3260</v>
      </c>
      <c r="I23" s="3343" t="str">
        <f>IF(H23="季度增幅（自定义）",SUMIF(N25:N28,E2,O25:O28),"")</f>
        <v/>
      </c>
      <c r="J23" s="3445" t="s">
        <v>3449</v>
      </c>
      <c r="K23" s="1125"/>
      <c r="L23" s="2054" t="s">
        <v>2004</v>
      </c>
      <c r="M23" s="1327">
        <f>ROUND(SUMIF(地价!B2:G2,E2,地价!B16:G16),0)</f>
        <v>687</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0.94059999999999999</v>
      </c>
      <c r="D24" s="2059" t="s">
        <v>2007</v>
      </c>
      <c r="E24" s="1334">
        <f>存贷款利率!E24/100</f>
        <v>4.3499999999999997E-2</v>
      </c>
      <c r="F24" s="2059" t="s">
        <v>1999</v>
      </c>
      <c r="G24" s="768">
        <f>SUMIF(M30:Q30,E2,M33:Q33)</f>
        <v>0.05</v>
      </c>
      <c r="H24" s="2059" t="s">
        <v>2008</v>
      </c>
      <c r="I24" s="769">
        <f>SUMIF('数据-取费表'!C6:C15,E2,'数据-取费表'!F6:F15)/COUNTIF('数据-取费表'!C6:C15,E2)</f>
        <v>49.28</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3450</v>
      </c>
      <c r="C25" s="771">
        <f>IF(B25="容积率修正",IF(G3&lt;10,D26,J26),C27)</f>
        <v>1.222</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3261</v>
      </c>
      <c r="D26" s="1351">
        <f>IF(E26=G26,F26,IF(G3&lt;10,ROUND(F26+(H26-F26)*(G3-E26)/(G26-E26),4),"——"))</f>
        <v>1.222</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4" t="s">
        <v>3262</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1.5019</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1.0246</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2501</v>
      </c>
      <c r="D30" s="2082"/>
      <c r="E30" s="2045"/>
      <c r="F30" s="2083"/>
      <c r="G30" s="2045"/>
      <c r="H30" s="2045"/>
      <c r="I30" s="2045"/>
      <c r="J30" s="2084"/>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17892</v>
      </c>
      <c r="D33" s="2097">
        <f>'数据-汇总表'!D3</f>
        <v>1397.71</v>
      </c>
      <c r="E33" s="773">
        <f>ROUND(C33*D33/10000,0)</f>
        <v>2501</v>
      </c>
      <c r="F33" s="3345" t="s">
        <v>3264</v>
      </c>
      <c r="G33" s="2098"/>
      <c r="H33" s="2098"/>
      <c r="I33" s="2098"/>
      <c r="J33" s="2099"/>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4473</v>
      </c>
      <c r="D34" s="2102"/>
      <c r="E34" s="773">
        <f>ROUND(IF(B25="楼层修正",SUM(V2:V16)*M40,C34*D34/10000),0)</f>
        <v>0</v>
      </c>
      <c r="F34" s="2103" t="s">
        <v>2032</v>
      </c>
      <c r="G34" s="2104"/>
      <c r="H34" s="2104"/>
      <c r="I34" s="2104"/>
      <c r="J34" s="2105"/>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3265</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4.3500000000000004E-2</v>
      </c>
      <c r="M36" s="3357">
        <f ca="1">ROUND($L$36*(1+M31),3)</f>
        <v>5.3999999999999999E-2</v>
      </c>
      <c r="N36" s="3357">
        <f ca="1">ROUND($L$36*(1+N31),3)</f>
        <v>5.1999999999999998E-2</v>
      </c>
      <c r="O36" s="3357">
        <f ca="1">ROUND($L$36*(1+O31),3)</f>
        <v>0.05</v>
      </c>
      <c r="P36" s="3357">
        <f ca="1">ROUND($L$36*(1+P31),3)</f>
        <v>4.8000000000000001E-2</v>
      </c>
      <c r="Q36" s="3357">
        <f ca="1">ROUND($L$36*(1+Q31),3)</f>
        <v>0.05</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5"/>
      <c r="B37" s="2112" t="s">
        <v>2036</v>
      </c>
      <c r="C37" s="175">
        <f>ROUND(D5*C22*C23*C24*C28*F37,0)</f>
        <v>7606</v>
      </c>
      <c r="D37" s="2097"/>
      <c r="E37" s="171">
        <f>ROUND(C37*D37/10000,0)</f>
        <v>0</v>
      </c>
      <c r="F37" s="171">
        <f>SUMIF(修正!A57:A68,G2,修正!B57:B68)</f>
        <v>0.6</v>
      </c>
      <c r="G37" s="171">
        <f>ROUND(IF(E2="工业",C37*$M$42,C37*$M$41),0)</f>
        <v>1902</v>
      </c>
      <c r="H37" s="171">
        <f>D37</f>
        <v>0</v>
      </c>
      <c r="I37" s="171">
        <f>ROUND(G37*H37/10000,0)</f>
        <v>0</v>
      </c>
      <c r="J37" s="3011"/>
      <c r="K37" s="3358" t="s">
        <v>3270</v>
      </c>
      <c r="L37" s="3356">
        <f ca="1">L36+K38</f>
        <v>4.8500000000000001E-2</v>
      </c>
      <c r="M37" s="3357">
        <f ca="1">ROUND($L$37*(1+M31),3)</f>
        <v>6.0999999999999999E-2</v>
      </c>
      <c r="N37" s="3357">
        <f t="shared" ref="N37:Q37" ca="1" si="3">ROUND($L$37*(1+N31),3)</f>
        <v>5.8000000000000003E-2</v>
      </c>
      <c r="O37" s="3357">
        <f t="shared" ca="1" si="3"/>
        <v>5.6000000000000001E-2</v>
      </c>
      <c r="P37" s="3357">
        <f t="shared" ca="1" si="3"/>
        <v>5.2999999999999999E-2</v>
      </c>
      <c r="Q37" s="3357">
        <f t="shared" ca="1" si="3"/>
        <v>5.6000000000000001E-2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6"/>
      <c r="B38" s="2040" t="s">
        <v>2037</v>
      </c>
      <c r="C38" s="175">
        <f>ROUND(D5*C22*C23*C24*C28*F38,0)</f>
        <v>3803</v>
      </c>
      <c r="D38" s="2097"/>
      <c r="E38" s="171">
        <f t="shared" ref="E38:E42" si="4">ROUND(C38*D38/10000,0)</f>
        <v>0</v>
      </c>
      <c r="F38" s="171">
        <f>SUMIF(修正!A57:A68,G2,修正!C57:C68)</f>
        <v>0.3</v>
      </c>
      <c r="G38" s="171">
        <f>ROUND(IF(E2="工业",C38*$M$42,C38*$M$41),0)</f>
        <v>951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6"/>
      <c r="B39" s="2040" t="s">
        <v>3263</v>
      </c>
      <c r="C39" s="175">
        <f>ROUND(D5*C22*C23*C24*C28*F39,0)</f>
        <v>3169</v>
      </c>
      <c r="D39" s="2097"/>
      <c r="E39" s="171">
        <f t="shared" si="4"/>
        <v>0</v>
      </c>
      <c r="F39" s="171">
        <f>SUMIF(修正!A57:A68,G2,修正!D57:D68)</f>
        <v>0.25</v>
      </c>
      <c r="G39" s="171">
        <f>ROUND(IF(E2="工业",C39*$M$42,C39*$M$41),0)</f>
        <v>792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3169</v>
      </c>
      <c r="D40" s="2097"/>
      <c r="E40" s="171">
        <f t="shared" si="4"/>
        <v>0</v>
      </c>
      <c r="F40" s="175">
        <f>SUMIF(修正!A57:A68,G2,修正!E57:E68)</f>
        <v>0.25</v>
      </c>
      <c r="G40" s="171">
        <f>ROUND(IF(E2="工业",C40*$M$42,C40*$M$41),0)</f>
        <v>792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t="e">
        <f>1+E50</f>
        <v>#VALUE!</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3397</v>
      </c>
      <c r="D50" s="1065">
        <f t="shared" ref="D50:D58" si="7">SUMIF($J$49:$N$49,C50,J50:N50)</f>
        <v>0</v>
      </c>
      <c r="E50" s="744" t="e">
        <f>ROUND(SUM(D50:D58),4)</f>
        <v>#VALUE!</v>
      </c>
      <c r="F50" s="1813" t="str">
        <f>IF(E2="商业",SUMIF(L1:L12,G2,N1:N12),"——")</f>
        <v>——</v>
      </c>
      <c r="G50" s="1063" t="str">
        <f>H50</f>
        <v>——</v>
      </c>
      <c r="H50" s="1066" t="str">
        <f t="shared" ref="H50:H58" si="8">IFERROR(ROUNDDOWN($F$50*I50/2,4),"——")</f>
        <v>——</v>
      </c>
      <c r="I50" s="3366">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3397</v>
      </c>
      <c r="D51" s="1065">
        <f t="shared" si="7"/>
        <v>0</v>
      </c>
      <c r="E51" s="745"/>
      <c r="F51" s="1813"/>
      <c r="G51" s="1063" t="str">
        <f t="shared" ref="G51:G57" si="12">H51</f>
        <v>——</v>
      </c>
      <c r="H51" s="1066" t="str">
        <f t="shared" si="8"/>
        <v>——</v>
      </c>
      <c r="I51" s="3366">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8" t="s">
        <v>3273</v>
      </c>
      <c r="B52" s="2133">
        <f>估价对象房地状况!C19</f>
        <v>0</v>
      </c>
      <c r="C52" s="2043" t="s">
        <v>3397</v>
      </c>
      <c r="D52" s="1065">
        <f t="shared" si="7"/>
        <v>0</v>
      </c>
      <c r="E52" s="745"/>
      <c r="F52" s="1813"/>
      <c r="G52" s="1063" t="str">
        <f t="shared" si="12"/>
        <v>——</v>
      </c>
      <c r="H52" s="1066" t="str">
        <f t="shared" si="8"/>
        <v>——</v>
      </c>
      <c r="I52" s="3366">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29" t="s">
        <v>2054</v>
      </c>
      <c r="B53" s="2134" t="s">
        <v>2055</v>
      </c>
      <c r="C53" s="2043" t="s">
        <v>3397</v>
      </c>
      <c r="D53" s="1065">
        <f t="shared" si="7"/>
        <v>0</v>
      </c>
      <c r="E53" s="745"/>
      <c r="F53" s="1813"/>
      <c r="G53" s="1063" t="str">
        <f t="shared" si="12"/>
        <v>——</v>
      </c>
      <c r="H53" s="1066" t="str">
        <f t="shared" si="8"/>
        <v>——</v>
      </c>
      <c r="I53" s="3366">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3397</v>
      </c>
      <c r="D54" s="1065">
        <f t="shared" si="7"/>
        <v>0</v>
      </c>
      <c r="E54" s="745"/>
      <c r="F54" s="1813"/>
      <c r="G54" s="1063" t="str">
        <f t="shared" si="12"/>
        <v>——</v>
      </c>
      <c r="H54" s="1066" t="str">
        <f t="shared" si="8"/>
        <v>——</v>
      </c>
      <c r="I54" s="3366">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29" t="s">
        <v>2057</v>
      </c>
      <c r="B55" s="2135" t="s">
        <v>2058</v>
      </c>
      <c r="C55" s="2043" t="s">
        <v>3397</v>
      </c>
      <c r="D55" s="1065">
        <f t="shared" si="7"/>
        <v>0</v>
      </c>
      <c r="E55" s="745"/>
      <c r="F55" s="1813"/>
      <c r="G55" s="1063" t="str">
        <f t="shared" si="12"/>
        <v>——</v>
      </c>
      <c r="H55" s="1066" t="str">
        <f t="shared" si="8"/>
        <v>——</v>
      </c>
      <c r="I55" s="3366">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3397</v>
      </c>
      <c r="D56" s="1065">
        <f t="shared" si="7"/>
        <v>0</v>
      </c>
      <c r="E56" s="745"/>
      <c r="F56" s="1813"/>
      <c r="G56" s="1063" t="str">
        <f t="shared" si="12"/>
        <v>——</v>
      </c>
      <c r="H56" s="1066" t="str">
        <f t="shared" si="8"/>
        <v>——</v>
      </c>
      <c r="I56" s="3366">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3408</v>
      </c>
      <c r="D57" s="1065" t="e">
        <f t="shared" si="7"/>
        <v>#VALUE!</v>
      </c>
      <c r="E57" s="745"/>
      <c r="F57" s="1813"/>
      <c r="G57" s="1063" t="str">
        <f t="shared" si="12"/>
        <v>——</v>
      </c>
      <c r="H57" s="1066" t="str">
        <f t="shared" si="8"/>
        <v>——</v>
      </c>
      <c r="I57" s="3366">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3408</v>
      </c>
      <c r="D58" s="1065" t="e">
        <f t="shared" si="7"/>
        <v>#VALUE!</v>
      </c>
      <c r="E58" s="746"/>
      <c r="F58" s="1813"/>
      <c r="G58" s="1063" t="str">
        <f>H58</f>
        <v>——</v>
      </c>
      <c r="H58" s="1066" t="str">
        <f t="shared" si="8"/>
        <v>——</v>
      </c>
      <c r="I58" s="3367">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3273</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2065</v>
      </c>
      <c r="B70" s="2126">
        <f>1+E72</f>
        <v>1.0246</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3408</v>
      </c>
      <c r="D72" s="1065">
        <f t="shared" ref="D72:D80" si="18">SUMIF($J$71:$N$71,C72,J72:N72)</f>
        <v>1.2999999999999999E-2</v>
      </c>
      <c r="E72" s="744">
        <f>ROUND(SUM(D72:D80),4)</f>
        <v>2.46E-2</v>
      </c>
      <c r="F72" s="1813">
        <f>IF(E2="住宅",SUMIF(L1:L12,G2,N1:N12),"——")</f>
        <v>0.13</v>
      </c>
      <c r="G72" s="1063">
        <f>H72</f>
        <v>1.2999999999999999E-2</v>
      </c>
      <c r="H72" s="1066">
        <f t="shared" ref="H72:H80" si="19">IFERROR(ROUNDDOWN($F$72*I72/2,4),"——")</f>
        <v>1.2999999999999999E-2</v>
      </c>
      <c r="I72" s="3366">
        <v>0.2</v>
      </c>
      <c r="J72" s="1064">
        <f t="shared" ref="J72:J80" si="20">K72+$G72</f>
        <v>2.5999999999999999E-2</v>
      </c>
      <c r="K72" s="1064">
        <f t="shared" ref="K72:K80" si="21">$L72+$G72</f>
        <v>1.2999999999999999E-2</v>
      </c>
      <c r="L72" s="1064">
        <v>0</v>
      </c>
      <c r="M72" s="1064">
        <f t="shared" ref="M72:N80" si="22">L72-$G72</f>
        <v>-1.2999999999999999E-2</v>
      </c>
      <c r="N72" s="1064">
        <f t="shared" si="22"/>
        <v>-2.5999999999999999E-2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3397</v>
      </c>
      <c r="D73" s="1065">
        <f t="shared" si="18"/>
        <v>0</v>
      </c>
      <c r="E73" s="747"/>
      <c r="F73" s="1813"/>
      <c r="G73" s="1063">
        <f t="shared" ref="G73:G80" si="23">H73</f>
        <v>1.6899999999999998E-2</v>
      </c>
      <c r="H73" s="1066">
        <f t="shared" si="19"/>
        <v>1.6899999999999998E-2</v>
      </c>
      <c r="I73" s="3366">
        <v>0.26</v>
      </c>
      <c r="J73" s="1064">
        <f t="shared" si="20"/>
        <v>3.3799999999999997E-2</v>
      </c>
      <c r="K73" s="1064">
        <f t="shared" si="21"/>
        <v>1.6899999999999998E-2</v>
      </c>
      <c r="L73" s="1064">
        <v>0</v>
      </c>
      <c r="M73" s="1064">
        <f t="shared" si="22"/>
        <v>-1.6899999999999998E-2</v>
      </c>
      <c r="N73" s="1064">
        <f t="shared" si="22"/>
        <v>-3.3799999999999997E-2</v>
      </c>
      <c r="AA73" s="1120"/>
      <c r="AB73" s="1120"/>
      <c r="AC73" s="1120"/>
      <c r="AD73" s="1120"/>
      <c r="AE73" s="1120"/>
      <c r="AF73" s="1120"/>
      <c r="AG73" s="1120"/>
      <c r="AH73" s="1120"/>
      <c r="AI73" s="1120"/>
      <c r="AJ73" s="1120"/>
      <c r="AK73" s="1120"/>
    </row>
    <row r="74" spans="1:37" s="1996" customFormat="1" ht="36">
      <c r="A74" s="3368" t="s">
        <v>3273</v>
      </c>
      <c r="B74" s="2133">
        <f>估价对象房地状况!C19</f>
        <v>0</v>
      </c>
      <c r="C74" s="2043" t="s">
        <v>3397</v>
      </c>
      <c r="D74" s="1065">
        <f t="shared" si="18"/>
        <v>0</v>
      </c>
      <c r="E74" s="747"/>
      <c r="F74" s="1813"/>
      <c r="G74" s="1063">
        <f t="shared" si="23"/>
        <v>6.4999999999999997E-3</v>
      </c>
      <c r="H74" s="1066">
        <f t="shared" si="19"/>
        <v>6.4999999999999997E-3</v>
      </c>
      <c r="I74" s="3366">
        <v>0.1</v>
      </c>
      <c r="J74" s="1064">
        <f t="shared" si="20"/>
        <v>1.2999999999999999E-2</v>
      </c>
      <c r="K74" s="1064">
        <f t="shared" si="21"/>
        <v>6.4999999999999997E-3</v>
      </c>
      <c r="L74" s="1064">
        <v>0</v>
      </c>
      <c r="M74" s="1064">
        <f t="shared" si="22"/>
        <v>-6.4999999999999997E-3</v>
      </c>
      <c r="N74" s="1064">
        <f t="shared" si="22"/>
        <v>-1.2999999999999999E-2</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3397</v>
      </c>
      <c r="D75" s="1065">
        <f t="shared" si="18"/>
        <v>0</v>
      </c>
      <c r="E75" s="747"/>
      <c r="F75" s="1813"/>
      <c r="G75" s="1063">
        <f t="shared" si="23"/>
        <v>3.2000000000000002E-3</v>
      </c>
      <c r="H75" s="1066">
        <f t="shared" si="19"/>
        <v>3.2000000000000002E-3</v>
      </c>
      <c r="I75" s="3366">
        <v>0.05</v>
      </c>
      <c r="J75" s="1064">
        <f t="shared" si="20"/>
        <v>6.4000000000000003E-3</v>
      </c>
      <c r="K75" s="1064">
        <f t="shared" si="21"/>
        <v>3.2000000000000002E-3</v>
      </c>
      <c r="L75" s="1064">
        <v>0</v>
      </c>
      <c r="M75" s="1064">
        <f t="shared" si="22"/>
        <v>-3.2000000000000002E-3</v>
      </c>
      <c r="N75" s="1064">
        <f t="shared" si="22"/>
        <v>-6.4000000000000003E-3</v>
      </c>
      <c r="O75" s="1119"/>
      <c r="P75" s="1119"/>
      <c r="Q75" s="1996"/>
      <c r="Z75" s="1997"/>
      <c r="AA75" s="2052"/>
      <c r="AG75" s="1121"/>
      <c r="AK75" s="2052"/>
    </row>
    <row r="76" spans="1:37" ht="25.5">
      <c r="A76" s="2129" t="s">
        <v>2059</v>
      </c>
      <c r="B76" s="1325" t="str">
        <f>估价对象房地状况!C21</f>
        <v>估价对象所在区域公共配套设施齐备情况</v>
      </c>
      <c r="C76" s="2043" t="s">
        <v>3397</v>
      </c>
      <c r="D76" s="1065">
        <f t="shared" si="18"/>
        <v>0</v>
      </c>
      <c r="E76" s="747"/>
      <c r="F76" s="1813"/>
      <c r="G76" s="1063">
        <f t="shared" si="23"/>
        <v>5.1999999999999998E-3</v>
      </c>
      <c r="H76" s="1066">
        <f t="shared" si="19"/>
        <v>5.1999999999999998E-3</v>
      </c>
      <c r="I76" s="3366">
        <v>0.08</v>
      </c>
      <c r="J76" s="1064">
        <f t="shared" si="20"/>
        <v>1.04E-2</v>
      </c>
      <c r="K76" s="1064">
        <f t="shared" si="21"/>
        <v>5.1999999999999998E-3</v>
      </c>
      <c r="L76" s="1064">
        <v>0</v>
      </c>
      <c r="M76" s="1064">
        <f t="shared" si="22"/>
        <v>-5.1999999999999998E-3</v>
      </c>
      <c r="N76" s="1064">
        <f t="shared" si="22"/>
        <v>-1.04E-2</v>
      </c>
      <c r="O76" s="1119"/>
      <c r="P76" s="1119"/>
      <c r="Z76" s="1997"/>
      <c r="AA76" s="2052"/>
      <c r="AG76" s="1121"/>
      <c r="AK76" s="2052"/>
    </row>
    <row r="77" spans="1:37" ht="25.5">
      <c r="A77" s="2129" t="s">
        <v>2060</v>
      </c>
      <c r="B77" s="1325" t="str">
        <f>估价对象房地状况!C22</f>
        <v>估价对象所在区域基础设施水平</v>
      </c>
      <c r="C77" s="2043" t="s">
        <v>3451</v>
      </c>
      <c r="D77" s="1065">
        <f t="shared" si="18"/>
        <v>1.1599999999999999E-2</v>
      </c>
      <c r="E77" s="747"/>
      <c r="F77" s="1813"/>
      <c r="G77" s="1063">
        <f t="shared" si="23"/>
        <v>5.7999999999999996E-3</v>
      </c>
      <c r="H77" s="1066">
        <f t="shared" si="19"/>
        <v>5.7999999999999996E-3</v>
      </c>
      <c r="I77" s="3366">
        <v>0.09</v>
      </c>
      <c r="J77" s="1064">
        <f t="shared" si="20"/>
        <v>1.1599999999999999E-2</v>
      </c>
      <c r="K77" s="1064">
        <f t="shared" si="21"/>
        <v>5.7999999999999996E-3</v>
      </c>
      <c r="L77" s="1064">
        <v>0</v>
      </c>
      <c r="M77" s="1064">
        <f t="shared" si="22"/>
        <v>-5.7999999999999996E-3</v>
      </c>
      <c r="N77" s="1064">
        <f t="shared" si="22"/>
        <v>-1.1599999999999999E-2</v>
      </c>
      <c r="O77" s="1119"/>
      <c r="P77" s="1119"/>
      <c r="Z77" s="1997"/>
      <c r="AA77" s="2052"/>
      <c r="AG77" s="1121"/>
      <c r="AK77" s="2052"/>
    </row>
    <row r="78" spans="1:37" ht="24">
      <c r="A78" s="2129" t="s">
        <v>2057</v>
      </c>
      <c r="B78" s="2135" t="s">
        <v>2058</v>
      </c>
      <c r="C78" s="2043" t="s">
        <v>3408</v>
      </c>
      <c r="D78" s="1065">
        <f t="shared" si="18"/>
        <v>3.2000000000000002E-3</v>
      </c>
      <c r="E78" s="747"/>
      <c r="F78" s="1813"/>
      <c r="G78" s="1063">
        <f t="shared" si="23"/>
        <v>3.2000000000000002E-3</v>
      </c>
      <c r="H78" s="1066">
        <f t="shared" si="19"/>
        <v>3.2000000000000002E-3</v>
      </c>
      <c r="I78" s="3366">
        <v>0.05</v>
      </c>
      <c r="J78" s="1064">
        <f t="shared" si="20"/>
        <v>6.4000000000000003E-3</v>
      </c>
      <c r="K78" s="1064">
        <f t="shared" si="21"/>
        <v>3.2000000000000002E-3</v>
      </c>
      <c r="L78" s="1064">
        <v>0</v>
      </c>
      <c r="M78" s="1064">
        <f t="shared" si="22"/>
        <v>-3.2000000000000002E-3</v>
      </c>
      <c r="N78" s="1064">
        <f t="shared" si="22"/>
        <v>-6.4000000000000003E-3</v>
      </c>
      <c r="O78" s="1996"/>
      <c r="P78" s="1996"/>
      <c r="Z78" s="1997"/>
      <c r="AA78" s="2052"/>
      <c r="AG78" s="1121"/>
      <c r="AK78" s="2052"/>
    </row>
    <row r="79" spans="1:37" ht="25.5">
      <c r="A79" s="2129" t="s">
        <v>2061</v>
      </c>
      <c r="B79" s="2132" t="str">
        <f>估价对象房地状况!C20</f>
        <v>区域自然环境：；人文环境；综合评价环境状况一般</v>
      </c>
      <c r="C79" s="2043" t="s">
        <v>3397</v>
      </c>
      <c r="D79" s="1065">
        <f t="shared" si="18"/>
        <v>0</v>
      </c>
      <c r="E79" s="747"/>
      <c r="F79" s="1813"/>
      <c r="G79" s="1063">
        <f t="shared" si="23"/>
        <v>7.7999999999999996E-3</v>
      </c>
      <c r="H79" s="1066">
        <f t="shared" si="19"/>
        <v>7.7999999999999996E-3</v>
      </c>
      <c r="I79" s="3366">
        <v>0.12</v>
      </c>
      <c r="J79" s="1064">
        <f t="shared" si="20"/>
        <v>1.5599999999999999E-2</v>
      </c>
      <c r="K79" s="1064">
        <f t="shared" si="21"/>
        <v>7.7999999999999996E-3</v>
      </c>
      <c r="L79" s="1064">
        <v>0</v>
      </c>
      <c r="M79" s="1064">
        <f t="shared" si="22"/>
        <v>-7.7999999999999996E-3</v>
      </c>
      <c r="N79" s="1064">
        <f t="shared" si="22"/>
        <v>-1.5599999999999999E-2</v>
      </c>
      <c r="Z79" s="1997"/>
      <c r="AA79" s="2052"/>
      <c r="AG79" s="1121"/>
      <c r="AK79" s="2052"/>
    </row>
    <row r="80" spans="1:37" ht="24.75" thickBot="1">
      <c r="A80" s="2137" t="s">
        <v>2068</v>
      </c>
      <c r="B80" s="2141"/>
      <c r="C80" s="2043" t="s">
        <v>3452</v>
      </c>
      <c r="D80" s="1065">
        <f t="shared" si="18"/>
        <v>-3.2000000000000002E-3</v>
      </c>
      <c r="E80" s="748"/>
      <c r="F80" s="1813"/>
      <c r="G80" s="1063">
        <f t="shared" si="23"/>
        <v>3.2000000000000002E-3</v>
      </c>
      <c r="H80" s="1066">
        <f t="shared" si="19"/>
        <v>3.2000000000000002E-3</v>
      </c>
      <c r="I80" s="3367">
        <v>0.05</v>
      </c>
      <c r="J80" s="1064">
        <f t="shared" si="20"/>
        <v>6.4000000000000003E-3</v>
      </c>
      <c r="K80" s="1064">
        <f t="shared" si="21"/>
        <v>3.2000000000000002E-3</v>
      </c>
      <c r="L80" s="1064">
        <v>0</v>
      </c>
      <c r="M80" s="1064">
        <f t="shared" si="22"/>
        <v>-3.2000000000000002E-3</v>
      </c>
      <c r="N80" s="1064">
        <f t="shared" si="22"/>
        <v>-6.4000000000000003E-3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4">SUMIF($J$82:$N$82,C83,J83:N83)</f>
        <v>0</v>
      </c>
      <c r="E83" s="744">
        <f>ROUND(SUM(D83:D90),4)</f>
        <v>0</v>
      </c>
      <c r="F83" s="1813" t="str">
        <f>IF(E2="工业",SUMIF(L1:L12,G2,N1:N12),"——")</f>
        <v>——</v>
      </c>
      <c r="G83" s="1063"/>
      <c r="H83" s="1066" t="str">
        <f t="shared" ref="H83:H90" si="25">IFERROR(ROUNDDOWN($F$83*I83/2,4),"——")</f>
        <v>——</v>
      </c>
      <c r="I83" s="3366">
        <v>0.26</v>
      </c>
      <c r="J83" s="1064">
        <f t="shared" ref="J83:J90" si="26">K83+$G83</f>
        <v>0</v>
      </c>
      <c r="K83" s="1064">
        <f t="shared" ref="K83:K90" si="27">$L83+$G83</f>
        <v>0</v>
      </c>
      <c r="L83" s="1064">
        <v>0</v>
      </c>
      <c r="M83" s="1064">
        <f t="shared" ref="M83:N90" si="28">L83-$G83</f>
        <v>0</v>
      </c>
      <c r="N83" s="1064">
        <f t="shared" si="28"/>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4"/>
        <v>0</v>
      </c>
      <c r="E84" s="747"/>
      <c r="F84" s="1813"/>
      <c r="G84" s="1063"/>
      <c r="H84" s="1066" t="str">
        <f t="shared" si="25"/>
        <v>——</v>
      </c>
      <c r="I84" s="3366">
        <v>0.3</v>
      </c>
      <c r="J84" s="1064">
        <f t="shared" si="26"/>
        <v>0</v>
      </c>
      <c r="K84" s="1064">
        <f t="shared" si="27"/>
        <v>0</v>
      </c>
      <c r="L84" s="1064">
        <v>0</v>
      </c>
      <c r="M84" s="1064">
        <f t="shared" si="28"/>
        <v>0</v>
      </c>
      <c r="N84" s="1064">
        <f t="shared" si="28"/>
        <v>0</v>
      </c>
      <c r="Z84" s="1997"/>
      <c r="AA84" s="2052"/>
      <c r="AG84" s="1121"/>
      <c r="AK84" s="2052"/>
    </row>
    <row r="85" spans="1:37" ht="36">
      <c r="A85" s="3368" t="s">
        <v>3274</v>
      </c>
      <c r="B85" s="2133">
        <f>估价对象房地状况!G17</f>
        <v>0</v>
      </c>
      <c r="C85" s="2043"/>
      <c r="D85" s="1065">
        <f t="shared" si="24"/>
        <v>0</v>
      </c>
      <c r="E85" s="747"/>
      <c r="F85" s="1813"/>
      <c r="G85" s="1063"/>
      <c r="H85" s="1066" t="str">
        <f t="shared" si="25"/>
        <v>——</v>
      </c>
      <c r="I85" s="3366">
        <v>0.1</v>
      </c>
      <c r="J85" s="1064">
        <f t="shared" si="26"/>
        <v>0</v>
      </c>
      <c r="K85" s="1064">
        <f t="shared" si="27"/>
        <v>0</v>
      </c>
      <c r="L85" s="1064">
        <v>0</v>
      </c>
      <c r="M85" s="1064">
        <f t="shared" si="28"/>
        <v>0</v>
      </c>
      <c r="N85" s="1064">
        <f t="shared" si="28"/>
        <v>0</v>
      </c>
      <c r="Z85" s="1997"/>
      <c r="AA85" s="2052"/>
      <c r="AG85" s="1121"/>
      <c r="AK85" s="2052"/>
    </row>
    <row r="86" spans="1:37" ht="14.25">
      <c r="A86" s="2129" t="s">
        <v>2067</v>
      </c>
      <c r="B86" s="2133">
        <f>估价对象房地状况!G22</f>
        <v>0</v>
      </c>
      <c r="C86" s="2043"/>
      <c r="D86" s="1065">
        <f t="shared" si="24"/>
        <v>0</v>
      </c>
      <c r="E86" s="747"/>
      <c r="F86" s="1813"/>
      <c r="G86" s="1063"/>
      <c r="H86" s="1066" t="str">
        <f t="shared" si="25"/>
        <v>——</v>
      </c>
      <c r="I86" s="3366">
        <v>0.05</v>
      </c>
      <c r="J86" s="1064">
        <f t="shared" si="26"/>
        <v>0</v>
      </c>
      <c r="K86" s="1064">
        <f t="shared" si="27"/>
        <v>0</v>
      </c>
      <c r="L86" s="1064">
        <v>0</v>
      </c>
      <c r="M86" s="1064">
        <f t="shared" si="28"/>
        <v>0</v>
      </c>
      <c r="N86" s="1064">
        <f t="shared" si="28"/>
        <v>0</v>
      </c>
      <c r="Z86" s="1997"/>
      <c r="AA86" s="2052"/>
      <c r="AG86" s="1121"/>
      <c r="AK86" s="2052"/>
    </row>
    <row r="87" spans="1:37" ht="25.5">
      <c r="A87" s="2129" t="s">
        <v>2059</v>
      </c>
      <c r="B87" s="1325" t="str">
        <f>估价对象房地状况!G19</f>
        <v>估价对象所在区域公共配套设施齐备情况</v>
      </c>
      <c r="C87" s="2043"/>
      <c r="D87" s="1065">
        <f t="shared" si="24"/>
        <v>0</v>
      </c>
      <c r="E87" s="747"/>
      <c r="F87" s="1813"/>
      <c r="G87" s="1063"/>
      <c r="H87" s="1066" t="str">
        <f t="shared" si="25"/>
        <v>——</v>
      </c>
      <c r="I87" s="3366">
        <v>0.06</v>
      </c>
      <c r="J87" s="1064">
        <f t="shared" si="26"/>
        <v>0</v>
      </c>
      <c r="K87" s="1064">
        <f t="shared" si="27"/>
        <v>0</v>
      </c>
      <c r="L87" s="1064">
        <v>0</v>
      </c>
      <c r="M87" s="1064">
        <f t="shared" si="28"/>
        <v>0</v>
      </c>
      <c r="N87" s="1064">
        <f t="shared" si="28"/>
        <v>0</v>
      </c>
    </row>
    <row r="88" spans="1:37" ht="25.5">
      <c r="A88" s="2129" t="s">
        <v>2060</v>
      </c>
      <c r="B88" s="1325" t="str">
        <f>估价对象房地状况!G20</f>
        <v>估价对象所在区域基础设施水平</v>
      </c>
      <c r="C88" s="2043"/>
      <c r="D88" s="1065">
        <f t="shared" si="24"/>
        <v>0</v>
      </c>
      <c r="E88" s="747"/>
      <c r="F88" s="1813"/>
      <c r="G88" s="1063"/>
      <c r="H88" s="1066" t="str">
        <f t="shared" si="25"/>
        <v>——</v>
      </c>
      <c r="I88" s="3366">
        <v>0.12</v>
      </c>
      <c r="J88" s="1064">
        <f t="shared" si="26"/>
        <v>0</v>
      </c>
      <c r="K88" s="1064">
        <f t="shared" si="27"/>
        <v>0</v>
      </c>
      <c r="L88" s="1064">
        <v>0</v>
      </c>
      <c r="M88" s="1064">
        <f t="shared" si="28"/>
        <v>0</v>
      </c>
      <c r="N88" s="1064">
        <f t="shared" si="28"/>
        <v>0</v>
      </c>
    </row>
    <row r="89" spans="1:37" ht="24">
      <c r="A89" s="2129" t="s">
        <v>2057</v>
      </c>
      <c r="B89" s="2135" t="s">
        <v>2071</v>
      </c>
      <c r="C89" s="2043"/>
      <c r="D89" s="1065">
        <f t="shared" si="24"/>
        <v>0</v>
      </c>
      <c r="E89" s="747"/>
      <c r="F89" s="1813"/>
      <c r="G89" s="1063"/>
      <c r="H89" s="1066" t="str">
        <f t="shared" si="25"/>
        <v>——</v>
      </c>
      <c r="I89" s="3366">
        <v>0.06</v>
      </c>
      <c r="J89" s="1064">
        <f t="shared" si="26"/>
        <v>0</v>
      </c>
      <c r="K89" s="1064">
        <f t="shared" si="27"/>
        <v>0</v>
      </c>
      <c r="L89" s="1064">
        <v>0</v>
      </c>
      <c r="M89" s="1064">
        <f t="shared" si="28"/>
        <v>0</v>
      </c>
      <c r="N89" s="1064">
        <f t="shared" si="28"/>
        <v>0</v>
      </c>
    </row>
    <row r="90" spans="1:37" ht="39" thickBot="1">
      <c r="A90" s="2137" t="s">
        <v>2072</v>
      </c>
      <c r="B90" s="2142" t="str">
        <f>估价对象房地状况!G18</f>
        <v>该园区内是否有污染型企业，绿化情况，卫生条件，整体环境状况判断</v>
      </c>
      <c r="C90" s="2043"/>
      <c r="D90" s="1065">
        <f t="shared" si="24"/>
        <v>0</v>
      </c>
      <c r="E90" s="748"/>
      <c r="F90" s="1813"/>
      <c r="G90" s="1063"/>
      <c r="H90" s="1066" t="str">
        <f t="shared" si="25"/>
        <v>——</v>
      </c>
      <c r="I90" s="3367">
        <v>0.05</v>
      </c>
      <c r="J90" s="1064">
        <f t="shared" si="26"/>
        <v>0</v>
      </c>
      <c r="K90" s="1064">
        <f t="shared" si="27"/>
        <v>0</v>
      </c>
      <c r="L90" s="1064">
        <v>0</v>
      </c>
      <c r="M90" s="1064">
        <f t="shared" si="28"/>
        <v>0</v>
      </c>
      <c r="N90" s="1064">
        <f t="shared" si="28"/>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3277</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3273</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3278</v>
      </c>
      <c r="B96" s="3384" t="s">
        <v>3289</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3279</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3280</v>
      </c>
      <c r="B98" s="3385" t="s">
        <v>3290</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3281</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3282</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3283</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803" t="s">
        <v>3298</v>
      </c>
      <c r="B103" s="3803"/>
      <c r="C103" s="3803"/>
      <c r="D103" s="3803"/>
      <c r="E103" s="3803"/>
      <c r="F103" s="3803"/>
      <c r="G103" s="3803"/>
      <c r="H103" s="3803"/>
      <c r="I103" s="3803"/>
      <c r="J103" s="3803"/>
      <c r="K103" s="3389"/>
      <c r="L103" s="3389"/>
      <c r="M103" s="3389"/>
      <c r="N103" s="3389"/>
    </row>
    <row r="104" spans="1:14">
      <c r="A104" s="3804" t="s">
        <v>3299</v>
      </c>
      <c r="B104" s="3804" t="s">
        <v>3300</v>
      </c>
      <c r="C104" s="3390" t="s">
        <v>3301</v>
      </c>
      <c r="D104" s="3391"/>
      <c r="E104" s="3391"/>
      <c r="F104" s="3391"/>
      <c r="G104" s="3391"/>
      <c r="H104" s="3391"/>
      <c r="I104" s="3391"/>
      <c r="J104" s="3392"/>
      <c r="K104" s="3393"/>
      <c r="L104" s="3393"/>
      <c r="M104" s="3393"/>
      <c r="N104" s="3393"/>
    </row>
    <row r="105" spans="1:14">
      <c r="A105" s="3804"/>
      <c r="B105" s="3804"/>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90"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1"/>
      <c r="B111" s="3394" t="s">
        <v>3272</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92"/>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93" t="s">
        <v>3315</v>
      </c>
      <c r="B113" s="3793"/>
      <c r="C113" s="3793"/>
      <c r="D113" s="3793"/>
      <c r="E113" s="3793"/>
      <c r="F113" s="3793"/>
      <c r="G113" s="3793"/>
      <c r="H113" s="3793"/>
      <c r="I113" s="3793"/>
      <c r="J113" s="379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0.92249999999999999</v>
      </c>
      <c r="E116" s="1999" t="s">
        <v>3318</v>
      </c>
      <c r="F116" s="3401" t="str">
        <f>E2</f>
        <v>住宅</v>
      </c>
      <c r="G116" s="1999" t="s">
        <v>3319</v>
      </c>
      <c r="H116" s="3401" t="str">
        <f>G2</f>
        <v>七级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7">I118</f>
        <v>0.8306</v>
      </c>
      <c r="K118" s="3387">
        <f t="shared" si="37"/>
        <v>0.8306</v>
      </c>
      <c r="L118" s="3387">
        <f t="shared" si="37"/>
        <v>0.8306</v>
      </c>
      <c r="M118" s="3410">
        <f t="shared" si="37"/>
        <v>0.8306</v>
      </c>
      <c r="N118" s="3397"/>
    </row>
    <row r="119" spans="1:14">
      <c r="A119" s="3409" t="s">
        <v>3333</v>
      </c>
      <c r="B119" s="3387">
        <f>ROUND(0.993-0.0112*B116,4)</f>
        <v>0.98180000000000001</v>
      </c>
      <c r="C119" s="3387">
        <f>B119</f>
        <v>0.98180000000000001</v>
      </c>
      <c r="D119" s="3387">
        <f>ROUND(0.9415-0.0142*B116,4)</f>
        <v>0.92730000000000001</v>
      </c>
      <c r="E119" s="3387">
        <f t="shared" ref="E119:H120" si="38">D119</f>
        <v>0.92730000000000001</v>
      </c>
      <c r="F119" s="3387">
        <f t="shared" si="38"/>
        <v>0.92730000000000001</v>
      </c>
      <c r="G119" s="3387">
        <f t="shared" si="38"/>
        <v>0.92730000000000001</v>
      </c>
      <c r="H119" s="3387">
        <f t="shared" si="38"/>
        <v>0.92730000000000001</v>
      </c>
      <c r="I119" s="3387">
        <f>ROUND(0.838-0.0182*B116,4)</f>
        <v>0.81979999999999997</v>
      </c>
      <c r="J119" s="3387">
        <f t="shared" si="37"/>
        <v>0.81979999999999997</v>
      </c>
      <c r="K119" s="3387">
        <f t="shared" si="37"/>
        <v>0.81979999999999997</v>
      </c>
      <c r="L119" s="3387">
        <f t="shared" si="37"/>
        <v>0.81979999999999997</v>
      </c>
      <c r="M119" s="3410">
        <f t="shared" si="37"/>
        <v>0.81979999999999997</v>
      </c>
      <c r="N119" s="3397"/>
    </row>
    <row r="120" spans="1:14">
      <c r="A120" s="3409" t="s">
        <v>3334</v>
      </c>
      <c r="B120" s="3387">
        <f>ROUND(0.9448-0.0115*B116,4)</f>
        <v>0.93330000000000002</v>
      </c>
      <c r="C120" s="3387">
        <f>B120</f>
        <v>0.93330000000000002</v>
      </c>
      <c r="D120" s="3387">
        <f>ROUND(0.937-0.0145*B116,4)</f>
        <v>0.92249999999999999</v>
      </c>
      <c r="E120" s="3387">
        <f t="shared" si="38"/>
        <v>0.92249999999999999</v>
      </c>
      <c r="F120" s="3387">
        <f t="shared" si="38"/>
        <v>0.92249999999999999</v>
      </c>
      <c r="G120" s="3387">
        <f t="shared" si="38"/>
        <v>0.92249999999999999</v>
      </c>
      <c r="H120" s="3387">
        <f t="shared" si="38"/>
        <v>0.92249999999999999</v>
      </c>
      <c r="I120" s="3387">
        <f>ROUND(0.7965-0.0185*B116,4)</f>
        <v>0.77800000000000002</v>
      </c>
      <c r="J120" s="3387">
        <f t="shared" si="37"/>
        <v>0.77800000000000002</v>
      </c>
      <c r="K120" s="3387">
        <f t="shared" si="37"/>
        <v>0.77800000000000002</v>
      </c>
      <c r="L120" s="3387">
        <f t="shared" si="37"/>
        <v>0.77800000000000002</v>
      </c>
      <c r="M120" s="3410">
        <f t="shared" si="37"/>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7"/>
        <v>0.57150000000000001</v>
      </c>
      <c r="K121" s="3412">
        <f t="shared" si="37"/>
        <v>0.57150000000000001</v>
      </c>
      <c r="L121" s="3412">
        <f t="shared" si="37"/>
        <v>0.57150000000000001</v>
      </c>
      <c r="M121" s="3413">
        <f t="shared" si="37"/>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9">D122</f>
        <v>0.88200000000000001</v>
      </c>
      <c r="F122" s="3387">
        <f t="shared" si="39"/>
        <v>0.88200000000000001</v>
      </c>
      <c r="G122" s="3387">
        <f t="shared" si="39"/>
        <v>0.88200000000000001</v>
      </c>
      <c r="H122" s="3387">
        <f t="shared" si="39"/>
        <v>0.88200000000000001</v>
      </c>
      <c r="I122" s="3387">
        <f>ROUND(0.7632-0.0166*B116,4)</f>
        <v>0.74660000000000004</v>
      </c>
      <c r="J122" s="3387">
        <f t="shared" si="37"/>
        <v>0.74660000000000004</v>
      </c>
      <c r="K122" s="3387">
        <f t="shared" si="37"/>
        <v>0.74660000000000004</v>
      </c>
      <c r="L122" s="3387">
        <f t="shared" si="37"/>
        <v>0.74660000000000004</v>
      </c>
      <c r="M122" s="3410">
        <f t="shared" si="37"/>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16" t="s">
        <v>2610</v>
      </c>
      <c r="B20" s="3809" t="s">
        <v>2631</v>
      </c>
      <c r="C20" s="3102" t="s">
        <v>2442</v>
      </c>
      <c r="D20" s="3103"/>
      <c r="E20" s="3104">
        <v>1</v>
      </c>
      <c r="F20" s="3105" t="s">
        <v>2443</v>
      </c>
      <c r="G20" s="3105"/>
    </row>
    <row r="21" spans="1:13" ht="19.5" customHeight="1">
      <c r="A21" s="3817"/>
      <c r="B21" s="3810"/>
      <c r="C21" s="3106" t="s">
        <v>2444</v>
      </c>
      <c r="D21" s="3107"/>
      <c r="E21" s="3108">
        <v>1</v>
      </c>
      <c r="F21" s="3105" t="s">
        <v>2445</v>
      </c>
      <c r="G21" s="3105"/>
    </row>
    <row r="22" spans="1:13" ht="19.5" customHeight="1">
      <c r="A22" s="3817"/>
      <c r="B22" s="3810"/>
      <c r="C22" s="3106" t="s">
        <v>2446</v>
      </c>
      <c r="D22" s="3107"/>
      <c r="E22" s="3108">
        <v>0.9</v>
      </c>
      <c r="F22" s="3105" t="s">
        <v>2447</v>
      </c>
      <c r="G22" s="3105"/>
    </row>
    <row r="23" spans="1:13" ht="19.5" customHeight="1">
      <c r="A23" s="3817"/>
      <c r="B23" s="3810"/>
      <c r="C23" s="3106" t="s">
        <v>2448</v>
      </c>
      <c r="D23" s="3107"/>
      <c r="E23" s="3108">
        <v>0.9</v>
      </c>
      <c r="F23" s="3105" t="s">
        <v>2449</v>
      </c>
      <c r="G23" s="3105"/>
    </row>
    <row r="24" spans="1:13" ht="19.5" customHeight="1">
      <c r="A24" s="3817"/>
      <c r="B24" s="3810"/>
      <c r="C24" s="3106" t="s">
        <v>2450</v>
      </c>
      <c r="D24" s="3107"/>
      <c r="E24" s="3108">
        <v>0.8</v>
      </c>
      <c r="F24" s="3105" t="s">
        <v>2451</v>
      </c>
      <c r="G24" s="3105"/>
    </row>
    <row r="25" spans="1:13" ht="19.5" customHeight="1" thickBot="1">
      <c r="A25" s="3818"/>
      <c r="B25" s="3811"/>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12" t="s">
        <v>2634</v>
      </c>
      <c r="B27" s="3809" t="s">
        <v>2615</v>
      </c>
      <c r="C27" s="3102" t="s">
        <v>2455</v>
      </c>
      <c r="D27" s="3103"/>
      <c r="E27" s="3104">
        <v>1</v>
      </c>
      <c r="F27" s="3105" t="s">
        <v>2456</v>
      </c>
      <c r="G27" s="3105"/>
    </row>
    <row r="28" spans="1:13" ht="19.5" customHeight="1">
      <c r="A28" s="3813"/>
      <c r="B28" s="3810"/>
      <c r="C28" s="3106" t="s">
        <v>2457</v>
      </c>
      <c r="D28" s="3107"/>
      <c r="E28" s="3108">
        <v>1</v>
      </c>
      <c r="F28" s="3105" t="s">
        <v>2458</v>
      </c>
      <c r="G28" s="3105"/>
    </row>
    <row r="29" spans="1:13" ht="19.5" customHeight="1">
      <c r="A29" s="3813"/>
      <c r="B29" s="3810"/>
      <c r="C29" s="3106" t="s">
        <v>2459</v>
      </c>
      <c r="D29" s="3107"/>
      <c r="E29" s="3108">
        <v>0.8</v>
      </c>
      <c r="F29" s="3105" t="s">
        <v>2460</v>
      </c>
      <c r="G29" s="3105"/>
    </row>
    <row r="30" spans="1:13" ht="19.5" customHeight="1">
      <c r="A30" s="3813"/>
      <c r="B30" s="3810"/>
      <c r="C30" s="3106" t="s">
        <v>2461</v>
      </c>
      <c r="D30" s="3107"/>
      <c r="E30" s="3108">
        <v>0.8</v>
      </c>
      <c r="F30" s="3105" t="s">
        <v>2462</v>
      </c>
      <c r="G30" s="3105"/>
    </row>
    <row r="31" spans="1:13" ht="19.5" customHeight="1">
      <c r="A31" s="3813"/>
      <c r="B31" s="3810"/>
      <c r="C31" s="3106" t="s">
        <v>2463</v>
      </c>
      <c r="D31" s="3107"/>
      <c r="E31" s="3108">
        <v>0.8</v>
      </c>
      <c r="F31" s="3105" t="s">
        <v>2464</v>
      </c>
      <c r="G31" s="3105"/>
    </row>
    <row r="32" spans="1:13" ht="19.5" customHeight="1">
      <c r="A32" s="3813"/>
      <c r="B32" s="3810"/>
      <c r="C32" s="3106" t="s">
        <v>2465</v>
      </c>
      <c r="D32" s="3107"/>
      <c r="E32" s="3108">
        <v>0.7</v>
      </c>
      <c r="F32" s="3105" t="s">
        <v>2466</v>
      </c>
      <c r="G32" s="3105"/>
    </row>
    <row r="33" spans="1:7" ht="19.5" customHeight="1">
      <c r="A33" s="3813"/>
      <c r="B33" s="3810"/>
      <c r="C33" s="3106" t="s">
        <v>2467</v>
      </c>
      <c r="D33" s="3107"/>
      <c r="E33" s="3108">
        <v>0.8</v>
      </c>
      <c r="F33" s="3105" t="s">
        <v>2468</v>
      </c>
      <c r="G33" s="3105"/>
    </row>
    <row r="34" spans="1:7" ht="19.5" customHeight="1">
      <c r="A34" s="3813"/>
      <c r="B34" s="3810"/>
      <c r="C34" s="3106" t="s">
        <v>2469</v>
      </c>
      <c r="D34" s="3107"/>
      <c r="E34" s="3108">
        <v>0.6</v>
      </c>
      <c r="F34" s="3105" t="s">
        <v>2470</v>
      </c>
      <c r="G34" s="3105"/>
    </row>
    <row r="35" spans="1:7" ht="19.5" customHeight="1">
      <c r="A35" s="3813"/>
      <c r="B35" s="3810"/>
      <c r="C35" s="3106" t="s">
        <v>2471</v>
      </c>
      <c r="D35" s="3107"/>
      <c r="E35" s="3108">
        <v>0.2</v>
      </c>
      <c r="F35" s="3105" t="s">
        <v>2472</v>
      </c>
      <c r="G35" s="3105"/>
    </row>
    <row r="36" spans="1:7" ht="19.5" customHeight="1">
      <c r="A36" s="3813"/>
      <c r="B36" s="3810"/>
      <c r="C36" s="3106" t="s">
        <v>2473</v>
      </c>
      <c r="D36" s="3107"/>
      <c r="E36" s="3108">
        <v>0.2</v>
      </c>
      <c r="F36" s="3105" t="s">
        <v>2474</v>
      </c>
      <c r="G36" s="3105"/>
    </row>
    <row r="37" spans="1:7" ht="19.5" customHeight="1">
      <c r="A37" s="3813"/>
      <c r="B37" s="3815" t="s">
        <v>2635</v>
      </c>
      <c r="C37" s="3106" t="s">
        <v>2475</v>
      </c>
      <c r="D37" s="3107"/>
      <c r="E37" s="3108">
        <v>0.6</v>
      </c>
      <c r="F37" s="3105" t="s">
        <v>2476</v>
      </c>
      <c r="G37" s="3105"/>
    </row>
    <row r="38" spans="1:7" ht="19.5" customHeight="1">
      <c r="A38" s="3813"/>
      <c r="B38" s="3810"/>
      <c r="C38" s="3106" t="s">
        <v>2477</v>
      </c>
      <c r="D38" s="3107"/>
      <c r="E38" s="3108">
        <v>0.6</v>
      </c>
      <c r="F38" s="3105" t="s">
        <v>2478</v>
      </c>
      <c r="G38" s="3105"/>
    </row>
    <row r="39" spans="1:7" ht="19.5" customHeight="1" thickBot="1">
      <c r="A39" s="3814"/>
      <c r="B39" s="3811"/>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16" t="s">
        <v>2613</v>
      </c>
      <c r="B41" s="3809" t="s">
        <v>2637</v>
      </c>
      <c r="C41" s="3102" t="s">
        <v>2482</v>
      </c>
      <c r="D41" s="3103"/>
      <c r="E41" s="3104">
        <v>1</v>
      </c>
      <c r="F41" s="3105" t="s">
        <v>2483</v>
      </c>
      <c r="G41" s="3105"/>
    </row>
    <row r="42" spans="1:7" ht="19.5" customHeight="1">
      <c r="A42" s="3817"/>
      <c r="B42" s="3810"/>
      <c r="C42" s="3106" t="s">
        <v>2484</v>
      </c>
      <c r="D42" s="3107"/>
      <c r="E42" s="3108">
        <v>1</v>
      </c>
      <c r="F42" s="3105" t="s">
        <v>2485</v>
      </c>
      <c r="G42" s="3105"/>
    </row>
    <row r="43" spans="1:7" ht="19.5" customHeight="1">
      <c r="A43" s="3817"/>
      <c r="B43" s="3819"/>
      <c r="C43" s="3106" t="s">
        <v>2486</v>
      </c>
      <c r="D43" s="3107"/>
      <c r="E43" s="3108">
        <v>1.5</v>
      </c>
      <c r="F43" s="3105" t="s">
        <v>2487</v>
      </c>
      <c r="G43" s="3105"/>
    </row>
    <row r="44" spans="1:7" ht="19.5" customHeight="1">
      <c r="A44" s="3817"/>
      <c r="B44" s="3117" t="s">
        <v>2638</v>
      </c>
      <c r="C44" s="3106" t="s">
        <v>2639</v>
      </c>
      <c r="D44" s="3107"/>
      <c r="E44" s="3108">
        <v>2</v>
      </c>
      <c r="F44" s="3105" t="s">
        <v>2488</v>
      </c>
      <c r="G44" s="3105"/>
    </row>
    <row r="45" spans="1:7" ht="19.5" customHeight="1">
      <c r="A45" s="3817"/>
      <c r="B45" s="3815" t="s">
        <v>2640</v>
      </c>
      <c r="C45" s="3106" t="s">
        <v>2489</v>
      </c>
      <c r="D45" s="3107"/>
      <c r="E45" s="3108">
        <v>1</v>
      </c>
      <c r="F45" s="3105" t="s">
        <v>2490</v>
      </c>
      <c r="G45" s="3105"/>
    </row>
    <row r="46" spans="1:7" ht="19.5" customHeight="1">
      <c r="A46" s="3817"/>
      <c r="B46" s="3810"/>
      <c r="C46" s="3106" t="s">
        <v>2491</v>
      </c>
      <c r="D46" s="3107"/>
      <c r="E46" s="3108">
        <v>1</v>
      </c>
      <c r="F46" s="3105" t="s">
        <v>2492</v>
      </c>
      <c r="G46" s="3105"/>
    </row>
    <row r="47" spans="1:7" ht="19.5" customHeight="1">
      <c r="A47" s="3817"/>
      <c r="B47" s="3810"/>
      <c r="C47" s="3106" t="s">
        <v>2493</v>
      </c>
      <c r="D47" s="3107"/>
      <c r="E47" s="3108">
        <v>1</v>
      </c>
      <c r="F47" s="3105" t="s">
        <v>2494</v>
      </c>
      <c r="G47" s="3105"/>
    </row>
    <row r="48" spans="1:7" ht="19.5" customHeight="1">
      <c r="A48" s="3817"/>
      <c r="B48" s="3810"/>
      <c r="C48" s="3106" t="s">
        <v>2495</v>
      </c>
      <c r="D48" s="3107"/>
      <c r="E48" s="3108">
        <v>1</v>
      </c>
      <c r="F48" s="3105" t="s">
        <v>2496</v>
      </c>
      <c r="G48" s="3105"/>
    </row>
    <row r="49" spans="1:7" ht="19.5" customHeight="1">
      <c r="A49" s="3817"/>
      <c r="B49" s="3810"/>
      <c r="C49" s="3106" t="s">
        <v>2497</v>
      </c>
      <c r="D49" s="3107"/>
      <c r="E49" s="3108">
        <v>1</v>
      </c>
      <c r="F49" s="3105" t="s">
        <v>2498</v>
      </c>
      <c r="G49" s="3105"/>
    </row>
    <row r="50" spans="1:7" ht="19.5" customHeight="1">
      <c r="A50" s="3817"/>
      <c r="B50" s="3810"/>
      <c r="C50" s="3106" t="s">
        <v>2499</v>
      </c>
      <c r="D50" s="3107"/>
      <c r="E50" s="3108">
        <v>1</v>
      </c>
      <c r="F50" s="3105" t="s">
        <v>2500</v>
      </c>
      <c r="G50" s="3105"/>
    </row>
    <row r="51" spans="1:7" ht="19.5" customHeight="1" thickBot="1">
      <c r="A51" s="3818"/>
      <c r="B51" s="3811"/>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15" t="s">
        <v>2654</v>
      </c>
      <c r="C73" s="3091" t="s">
        <v>2655</v>
      </c>
      <c r="D73" s="3091" t="s">
        <v>2656</v>
      </c>
      <c r="E73" s="3117">
        <v>0.2</v>
      </c>
      <c r="F73" s="3117">
        <v>25</v>
      </c>
    </row>
    <row r="74" spans="1:7" ht="24">
      <c r="A74" s="3117">
        <v>2</v>
      </c>
      <c r="B74" s="3810"/>
      <c r="C74" s="3091" t="s">
        <v>2657</v>
      </c>
      <c r="D74" s="3091" t="s">
        <v>2658</v>
      </c>
      <c r="E74" s="3117">
        <v>0.2</v>
      </c>
      <c r="F74" s="3117">
        <v>25</v>
      </c>
    </row>
    <row r="75" spans="1:7" ht="24">
      <c r="A75" s="3117">
        <v>3</v>
      </c>
      <c r="B75" s="3810"/>
      <c r="C75" s="3091" t="s">
        <v>2659</v>
      </c>
      <c r="D75" s="3091" t="s">
        <v>2660</v>
      </c>
      <c r="E75" s="3117">
        <v>0.2</v>
      </c>
      <c r="F75" s="3117">
        <v>25</v>
      </c>
    </row>
    <row r="76" spans="1:7" ht="13.5">
      <c r="A76" s="3117">
        <v>4</v>
      </c>
      <c r="B76" s="3810"/>
      <c r="C76" s="3091" t="s">
        <v>2661</v>
      </c>
      <c r="D76" s="3091" t="s">
        <v>2662</v>
      </c>
      <c r="E76" s="3117">
        <v>0.15</v>
      </c>
      <c r="F76" s="3117">
        <v>20</v>
      </c>
    </row>
    <row r="77" spans="1:7" ht="24">
      <c r="A77" s="3117">
        <v>5</v>
      </c>
      <c r="B77" s="3810"/>
      <c r="C77" s="3091" t="s">
        <v>2663</v>
      </c>
      <c r="D77" s="3091" t="s">
        <v>2664</v>
      </c>
      <c r="E77" s="3117">
        <v>0.15</v>
      </c>
      <c r="F77" s="3117">
        <v>20</v>
      </c>
    </row>
    <row r="78" spans="1:7" ht="24">
      <c r="A78" s="3117">
        <v>6</v>
      </c>
      <c r="B78" s="3810"/>
      <c r="C78" s="3091" t="s">
        <v>2665</v>
      </c>
      <c r="D78" s="3091" t="s">
        <v>2666</v>
      </c>
      <c r="E78" s="3117">
        <v>0.15</v>
      </c>
      <c r="F78" s="3117">
        <v>20</v>
      </c>
    </row>
    <row r="79" spans="1:7" ht="24">
      <c r="A79" s="3117">
        <v>7</v>
      </c>
      <c r="B79" s="3810"/>
      <c r="C79" s="3091" t="s">
        <v>2667</v>
      </c>
      <c r="D79" s="3091" t="s">
        <v>2668</v>
      </c>
      <c r="E79" s="3117">
        <v>0.15</v>
      </c>
      <c r="F79" s="3117">
        <v>20</v>
      </c>
    </row>
    <row r="80" spans="1:7" ht="24">
      <c r="A80" s="3117">
        <v>8</v>
      </c>
      <c r="B80" s="3810"/>
      <c r="C80" s="3091" t="s">
        <v>2669</v>
      </c>
      <c r="D80" s="3091" t="s">
        <v>2670</v>
      </c>
      <c r="E80" s="3117">
        <v>0.1</v>
      </c>
      <c r="F80" s="3117">
        <v>15</v>
      </c>
    </row>
    <row r="81" spans="1:6" ht="24">
      <c r="A81" s="3117">
        <v>9</v>
      </c>
      <c r="B81" s="3810"/>
      <c r="C81" s="3091" t="s">
        <v>2671</v>
      </c>
      <c r="D81" s="3091" t="s">
        <v>2672</v>
      </c>
      <c r="E81" s="3117">
        <v>0.1</v>
      </c>
      <c r="F81" s="3117">
        <v>15</v>
      </c>
    </row>
    <row r="82" spans="1:6" ht="24">
      <c r="A82" s="3117">
        <v>10</v>
      </c>
      <c r="B82" s="3810"/>
      <c r="C82" s="3091" t="s">
        <v>2673</v>
      </c>
      <c r="D82" s="3091" t="s">
        <v>2674</v>
      </c>
      <c r="E82" s="3117">
        <v>0.1</v>
      </c>
      <c r="F82" s="3117">
        <v>15</v>
      </c>
    </row>
    <row r="83" spans="1:6" ht="24">
      <c r="A83" s="3117">
        <v>11</v>
      </c>
      <c r="B83" s="3810"/>
      <c r="C83" s="3091" t="s">
        <v>2675</v>
      </c>
      <c r="D83" s="3091" t="s">
        <v>2676</v>
      </c>
      <c r="E83" s="3117">
        <v>0.1</v>
      </c>
      <c r="F83" s="3117">
        <v>15</v>
      </c>
    </row>
    <row r="84" spans="1:6" ht="24">
      <c r="A84" s="3117">
        <v>12</v>
      </c>
      <c r="B84" s="3810"/>
      <c r="C84" s="3091" t="s">
        <v>2677</v>
      </c>
      <c r="D84" s="3091" t="s">
        <v>2678</v>
      </c>
      <c r="E84" s="3117">
        <v>0.1</v>
      </c>
      <c r="F84" s="3117">
        <v>15</v>
      </c>
    </row>
    <row r="85" spans="1:6" ht="13.5">
      <c r="A85" s="3117">
        <v>13</v>
      </c>
      <c r="B85" s="3810"/>
      <c r="C85" s="3091" t="s">
        <v>2679</v>
      </c>
      <c r="D85" s="3091" t="s">
        <v>2680</v>
      </c>
      <c r="E85" s="3117">
        <v>0.1</v>
      </c>
      <c r="F85" s="3117">
        <v>15</v>
      </c>
    </row>
    <row r="86" spans="1:6" ht="13.5">
      <c r="A86" s="3117">
        <v>14</v>
      </c>
      <c r="B86" s="3810"/>
      <c r="C86" s="3091" t="s">
        <v>2681</v>
      </c>
      <c r="D86" s="3091" t="s">
        <v>2682</v>
      </c>
      <c r="E86" s="3117">
        <v>0.1</v>
      </c>
      <c r="F86" s="3117">
        <v>15</v>
      </c>
    </row>
    <row r="87" spans="1:6" ht="13.5">
      <c r="A87" s="3117">
        <v>15</v>
      </c>
      <c r="B87" s="3810"/>
      <c r="C87" s="3091" t="s">
        <v>2683</v>
      </c>
      <c r="D87" s="3091" t="s">
        <v>2684</v>
      </c>
      <c r="E87" s="3117">
        <v>0.1</v>
      </c>
      <c r="F87" s="3117">
        <v>15</v>
      </c>
    </row>
    <row r="88" spans="1:6" ht="24">
      <c r="A88" s="3117">
        <v>16</v>
      </c>
      <c r="B88" s="3810"/>
      <c r="C88" s="3091" t="s">
        <v>2685</v>
      </c>
      <c r="D88" s="3091" t="s">
        <v>2686</v>
      </c>
      <c r="E88" s="3117">
        <v>0.1</v>
      </c>
      <c r="F88" s="3117">
        <v>15</v>
      </c>
    </row>
    <row r="89" spans="1:6" ht="24">
      <c r="A89" s="3117">
        <v>17</v>
      </c>
      <c r="B89" s="3819"/>
      <c r="C89" s="3091" t="s">
        <v>2687</v>
      </c>
      <c r="D89" s="3091" t="s">
        <v>2688</v>
      </c>
      <c r="E89" s="3117">
        <v>0.1</v>
      </c>
      <c r="F89" s="3117">
        <v>15</v>
      </c>
    </row>
    <row r="90" spans="1:6" ht="13.5">
      <c r="A90" s="3117">
        <v>18</v>
      </c>
      <c r="B90" s="3815" t="s">
        <v>2689</v>
      </c>
      <c r="C90" s="3091" t="s">
        <v>2690</v>
      </c>
      <c r="D90" s="3091" t="s">
        <v>2691</v>
      </c>
      <c r="E90" s="3117">
        <v>0.2</v>
      </c>
      <c r="F90" s="3117">
        <v>25</v>
      </c>
    </row>
    <row r="91" spans="1:6" ht="24">
      <c r="A91" s="3117">
        <v>19</v>
      </c>
      <c r="B91" s="3810"/>
      <c r="C91" s="3091" t="s">
        <v>2692</v>
      </c>
      <c r="D91" s="3091" t="s">
        <v>2693</v>
      </c>
      <c r="E91" s="3117">
        <v>0.2</v>
      </c>
      <c r="F91" s="3117">
        <v>25</v>
      </c>
    </row>
    <row r="92" spans="1:6" ht="13.5">
      <c r="A92" s="3117">
        <v>20</v>
      </c>
      <c r="B92" s="3810"/>
      <c r="C92" s="3091" t="s">
        <v>2694</v>
      </c>
      <c r="D92" s="3091" t="s">
        <v>2695</v>
      </c>
      <c r="E92" s="3117">
        <v>0.15</v>
      </c>
      <c r="F92" s="3117">
        <v>20</v>
      </c>
    </row>
    <row r="93" spans="1:6" ht="13.5">
      <c r="A93" s="3117">
        <v>21</v>
      </c>
      <c r="B93" s="3810"/>
      <c r="C93" s="3091" t="s">
        <v>2696</v>
      </c>
      <c r="D93" s="3091" t="s">
        <v>2697</v>
      </c>
      <c r="E93" s="3117">
        <v>0.15</v>
      </c>
      <c r="F93" s="3117">
        <v>20</v>
      </c>
    </row>
    <row r="94" spans="1:6" ht="13.5">
      <c r="A94" s="3117">
        <v>22</v>
      </c>
      <c r="B94" s="3810"/>
      <c r="C94" s="3091" t="s">
        <v>2698</v>
      </c>
      <c r="D94" s="3091" t="s">
        <v>2699</v>
      </c>
      <c r="E94" s="3117">
        <v>0.15</v>
      </c>
      <c r="F94" s="3117">
        <v>20</v>
      </c>
    </row>
    <row r="95" spans="1:6" ht="36">
      <c r="A95" s="3117">
        <v>23</v>
      </c>
      <c r="B95" s="3810"/>
      <c r="C95" s="3091" t="s">
        <v>2700</v>
      </c>
      <c r="D95" s="3091" t="s">
        <v>2701</v>
      </c>
      <c r="E95" s="3117">
        <v>0.15</v>
      </c>
      <c r="F95" s="3117">
        <v>20</v>
      </c>
    </row>
    <row r="96" spans="1:6" ht="13.5">
      <c r="A96" s="3117">
        <v>24</v>
      </c>
      <c r="B96" s="3810"/>
      <c r="C96" s="3091" t="s">
        <v>2702</v>
      </c>
      <c r="D96" s="3091" t="s">
        <v>2703</v>
      </c>
      <c r="E96" s="3117">
        <v>0.1</v>
      </c>
      <c r="F96" s="3117">
        <v>15</v>
      </c>
    </row>
    <row r="97" spans="1:6" ht="13.5">
      <c r="A97" s="3117">
        <v>25</v>
      </c>
      <c r="B97" s="3810"/>
      <c r="C97" s="3091" t="s">
        <v>2704</v>
      </c>
      <c r="D97" s="3091" t="s">
        <v>2705</v>
      </c>
      <c r="E97" s="3117">
        <v>0.1</v>
      </c>
      <c r="F97" s="3117">
        <v>15</v>
      </c>
    </row>
    <row r="98" spans="1:6" ht="24">
      <c r="A98" s="3117">
        <v>26</v>
      </c>
      <c r="B98" s="3810"/>
      <c r="C98" s="3091" t="s">
        <v>2706</v>
      </c>
      <c r="D98" s="3091" t="s">
        <v>2707</v>
      </c>
      <c r="E98" s="3117">
        <v>0.1</v>
      </c>
      <c r="F98" s="3117">
        <v>15</v>
      </c>
    </row>
    <row r="99" spans="1:6" ht="24">
      <c r="A99" s="3117">
        <v>27</v>
      </c>
      <c r="B99" s="3810"/>
      <c r="C99" s="3091" t="s">
        <v>2708</v>
      </c>
      <c r="D99" s="3091" t="s">
        <v>2709</v>
      </c>
      <c r="E99" s="3117">
        <v>0.1</v>
      </c>
      <c r="F99" s="3117">
        <v>15</v>
      </c>
    </row>
    <row r="100" spans="1:6" ht="13.5">
      <c r="A100" s="3117">
        <v>28</v>
      </c>
      <c r="B100" s="3810"/>
      <c r="C100" s="3091" t="s">
        <v>2710</v>
      </c>
      <c r="D100" s="3091" t="s">
        <v>2711</v>
      </c>
      <c r="E100" s="3117">
        <v>0.1</v>
      </c>
      <c r="F100" s="3117">
        <v>15</v>
      </c>
    </row>
    <row r="101" spans="1:6" ht="13.5">
      <c r="A101" s="3117">
        <v>29</v>
      </c>
      <c r="B101" s="3810"/>
      <c r="C101" s="3091" t="s">
        <v>2712</v>
      </c>
      <c r="D101" s="3091" t="s">
        <v>2713</v>
      </c>
      <c r="E101" s="3117">
        <v>0.1</v>
      </c>
      <c r="F101" s="3117">
        <v>15</v>
      </c>
    </row>
    <row r="102" spans="1:6" ht="13.5">
      <c r="A102" s="3117">
        <v>30</v>
      </c>
      <c r="B102" s="3810"/>
      <c r="C102" s="3091" t="s">
        <v>2714</v>
      </c>
      <c r="D102" s="3091" t="s">
        <v>2715</v>
      </c>
      <c r="E102" s="3117">
        <v>0.1</v>
      </c>
      <c r="F102" s="3117">
        <v>15</v>
      </c>
    </row>
    <row r="103" spans="1:6" ht="24">
      <c r="A103" s="3117">
        <v>31</v>
      </c>
      <c r="B103" s="3810"/>
      <c r="C103" s="3091" t="s">
        <v>2716</v>
      </c>
      <c r="D103" s="3091" t="s">
        <v>2717</v>
      </c>
      <c r="E103" s="3117">
        <v>0.1</v>
      </c>
      <c r="F103" s="3117">
        <v>15</v>
      </c>
    </row>
    <row r="104" spans="1:6" ht="24">
      <c r="A104" s="3117">
        <v>32</v>
      </c>
      <c r="B104" s="3810"/>
      <c r="C104" s="3091" t="s">
        <v>2718</v>
      </c>
      <c r="D104" s="3091" t="s">
        <v>2719</v>
      </c>
      <c r="E104" s="3117">
        <v>0.1</v>
      </c>
      <c r="F104" s="3117">
        <v>15</v>
      </c>
    </row>
    <row r="105" spans="1:6" ht="24">
      <c r="A105" s="3117">
        <v>33</v>
      </c>
      <c r="B105" s="3810"/>
      <c r="C105" s="3091" t="s">
        <v>2720</v>
      </c>
      <c r="D105" s="3091" t="s">
        <v>2721</v>
      </c>
      <c r="E105" s="3117">
        <v>0.1</v>
      </c>
      <c r="F105" s="3117">
        <v>15</v>
      </c>
    </row>
    <row r="106" spans="1:6" ht="24">
      <c r="A106" s="3117">
        <v>34</v>
      </c>
      <c r="B106" s="3819"/>
      <c r="C106" s="3091" t="s">
        <v>2722</v>
      </c>
      <c r="D106" s="3091" t="s">
        <v>2723</v>
      </c>
      <c r="E106" s="3117">
        <v>0.1</v>
      </c>
      <c r="F106" s="3117">
        <v>15</v>
      </c>
    </row>
    <row r="107" spans="1:6" ht="24">
      <c r="A107" s="3117">
        <v>35</v>
      </c>
      <c r="B107" s="3815" t="s">
        <v>2724</v>
      </c>
      <c r="C107" s="3117" t="s">
        <v>2725</v>
      </c>
      <c r="D107" s="3091" t="s">
        <v>2726</v>
      </c>
      <c r="E107" s="3117">
        <v>0.15</v>
      </c>
      <c r="F107" s="3117">
        <v>20</v>
      </c>
    </row>
    <row r="108" spans="1:6" ht="13.5">
      <c r="A108" s="3117">
        <v>36</v>
      </c>
      <c r="B108" s="3810"/>
      <c r="C108" s="3117" t="s">
        <v>2727</v>
      </c>
      <c r="D108" s="3091" t="s">
        <v>2728</v>
      </c>
      <c r="E108" s="3117">
        <v>0.15</v>
      </c>
      <c r="F108" s="3117">
        <v>20</v>
      </c>
    </row>
    <row r="109" spans="1:6" ht="13.5">
      <c r="A109" s="3117">
        <v>37</v>
      </c>
      <c r="B109" s="3810"/>
      <c r="C109" s="3117" t="s">
        <v>2729</v>
      </c>
      <c r="D109" s="3091" t="s">
        <v>2730</v>
      </c>
      <c r="E109" s="3117">
        <v>0.15</v>
      </c>
      <c r="F109" s="3117">
        <v>20</v>
      </c>
    </row>
    <row r="110" spans="1:6" ht="13.5">
      <c r="A110" s="3117">
        <v>38</v>
      </c>
      <c r="B110" s="3810"/>
      <c r="C110" s="3117" t="s">
        <v>2731</v>
      </c>
      <c r="D110" s="3091" t="s">
        <v>2732</v>
      </c>
      <c r="E110" s="3117">
        <v>0.1</v>
      </c>
      <c r="F110" s="3117">
        <v>15</v>
      </c>
    </row>
    <row r="111" spans="1:6" ht="24">
      <c r="A111" s="3117">
        <v>39</v>
      </c>
      <c r="B111" s="3810"/>
      <c r="C111" s="3117" t="s">
        <v>2733</v>
      </c>
      <c r="D111" s="3091" t="s">
        <v>2734</v>
      </c>
      <c r="E111" s="3117">
        <v>0.1</v>
      </c>
      <c r="F111" s="3117">
        <v>15</v>
      </c>
    </row>
    <row r="112" spans="1:6" ht="24">
      <c r="A112" s="3117">
        <v>40</v>
      </c>
      <c r="B112" s="3819"/>
      <c r="C112" s="3117" t="s">
        <v>2735</v>
      </c>
      <c r="D112" s="3091" t="s">
        <v>2736</v>
      </c>
      <c r="E112" s="3117">
        <v>0.1</v>
      </c>
      <c r="F112" s="3117">
        <v>15</v>
      </c>
    </row>
    <row r="113" spans="1:6" ht="13.5">
      <c r="A113" s="3117">
        <v>41</v>
      </c>
      <c r="B113" s="3820" t="s">
        <v>2737</v>
      </c>
      <c r="C113" s="3117" t="s">
        <v>2738</v>
      </c>
      <c r="D113" s="3091" t="s">
        <v>2739</v>
      </c>
      <c r="E113" s="3117">
        <v>0.1</v>
      </c>
      <c r="F113" s="3117">
        <v>15</v>
      </c>
    </row>
    <row r="114" spans="1:6" ht="13.5">
      <c r="A114" s="3117">
        <v>42</v>
      </c>
      <c r="B114" s="3820"/>
      <c r="C114" s="3117" t="s">
        <v>2740</v>
      </c>
      <c r="D114" s="3091" t="s">
        <v>2741</v>
      </c>
      <c r="E114" s="3117">
        <v>0.1</v>
      </c>
      <c r="F114" s="3117">
        <v>15</v>
      </c>
    </row>
    <row r="115" spans="1:6" ht="24">
      <c r="A115" s="3117">
        <v>43</v>
      </c>
      <c r="B115" s="3820"/>
      <c r="C115" s="3117" t="s">
        <v>2742</v>
      </c>
      <c r="D115" s="3091" t="s">
        <v>2743</v>
      </c>
      <c r="E115" s="3117">
        <v>0.1</v>
      </c>
      <c r="F115" s="3117">
        <v>15</v>
      </c>
    </row>
    <row r="116" spans="1:6" ht="13.5">
      <c r="A116" s="3117">
        <v>44</v>
      </c>
      <c r="B116" s="3815" t="s">
        <v>2744</v>
      </c>
      <c r="C116" s="3117" t="s">
        <v>2745</v>
      </c>
      <c r="D116" s="3091" t="s">
        <v>2746</v>
      </c>
      <c r="E116" s="3117">
        <v>0.1</v>
      </c>
      <c r="F116" s="3117">
        <v>15</v>
      </c>
    </row>
    <row r="117" spans="1:6" ht="24">
      <c r="A117" s="3117">
        <v>45</v>
      </c>
      <c r="B117" s="3819"/>
      <c r="C117" s="3091" t="s">
        <v>2747</v>
      </c>
      <c r="D117" s="3091" t="s">
        <v>2748</v>
      </c>
      <c r="E117" s="3117">
        <v>0.1</v>
      </c>
      <c r="F117" s="3117">
        <v>15</v>
      </c>
    </row>
    <row r="118" spans="1:6" ht="24">
      <c r="A118" s="3117">
        <v>46</v>
      </c>
      <c r="B118" s="3815" t="s">
        <v>2749</v>
      </c>
      <c r="C118" s="3117" t="s">
        <v>2750</v>
      </c>
      <c r="D118" s="3091" t="s">
        <v>2751</v>
      </c>
      <c r="E118" s="3117">
        <v>0.1</v>
      </c>
      <c r="F118" s="3117">
        <v>15</v>
      </c>
    </row>
    <row r="119" spans="1:6" ht="24">
      <c r="A119" s="3117">
        <v>47</v>
      </c>
      <c r="B119" s="3819"/>
      <c r="C119" s="3117" t="s">
        <v>2752</v>
      </c>
      <c r="D119" s="3091" t="s">
        <v>2753</v>
      </c>
      <c r="E119" s="3117">
        <v>0.1</v>
      </c>
      <c r="F119" s="3117">
        <v>15</v>
      </c>
    </row>
    <row r="120" spans="1:6" ht="13.5">
      <c r="A120" s="3117">
        <v>48</v>
      </c>
      <c r="B120" s="3815" t="s">
        <v>2754</v>
      </c>
      <c r="C120" s="3117" t="s">
        <v>2755</v>
      </c>
      <c r="D120" s="3091" t="s">
        <v>2756</v>
      </c>
      <c r="E120" s="3117">
        <v>0.1</v>
      </c>
      <c r="F120" s="3117">
        <v>15</v>
      </c>
    </row>
    <row r="121" spans="1:6" ht="13.5">
      <c r="A121" s="3117">
        <v>49</v>
      </c>
      <c r="B121" s="3819"/>
      <c r="C121" s="3117" t="s">
        <v>2757</v>
      </c>
      <c r="D121" s="3091" t="s">
        <v>2758</v>
      </c>
      <c r="E121" s="3117">
        <v>0.1</v>
      </c>
      <c r="F121" s="3117">
        <v>15</v>
      </c>
    </row>
    <row r="122" spans="1:6" ht="24">
      <c r="A122" s="3117">
        <v>50</v>
      </c>
      <c r="B122" s="3820" t="s">
        <v>2759</v>
      </c>
      <c r="C122" s="3117" t="s">
        <v>2760</v>
      </c>
      <c r="D122" s="3091" t="s">
        <v>2761</v>
      </c>
      <c r="E122" s="3117">
        <v>0.1</v>
      </c>
      <c r="F122" s="3117">
        <v>15</v>
      </c>
    </row>
    <row r="123" spans="1:6" ht="24">
      <c r="A123" s="3117">
        <v>51</v>
      </c>
      <c r="B123" s="3820"/>
      <c r="C123" s="3117" t="s">
        <v>2762</v>
      </c>
      <c r="D123" s="3091" t="s">
        <v>2763</v>
      </c>
      <c r="E123" s="3117">
        <v>0.1</v>
      </c>
      <c r="F123" s="3117">
        <v>15</v>
      </c>
    </row>
    <row r="124" spans="1:6" ht="24">
      <c r="A124" s="3117">
        <v>52</v>
      </c>
      <c r="B124" s="3820" t="s">
        <v>2764</v>
      </c>
      <c r="C124" s="3117" t="s">
        <v>2765</v>
      </c>
      <c r="D124" s="3091" t="s">
        <v>2766</v>
      </c>
      <c r="E124" s="3117">
        <v>0.1</v>
      </c>
      <c r="F124" s="3117">
        <v>15</v>
      </c>
    </row>
    <row r="125" spans="1:6" ht="24">
      <c r="A125" s="3117">
        <v>53</v>
      </c>
      <c r="B125" s="382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20" t="s">
        <v>2772</v>
      </c>
      <c r="C127" s="3117" t="s">
        <v>2773</v>
      </c>
      <c r="D127" s="3091" t="s">
        <v>2774</v>
      </c>
      <c r="E127" s="3117">
        <v>0.1</v>
      </c>
      <c r="F127" s="3117">
        <v>15</v>
      </c>
    </row>
    <row r="128" spans="1:6" ht="13.5">
      <c r="A128" s="3117">
        <v>56</v>
      </c>
      <c r="B128" s="3820"/>
      <c r="C128" s="3117" t="s">
        <v>2775</v>
      </c>
      <c r="D128" s="3091" t="s">
        <v>2776</v>
      </c>
      <c r="E128" s="3117">
        <v>0.1</v>
      </c>
      <c r="F128" s="3117">
        <v>15</v>
      </c>
    </row>
    <row r="129" spans="1:6" ht="24">
      <c r="A129" s="3117">
        <v>57</v>
      </c>
      <c r="B129" s="3820"/>
      <c r="C129" s="3117" t="s">
        <v>2777</v>
      </c>
      <c r="D129" s="3091" t="s">
        <v>2778</v>
      </c>
      <c r="E129" s="3117">
        <v>0.1</v>
      </c>
      <c r="F129" s="3117">
        <v>15</v>
      </c>
    </row>
    <row r="130" spans="1:6" ht="24">
      <c r="A130" s="3117">
        <v>58</v>
      </c>
      <c r="B130" s="3820" t="s">
        <v>2779</v>
      </c>
      <c r="C130" s="3117" t="s">
        <v>2780</v>
      </c>
      <c r="D130" s="3091" t="s">
        <v>2781</v>
      </c>
      <c r="E130" s="3117">
        <v>0.1</v>
      </c>
      <c r="F130" s="3117">
        <v>15</v>
      </c>
    </row>
    <row r="131" spans="1:6" ht="13.5">
      <c r="A131" s="3117">
        <v>59</v>
      </c>
      <c r="B131" s="3820"/>
      <c r="C131" s="3117" t="s">
        <v>2782</v>
      </c>
      <c r="D131" s="3091" t="s">
        <v>2783</v>
      </c>
      <c r="E131" s="3117">
        <v>0.1</v>
      </c>
      <c r="F131" s="3117">
        <v>15</v>
      </c>
    </row>
    <row r="132" spans="1:6" ht="13.5">
      <c r="A132" s="3117">
        <v>60</v>
      </c>
      <c r="B132" s="3815" t="s">
        <v>2784</v>
      </c>
      <c r="C132" s="3117" t="s">
        <v>2785</v>
      </c>
      <c r="D132" s="3091" t="s">
        <v>2786</v>
      </c>
      <c r="E132" s="3117">
        <v>0.1</v>
      </c>
      <c r="F132" s="3117">
        <v>15</v>
      </c>
    </row>
    <row r="133" spans="1:6" ht="13.5">
      <c r="A133" s="3117">
        <v>61</v>
      </c>
      <c r="B133" s="381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20" t="s">
        <v>2792</v>
      </c>
      <c r="C135" s="3117" t="s">
        <v>2793</v>
      </c>
      <c r="D135" s="3091" t="s">
        <v>2794</v>
      </c>
      <c r="E135" s="3117">
        <v>0.1</v>
      </c>
      <c r="F135" s="3117">
        <v>15</v>
      </c>
    </row>
    <row r="136" spans="1:6" ht="13.5">
      <c r="A136" s="3117">
        <v>64</v>
      </c>
      <c r="B136" s="382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1.2158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1.1565000000000001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29713</v>
      </c>
      <c r="C2" s="2" t="s">
        <v>106</v>
      </c>
      <c r="D2" s="199"/>
      <c r="E2" s="199"/>
      <c r="F2" s="199"/>
      <c r="G2" s="199"/>
    </row>
    <row r="3" spans="1:7" s="200" customFormat="1" ht="18" customHeight="1" thickBot="1">
      <c r="A3" s="203" t="s">
        <v>58</v>
      </c>
      <c r="B3" s="204">
        <f ca="1">ROUND(B2*10000/'数据-汇总表'!E3,0)</f>
        <v>607379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8</v>
      </c>
      <c r="D9" s="845">
        <f>'数据-汇总表'!E5</f>
        <v>489.2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489.2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5258</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5258</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196</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10</v>
      </c>
      <c r="D36" s="220"/>
      <c r="E36" s="220"/>
      <c r="F36" s="259">
        <f>'数据-取费表'!B34</f>
        <v>0.05</v>
      </c>
      <c r="G36" s="260" t="s">
        <v>35</v>
      </c>
    </row>
    <row r="37" spans="1:7" s="258" customFormat="1" ht="13.5" customHeight="1">
      <c r="A37" s="780" t="s">
        <v>353</v>
      </c>
      <c r="B37" s="215" t="s">
        <v>91</v>
      </c>
      <c r="C37" s="249">
        <f>ROUND(E37*D37*F34/10000,0)</f>
        <v>10</v>
      </c>
      <c r="D37" s="217">
        <f>'数据-汇总表'!E3</f>
        <v>489.2</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v>
      </c>
      <c r="D42" s="238"/>
      <c r="E42" s="238"/>
      <c r="F42" s="239"/>
      <c r="G42" s="3736" t="s">
        <v>94</v>
      </c>
    </row>
    <row r="43" spans="1:7" ht="13.5" customHeight="1">
      <c r="A43" s="780" t="s">
        <v>347</v>
      </c>
      <c r="B43" s="215" t="s">
        <v>426</v>
      </c>
      <c r="C43" s="238">
        <f ca="1">ROUND(IF('数据-取费表'!B22&lt;=1,C39*F22*'数据-取费表'!B21/2,C39*(POWER((1+F22),'数据-取费表'!B21/2)-1)),0)</f>
        <v>0</v>
      </c>
      <c r="D43" s="238"/>
      <c r="E43" s="238"/>
      <c r="F43" s="239"/>
      <c r="G43" s="3737"/>
    </row>
    <row r="44" spans="1:7" ht="13.5" customHeight="1">
      <c r="A44" s="780" t="s">
        <v>348</v>
      </c>
      <c r="B44" s="215" t="s">
        <v>428</v>
      </c>
      <c r="C44" s="238">
        <f ca="1">ROUND(IF('数据-取费表'!B22&lt;=1,C40*F22*'数据-取费表'!B21/2,C40*(POWER((1+F22),'数据-取费表'!B21/2)-1)),4)</f>
        <v>4.0000000000000002E-4</v>
      </c>
      <c r="D44" s="238"/>
      <c r="E44" s="238"/>
      <c r="F44" s="239"/>
      <c r="G44" s="3738"/>
    </row>
    <row r="45" spans="1:7" s="214" customFormat="1" ht="13.5" customHeight="1">
      <c r="A45" s="777" t="s">
        <v>341</v>
      </c>
      <c r="B45" s="244" t="s">
        <v>85</v>
      </c>
      <c r="C45" s="245">
        <f>C46</f>
        <v>58</v>
      </c>
      <c r="D45" s="235">
        <f>C47</f>
        <v>5.0000000000000001E-3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223</v>
      </c>
      <c r="D51" s="232"/>
      <c r="E51" s="232"/>
      <c r="F51" s="264"/>
      <c r="G51" s="234" t="s">
        <v>37</v>
      </c>
    </row>
    <row r="52" spans="1:7" s="208" customFormat="1" ht="16.5" thickBot="1">
      <c r="A52" s="265" t="s">
        <v>38</v>
      </c>
      <c r="B52" s="266"/>
      <c r="C52" s="267">
        <f ca="1">C31+C51</f>
        <v>29713</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3" t="s">
        <v>2844</v>
      </c>
      <c r="B1" s="3823"/>
      <c r="C1" s="3823"/>
      <c r="D1" s="3823"/>
      <c r="E1" s="3823"/>
      <c r="F1" s="3823"/>
      <c r="G1" s="3824"/>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21"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22"/>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5" t="s">
        <v>3186</v>
      </c>
      <c r="B1" s="3825"/>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9"/>
  </cols>
  <sheetData>
    <row r="1" spans="1:6">
      <c r="A1" s="3826" t="s">
        <v>3237</v>
      </c>
      <c r="B1" s="3826"/>
      <c r="C1" s="3826"/>
      <c r="D1" s="3826"/>
      <c r="E1" s="3826"/>
      <c r="F1" s="3827"/>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5" t="str">
        <f>IF(项目基本情况!B9="房地产市场价值","估价结果一览表","结果表-2")</f>
        <v>估价结果一览表</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房地产市场价值</v>
      </c>
      <c r="I2" s="3506"/>
    </row>
    <row r="3" spans="1:9" ht="15">
      <c r="A3" s="3507"/>
      <c r="B3" s="3507"/>
      <c r="C3" s="3507"/>
      <c r="D3" s="854" t="s">
        <v>925</v>
      </c>
      <c r="E3" s="854" t="s">
        <v>931</v>
      </c>
      <c r="F3" s="854" t="s">
        <v>925</v>
      </c>
      <c r="G3" s="854" t="s">
        <v>926</v>
      </c>
      <c r="H3" s="854" t="s">
        <v>925</v>
      </c>
      <c r="I3" s="854" t="s">
        <v>926</v>
      </c>
    </row>
    <row r="4" spans="1:9" ht="15">
      <c r="A4" s="1504" t="str">
        <f>项目基本情况!S2</f>
        <v>北京市房地产</v>
      </c>
      <c r="B4" s="854">
        <f>项目基本情况!C17</f>
        <v>489.2</v>
      </c>
      <c r="C4" s="854">
        <f>项目基本情况!C18</f>
        <v>1397.71</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7" t="s">
        <v>927</v>
      </c>
      <c r="B5" s="3507"/>
      <c r="C5" s="3507"/>
      <c r="D5" s="3507" t="e">
        <f ca="1">结果表!D119</f>
        <v>#REF!</v>
      </c>
      <c r="E5" s="3507"/>
      <c r="F5" s="3507" t="e">
        <f ca="1">结果表!F119</f>
        <v>#REF!</v>
      </c>
      <c r="G5" s="3507"/>
      <c r="H5" s="3507" t="e">
        <f ca="1">结果表!H119</f>
        <v>#REF!</v>
      </c>
      <c r="I5" s="3507"/>
    </row>
    <row r="6" spans="1:9" ht="15.75">
      <c r="A6" s="3508" t="str">
        <f>结果表!A120</f>
        <v/>
      </c>
      <c r="B6" s="3508"/>
      <c r="C6" s="3508"/>
      <c r="D6" s="3508">
        <f>结果表!D120</f>
        <v>0</v>
      </c>
      <c r="E6" s="3508"/>
      <c r="F6" s="3508"/>
      <c r="G6" s="3508"/>
      <c r="H6" s="3508"/>
      <c r="I6" s="3508"/>
    </row>
    <row r="7" spans="1:9" ht="15">
      <c r="A7" s="3507" t="s">
        <v>927</v>
      </c>
      <c r="B7" s="3507"/>
      <c r="C7" s="3507"/>
      <c r="D7" s="3509" t="str">
        <f>结果表!D121</f>
        <v>零元整</v>
      </c>
      <c r="E7" s="3510"/>
      <c r="F7" s="3510"/>
      <c r="G7" s="3510"/>
      <c r="H7" s="3510"/>
      <c r="I7" s="3511"/>
    </row>
    <row r="8" spans="1:9" ht="15.75">
      <c r="A8" s="3508" t="str">
        <f>结果表!A122</f>
        <v/>
      </c>
      <c r="B8" s="3508"/>
      <c r="C8" s="3508"/>
      <c r="D8" s="3508" t="e">
        <f ca="1">结果表!D122</f>
        <v>#REF!</v>
      </c>
      <c r="E8" s="3508"/>
      <c r="F8" s="3508"/>
      <c r="G8" s="3508"/>
      <c r="H8" s="3508"/>
      <c r="I8" s="3508"/>
    </row>
    <row r="9" spans="1:9" ht="15">
      <c r="A9" s="3507" t="s">
        <v>927</v>
      </c>
      <c r="B9" s="3507"/>
      <c r="C9" s="3507"/>
      <c r="D9" s="3507" t="e">
        <f ca="1">结果表!D123</f>
        <v>#REF!</v>
      </c>
      <c r="E9" s="3507"/>
      <c r="F9" s="3507"/>
      <c r="G9" s="3507"/>
      <c r="H9" s="3507"/>
      <c r="I9" s="3507"/>
    </row>
    <row r="10" spans="1:9" ht="15.75">
      <c r="A10" s="3508" t="str">
        <f>结果表!A124</f>
        <v/>
      </c>
      <c r="B10" s="3508"/>
      <c r="C10" s="3508"/>
      <c r="D10" s="3508" t="str">
        <f>结果表!D124</f>
        <v>——</v>
      </c>
      <c r="E10" s="3508"/>
      <c r="F10" s="3508"/>
      <c r="G10" s="3508"/>
      <c r="H10" s="3508"/>
      <c r="I10" s="3508"/>
    </row>
    <row r="11" spans="1:9" ht="15">
      <c r="A11" s="3507" t="s">
        <v>927</v>
      </c>
      <c r="B11" s="3507"/>
      <c r="C11" s="3507"/>
      <c r="D11" s="3507" t="e">
        <f>结果表!D125</f>
        <v>#VALUE!</v>
      </c>
      <c r="E11" s="3507"/>
      <c r="F11" s="3507"/>
      <c r="G11" s="3507"/>
      <c r="H11" s="3507"/>
      <c r="I11" s="3507"/>
    </row>
    <row r="12" spans="1:9" ht="15.75">
      <c r="A12" s="3508" t="str">
        <f>结果表!A126</f>
        <v/>
      </c>
      <c r="B12" s="3508"/>
      <c r="C12" s="3508"/>
      <c r="D12" s="3508" t="str">
        <f>结果表!D126</f>
        <v>——</v>
      </c>
      <c r="E12" s="3508"/>
      <c r="F12" s="3508"/>
      <c r="G12" s="3508"/>
      <c r="H12" s="3508"/>
      <c r="I12" s="3508"/>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45183</v>
      </c>
      <c r="B1" s="3209" t="s">
        <v>2843</v>
      </c>
      <c r="C1" s="3210"/>
      <c r="D1" s="3210"/>
      <c r="E1" s="3210"/>
      <c r="F1" s="3210"/>
      <c r="G1" s="3210"/>
      <c r="H1" s="3210"/>
      <c r="I1" s="3210"/>
      <c r="J1" s="3164"/>
      <c r="K1" s="3210" t="s">
        <v>454</v>
      </c>
      <c r="L1" s="3210"/>
      <c r="M1" s="3210"/>
      <c r="N1" s="3210"/>
      <c r="O1" s="3210"/>
      <c r="P1" s="3210"/>
      <c r="Q1" s="3164"/>
      <c r="R1" s="3828" t="s">
        <v>456</v>
      </c>
      <c r="S1" s="3829"/>
      <c r="T1" s="3829"/>
      <c r="U1" s="3829"/>
      <c r="V1" s="3829"/>
      <c r="W1" s="3829"/>
      <c r="X1" s="3164"/>
      <c r="Y1" s="3828" t="s">
        <v>457</v>
      </c>
      <c r="Z1" s="3829"/>
      <c r="AA1" s="3829"/>
      <c r="AB1" s="3829"/>
      <c r="AC1" s="3829"/>
      <c r="AD1" s="3829"/>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3376</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3375</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3373</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28" t="s">
        <v>2831</v>
      </c>
      <c r="S21" s="3829"/>
      <c r="T21" s="3829"/>
      <c r="U21" s="3829"/>
      <c r="V21" s="3829"/>
      <c r="W21" s="3829"/>
      <c r="X21" s="3164"/>
      <c r="Y21" s="3828" t="s">
        <v>2832</v>
      </c>
      <c r="Z21" s="3829"/>
      <c r="AA21" s="3829"/>
      <c r="AB21" s="3829"/>
      <c r="AC21" s="3829"/>
      <c r="AD21" s="3829"/>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3374</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3375</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3373</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5" t="s">
        <v>452</v>
      </c>
      <c r="C1" s="3835"/>
      <c r="D1" s="3835"/>
      <c r="E1" s="3835"/>
      <c r="F1" s="3835"/>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45183</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4" t="s">
        <v>949</v>
      </c>
      <c r="B1" s="3514"/>
      <c r="C1" s="3514"/>
      <c r="D1" s="3514"/>
    </row>
    <row r="2" spans="1:4" ht="18">
      <c r="A2" s="3515" t="s">
        <v>933</v>
      </c>
      <c r="B2" s="3515"/>
      <c r="C2" s="3515"/>
      <c r="D2" s="3515"/>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f>项目基本情况!D4</f>
        <v>0</v>
      </c>
      <c r="B5" s="1510">
        <f>项目基本情况!E4</f>
        <v>0</v>
      </c>
      <c r="C5" s="1513"/>
      <c r="D5" s="1512" t="s">
        <v>938</v>
      </c>
    </row>
    <row r="6" spans="1:4" ht="18">
      <c r="A6" s="3515" t="s">
        <v>939</v>
      </c>
      <c r="B6" s="3515"/>
      <c r="C6" s="3515"/>
      <c r="D6" s="351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6"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8"/>
      <c r="C12" s="3518"/>
      <c r="D12" s="3518"/>
    </row>
    <row r="13" spans="1:4" ht="30" customHeight="1">
      <c r="A13" s="3517" t="str">
        <f>IF(项目基本情况!B8="抵押","3.抵押双方在办理抵押登记手续时，应使用本公司出具的正式《房地产评估报告》，特提醒报告使用者注意。","——")</f>
        <v>——</v>
      </c>
      <c r="B13" s="3518"/>
      <c r="C13" s="3518"/>
      <c r="D13" s="3518"/>
    </row>
    <row r="14" spans="1:4" ht="15.75" customHeight="1">
      <c r="A14" s="3517" t="str">
        <f>IF(项目基本情况!B8="抵押","4.本次评估估价师所知悉的法定优先受偿款情况说明如下：","——")</f>
        <v>——</v>
      </c>
      <c r="B14" s="3518"/>
      <c r="C14" s="3518"/>
      <c r="D14" s="3518"/>
    </row>
    <row r="15" spans="1:4" ht="42" customHeight="1">
      <c r="A15" s="3517" t="str">
        <f>IF(项目基本情况!B8="抵押","（1）"&amp;CONCATENATE(项目基本情况!L20,项目基本情况!L21,项目基本情况!L22),"——")</f>
        <v>——</v>
      </c>
      <c r="B15" s="3517"/>
      <c r="C15" s="3517"/>
      <c r="D15" s="3517"/>
    </row>
    <row r="16" spans="1:4" ht="30" customHeight="1">
      <c r="A16" s="3520" t="s">
        <v>943</v>
      </c>
      <c r="B16" s="3520"/>
      <c r="C16" s="3520"/>
      <c r="D16" s="3520"/>
    </row>
    <row r="17" spans="1:4" ht="144" customHeight="1">
      <c r="A17" s="3520" t="s">
        <v>944</v>
      </c>
      <c r="B17" s="3520"/>
      <c r="C17" s="3520"/>
      <c r="D17" s="3520"/>
    </row>
    <row r="18" spans="1:4" ht="15.75" customHeight="1">
      <c r="A18" s="3517" t="str">
        <f>IF(项目基本情况!B8="抵押",结果表!K120,"——")</f>
        <v>——</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1"/>
      <c r="C21" s="3521"/>
      <c r="D21" s="3521"/>
    </row>
    <row r="22" spans="1:4" ht="18.75" customHeight="1">
      <c r="A22" s="3522" t="s">
        <v>945</v>
      </c>
      <c r="B22" s="3522"/>
      <c r="C22" s="3522"/>
      <c r="D22" s="352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9">
        <v>42551</v>
      </c>
      <c r="D31" s="35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F12" sqref="F12"/>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8" t="s">
        <v>956</v>
      </c>
      <c r="B15" s="3523" t="s">
        <v>109</v>
      </c>
      <c r="C15" s="3524"/>
    </row>
    <row r="16" spans="1:7" ht="13.5">
      <c r="A16" s="3529"/>
      <c r="B16" s="3523" t="s">
        <v>42</v>
      </c>
      <c r="C16" s="3524"/>
    </row>
    <row r="17" spans="1:3" ht="13.5">
      <c r="A17" s="3529"/>
      <c r="B17" s="3526" t="s">
        <v>957</v>
      </c>
      <c r="C17" s="1531" t="s">
        <v>956</v>
      </c>
    </row>
    <row r="18" spans="1:3" ht="13.5">
      <c r="A18" s="3529"/>
      <c r="B18" s="3526"/>
      <c r="C18" s="1531" t="s">
        <v>958</v>
      </c>
    </row>
    <row r="19" spans="1:3" ht="13.5">
      <c r="A19" s="3529"/>
      <c r="B19" s="3526"/>
      <c r="C19" s="1531" t="s">
        <v>959</v>
      </c>
    </row>
    <row r="20" spans="1:3" ht="13.5">
      <c r="A20" s="3530"/>
      <c r="B20" s="3525" t="s">
        <v>960</v>
      </c>
      <c r="C20" s="3524"/>
    </row>
    <row r="21" spans="1:3" ht="13.5">
      <c r="A21" s="1532" t="s">
        <v>961</v>
      </c>
      <c r="B21" s="1533"/>
      <c r="C21" s="1534"/>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31" t="s">
        <v>967</v>
      </c>
    </row>
    <row r="26" spans="1:3" ht="13.5">
      <c r="A26" s="3527"/>
      <c r="B26" s="3526"/>
      <c r="C26" s="1531" t="s">
        <v>968</v>
      </c>
    </row>
    <row r="27" spans="1:3" ht="13.5">
      <c r="A27" s="3527"/>
      <c r="B27" s="3526"/>
      <c r="C27" s="1531" t="s">
        <v>969</v>
      </c>
    </row>
    <row r="28" spans="1:3" ht="13.5">
      <c r="A28" s="3527"/>
      <c r="B28" s="3526"/>
      <c r="C28" s="1531" t="s">
        <v>970</v>
      </c>
    </row>
    <row r="29" spans="1:3" ht="13.5">
      <c r="A29" s="3527"/>
      <c r="B29" s="3526"/>
      <c r="C29" s="1531" t="s">
        <v>971</v>
      </c>
    </row>
    <row r="30" spans="1:3" ht="13.5">
      <c r="A30" s="3527"/>
      <c r="B30" s="3526"/>
      <c r="C30" s="1531" t="s">
        <v>972</v>
      </c>
    </row>
    <row r="31" spans="1:3" ht="13.5">
      <c r="A31" s="3527"/>
      <c r="B31" s="3526"/>
      <c r="C31" s="1531" t="s">
        <v>973</v>
      </c>
    </row>
    <row r="32" spans="1:3" ht="13.5">
      <c r="A32" s="3527"/>
      <c r="B32" s="3526"/>
      <c r="C32" s="1531" t="s">
        <v>974</v>
      </c>
    </row>
    <row r="33" spans="1:3" ht="13.5">
      <c r="A33" s="3527"/>
      <c r="B33" s="352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45194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1" t="s">
        <v>2160</v>
      </c>
      <c r="B17" s="3531"/>
      <c r="C17" s="3531"/>
      <c r="D17" s="3531"/>
      <c r="E17" s="3531"/>
      <c r="F17" s="3531"/>
      <c r="G17" s="3531"/>
      <c r="H17" s="3531"/>
    </row>
    <row r="18" spans="1:8" ht="24" customHeight="1">
      <c r="A18" s="3532" t="s">
        <v>2161</v>
      </c>
      <c r="B18" s="3532"/>
      <c r="C18" s="3532"/>
      <c r="D18" s="2342"/>
      <c r="E18" s="3533" t="s">
        <v>2162</v>
      </c>
      <c r="F18" s="3532"/>
      <c r="G18" s="353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结果表</vt:lpstr>
      <vt:lpstr>收益法</vt:lpstr>
      <vt:lpstr>租金案例</vt:lpstr>
      <vt:lpstr>比较法-商业</vt:lpstr>
      <vt:lpstr>比较法-商业租金</vt:lpstr>
      <vt:lpstr>比较法-住宅</vt:lpstr>
      <vt:lpstr>中指</vt:lpstr>
      <vt:lpstr>成交</vt:lpstr>
      <vt:lpstr>法拍</vt:lpstr>
      <vt:lpstr>挂牌</vt:lpstr>
      <vt:lpstr>成本法</vt:lpstr>
      <vt:lpstr>成本法 (元)</vt:lpstr>
      <vt:lpstr>假设开发法</vt:lpstr>
      <vt:lpstr>收益法 (元)</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2023-09-25T07:42:19Z</dcterms:modified>
</cp:coreProperties>
</file>