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密云吴姐询价\"/>
    </mc:Choice>
  </mc:AlternateContent>
  <xr:revisionPtr revIDLastSave="0" documentId="13_ncr:1_{88AA6566-C871-4596-B6B8-7CE42F4A5632}" xr6:coauthVersionLast="47" xr6:coauthVersionMax="47" xr10:uidLastSave="{00000000-0000-0000-0000-000000000000}"/>
  <bookViews>
    <workbookView xWindow="-108" yWindow="-108" windowWidth="20376" windowHeight="12216"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汇总）" sheetId="76" state="hidden" r:id="rId31"/>
    <sheet name="成本法 (元)" sheetId="69" r:id="rId32"/>
    <sheet name="基准地价修正" sheetId="43" r:id="rId33"/>
    <sheet name="收益法 (元)" sheetId="67" r:id="rId34"/>
    <sheet name="典型户型修正" sheetId="31" r:id="rId35"/>
    <sheet name="面积信息" sheetId="80" r:id="rId36"/>
    <sheet name="案例" sheetId="81" r:id="rId37"/>
    <sheet name="Sheet3"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办公" sheetId="34"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4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4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1">'成本法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4"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5"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24" i="31"/>
  <c r="J49" i="67"/>
  <c r="D33" i="43"/>
  <c r="B59" i="1"/>
  <c r="B21" i="1"/>
  <c r="Y6" i="1"/>
  <c r="N6" i="1"/>
  <c r="N19" i="1"/>
  <c r="C19" i="6"/>
  <c r="F19" i="6"/>
  <c r="C13" i="3"/>
  <c r="I13" i="3"/>
  <c r="D54"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c r="AD33" i="79"/>
  <c r="AR34" i="79"/>
  <c r="AR35" i="79" s="1"/>
  <c r="AR36" i="79" s="1"/>
  <c r="AD35" i="79"/>
  <c r="C60" i="78"/>
  <c r="D60" i="78" s="1"/>
  <c r="D53" i="78"/>
  <c r="D52" i="78"/>
  <c r="B51" i="78"/>
  <c r="B56" i="78" s="1"/>
  <c r="D51" i="78" l="1"/>
  <c r="B55" i="78"/>
  <c r="D55" i="78" s="1"/>
  <c r="C51" i="78"/>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AB27" i="71"/>
  <c r="N66" i="71"/>
  <c r="D59" i="71"/>
  <c r="P67" i="71"/>
  <c r="E66"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87" i="31"/>
  <c r="R88" i="31"/>
  <c r="S88" i="31" s="1"/>
  <c r="R89" i="31"/>
  <c r="S89" i="31" s="1"/>
  <c r="R90" i="31"/>
  <c r="R91" i="31"/>
  <c r="R92" i="31"/>
  <c r="S92" i="31" s="1"/>
  <c r="R93" i="31"/>
  <c r="R94" i="31"/>
  <c r="R95" i="31"/>
  <c r="R96" i="31"/>
  <c r="S96" i="31" s="1"/>
  <c r="R97" i="31"/>
  <c r="S97" i="31" s="1"/>
  <c r="R98" i="31"/>
  <c r="R99" i="31"/>
  <c r="R100" i="31"/>
  <c r="S100" i="31" s="1"/>
  <c r="R101" i="31"/>
  <c r="S101" i="31" s="1"/>
  <c r="R102" i="31"/>
  <c r="R103" i="31"/>
  <c r="R104" i="31"/>
  <c r="S104" i="31" s="1"/>
  <c r="R105" i="31"/>
  <c r="S105" i="31" s="1"/>
  <c r="R106" i="31"/>
  <c r="R107" i="31"/>
  <c r="R108" i="31"/>
  <c r="S108" i="31" s="1"/>
  <c r="R109" i="31"/>
  <c r="S109" i="31" s="1"/>
  <c r="R110" i="31"/>
  <c r="R111" i="31"/>
  <c r="R112" i="31"/>
  <c r="S112" i="31" s="1"/>
  <c r="R113" i="31"/>
  <c r="S113" i="31" s="1"/>
  <c r="R114" i="31"/>
  <c r="R115" i="31"/>
  <c r="R116" i="31"/>
  <c r="S116" i="31" s="1"/>
  <c r="R117" i="31"/>
  <c r="S117" i="31" s="1"/>
  <c r="R118" i="31"/>
  <c r="R119" i="31"/>
  <c r="R120" i="31"/>
  <c r="S120" i="31" s="1"/>
  <c r="R121" i="31"/>
  <c r="S121" i="31" s="1"/>
  <c r="R122" i="31"/>
  <c r="R123" i="31"/>
  <c r="R124" i="31"/>
  <c r="S124" i="31" s="1"/>
  <c r="R125" i="31"/>
  <c r="S125" i="31" s="1"/>
  <c r="R126" i="31"/>
  <c r="R127" i="31"/>
  <c r="R128" i="31"/>
  <c r="S128" i="31" s="1"/>
  <c r="R129" i="31"/>
  <c r="S129" i="31" s="1"/>
  <c r="R130" i="31"/>
  <c r="R131" i="31"/>
  <c r="R132" i="31"/>
  <c r="S132" i="31" s="1"/>
  <c r="R133" i="31"/>
  <c r="R134" i="31"/>
  <c r="R135" i="31"/>
  <c r="R136" i="31"/>
  <c r="S136" i="31" s="1"/>
  <c r="R137" i="31"/>
  <c r="S137" i="31" s="1"/>
  <c r="R138" i="31"/>
  <c r="R139" i="31"/>
  <c r="R140" i="31"/>
  <c r="S140" i="31" s="1"/>
  <c r="R141" i="31"/>
  <c r="S141" i="31" s="1"/>
  <c r="R142" i="31"/>
  <c r="R143" i="31"/>
  <c r="R144" i="31"/>
  <c r="S144" i="31" s="1"/>
  <c r="R145" i="31"/>
  <c r="S145" i="31" s="1"/>
  <c r="R146" i="31"/>
  <c r="R147" i="31"/>
  <c r="R148" i="31"/>
  <c r="S148" i="31" s="1"/>
  <c r="R149" i="3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R166" i="31"/>
  <c r="R167" i="31"/>
  <c r="R168" i="31"/>
  <c r="S168" i="31" s="1"/>
  <c r="R169" i="31"/>
  <c r="S169" i="31" s="1"/>
  <c r="R170" i="31"/>
  <c r="R171" i="31"/>
  <c r="R172" i="31"/>
  <c r="S172" i="31" s="1"/>
  <c r="R173" i="31"/>
  <c r="S173" i="31" s="1"/>
  <c r="R174" i="31"/>
  <c r="R175" i="31"/>
  <c r="R176" i="31"/>
  <c r="S176" i="31" s="1"/>
  <c r="R177" i="31"/>
  <c r="S177" i="31" s="1"/>
  <c r="R178" i="31"/>
  <c r="R179" i="31"/>
  <c r="R180" i="31"/>
  <c r="S180" i="31" s="1"/>
  <c r="R181" i="3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R198" i="31"/>
  <c r="R199" i="31"/>
  <c r="R200" i="31"/>
  <c r="S200" i="31" s="1"/>
  <c r="R201" i="31"/>
  <c r="S201" i="31" s="1"/>
  <c r="R202" i="31"/>
  <c r="R203" i="31"/>
  <c r="R204" i="31"/>
  <c r="S204" i="31" s="1"/>
  <c r="R205" i="31"/>
  <c r="S205" i="31" s="1"/>
  <c r="R206" i="31"/>
  <c r="R207" i="31"/>
  <c r="R208" i="31"/>
  <c r="S208" i="31" s="1"/>
  <c r="R209" i="31"/>
  <c r="S209" i="31" s="1"/>
  <c r="R210" i="31"/>
  <c r="R211" i="31"/>
  <c r="R212" i="31"/>
  <c r="S212" i="31" s="1"/>
  <c r="R213" i="31"/>
  <c r="R214" i="31"/>
  <c r="R215" i="31"/>
  <c r="R216" i="31"/>
  <c r="S216" i="31" s="1"/>
  <c r="R217" i="31"/>
  <c r="S217" i="31" s="1"/>
  <c r="R218" i="31"/>
  <c r="R219" i="31"/>
  <c r="R220" i="31"/>
  <c r="S220" i="31" s="1"/>
  <c r="R221" i="31"/>
  <c r="S221" i="31" s="1"/>
  <c r="R222" i="31"/>
  <c r="R223" i="31"/>
  <c r="R224" i="31"/>
  <c r="S224" i="31" s="1"/>
  <c r="R225" i="3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R311" i="31"/>
  <c r="S311" i="31" s="1"/>
  <c r="R312" i="31"/>
  <c r="S312" i="31" s="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S425" i="31" s="1"/>
  <c r="R426" i="31"/>
  <c r="R427" i="31"/>
  <c r="R428" i="31"/>
  <c r="S428" i="31" s="1"/>
  <c r="R429" i="31"/>
  <c r="S429" i="31" s="1"/>
  <c r="R430" i="31"/>
  <c r="R431" i="31"/>
  <c r="R432" i="31"/>
  <c r="R433" i="31"/>
  <c r="S433" i="31" s="1"/>
  <c r="R434" i="31"/>
  <c r="R435" i="31"/>
  <c r="R436" i="31"/>
  <c r="R437" i="31"/>
  <c r="S437" i="31" s="1"/>
  <c r="R438" i="31"/>
  <c r="R439" i="31"/>
  <c r="R440" i="31"/>
  <c r="S440" i="31" s="1"/>
  <c r="R441" i="31"/>
  <c r="S441" i="31" s="1"/>
  <c r="R442" i="31"/>
  <c r="R443" i="31"/>
  <c r="R444" i="31"/>
  <c r="S444" i="31" s="1"/>
  <c r="R445" i="31"/>
  <c r="S445" i="31" s="1"/>
  <c r="R446" i="31"/>
  <c r="R447" i="31"/>
  <c r="R448" i="31"/>
  <c r="S448" i="31" s="1"/>
  <c r="R449" i="31"/>
  <c r="S449" i="31" s="1"/>
  <c r="R450" i="31"/>
  <c r="R451" i="31"/>
  <c r="R452" i="31"/>
  <c r="S452" i="31" s="1"/>
  <c r="R453" i="31"/>
  <c r="S453" i="31" s="1"/>
  <c r="R454" i="31"/>
  <c r="R455" i="31"/>
  <c r="R456" i="31"/>
  <c r="R457" i="31"/>
  <c r="S457" i="31" s="1"/>
  <c r="R458" i="31"/>
  <c r="R459" i="31"/>
  <c r="R460" i="31"/>
  <c r="R461" i="31"/>
  <c r="S461" i="31" s="1"/>
  <c r="R462" i="31"/>
  <c r="R463" i="31"/>
  <c r="R464" i="31"/>
  <c r="S464" i="31" s="1"/>
  <c r="R465" i="31"/>
  <c r="S465" i="31" s="1"/>
  <c r="R466" i="31"/>
  <c r="R467" i="31"/>
  <c r="R468" i="31"/>
  <c r="S468" i="31" s="1"/>
  <c r="R469" i="31"/>
  <c r="S469" i="31" s="1"/>
  <c r="R470" i="31"/>
  <c r="R471" i="31"/>
  <c r="R472" i="31"/>
  <c r="S472" i="31" s="1"/>
  <c r="R473" i="31"/>
  <c r="S473" i="31" s="1"/>
  <c r="R474" i="31"/>
  <c r="R475" i="31"/>
  <c r="R476" i="31"/>
  <c r="R477" i="31"/>
  <c r="S477" i="31" s="1"/>
  <c r="R478" i="31"/>
  <c r="R479" i="31"/>
  <c r="R480" i="31"/>
  <c r="R481" i="31"/>
  <c r="S481" i="31" s="1"/>
  <c r="R482" i="31"/>
  <c r="R483" i="31"/>
  <c r="R484" i="31"/>
  <c r="S484" i="31" s="1"/>
  <c r="R485" i="31"/>
  <c r="S485" i="31" s="1"/>
  <c r="R486" i="31"/>
  <c r="R487" i="31"/>
  <c r="R488" i="31"/>
  <c r="S488" i="31" s="1"/>
  <c r="R489" i="31"/>
  <c r="S489" i="31" s="1"/>
  <c r="R490" i="31"/>
  <c r="R491" i="31"/>
  <c r="R492" i="31"/>
  <c r="R493" i="31"/>
  <c r="S493" i="31" s="1"/>
  <c r="R494" i="31"/>
  <c r="R495" i="31"/>
  <c r="R496" i="31"/>
  <c r="R497" i="31"/>
  <c r="S497" i="31" s="1"/>
  <c r="R498" i="31"/>
  <c r="R499" i="31"/>
  <c r="R500" i="31"/>
  <c r="S500" i="31" s="1"/>
  <c r="R501" i="31"/>
  <c r="S501" i="31" s="1"/>
  <c r="R502" i="31"/>
  <c r="R503" i="31"/>
  <c r="R504" i="31"/>
  <c r="R505" i="31"/>
  <c r="S505" i="31" s="1"/>
  <c r="R506" i="31"/>
  <c r="R507" i="31"/>
  <c r="R508" i="31"/>
  <c r="R509" i="31"/>
  <c r="S509" i="31" s="1"/>
  <c r="R510" i="31"/>
  <c r="R511" i="31"/>
  <c r="R512" i="31"/>
  <c r="R513" i="31"/>
  <c r="S513" i="31" s="1"/>
  <c r="R514" i="31"/>
  <c r="R515" i="31"/>
  <c r="R516" i="31"/>
  <c r="S516" i="31" s="1"/>
  <c r="R517" i="31"/>
  <c r="S517" i="31" s="1"/>
  <c r="R518" i="31"/>
  <c r="R519" i="31"/>
  <c r="R520" i="31"/>
  <c r="S520" i="31" s="1"/>
  <c r="R521" i="31"/>
  <c r="S521" i="31" s="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60" i="31"/>
  <c r="S348" i="31"/>
  <c r="S344" i="31"/>
  <c r="S332" i="31"/>
  <c r="S328" i="31"/>
  <c r="S320" i="31"/>
  <c r="S316" i="31"/>
  <c r="S310" i="31"/>
  <c r="S308" i="31"/>
  <c r="S304" i="31"/>
  <c r="S292" i="31"/>
  <c r="S290" i="31"/>
  <c r="S286" i="31"/>
  <c r="S282" i="31"/>
  <c r="S278" i="31"/>
  <c r="S274" i="31"/>
  <c r="S270" i="31"/>
  <c r="S266" i="31"/>
  <c r="S262" i="31"/>
  <c r="S258" i="31"/>
  <c r="S254" i="31"/>
  <c r="S251" i="31"/>
  <c r="S250" i="31"/>
  <c r="S247" i="31"/>
  <c r="S246" i="31"/>
  <c r="S243" i="31"/>
  <c r="S242" i="31"/>
  <c r="S241" i="31"/>
  <c r="S239" i="31"/>
  <c r="S238" i="31"/>
  <c r="S235" i="31"/>
  <c r="S234" i="31"/>
  <c r="S231" i="31"/>
  <c r="S230" i="31"/>
  <c r="S227" i="31"/>
  <c r="S226" i="31"/>
  <c r="S225" i="31"/>
  <c r="S223" i="31"/>
  <c r="S427" i="31"/>
  <c r="S426" i="31"/>
  <c r="S222" i="31"/>
  <c r="S219" i="31"/>
  <c r="S218" i="31"/>
  <c r="S215" i="31"/>
  <c r="S214" i="31"/>
  <c r="S213" i="31"/>
  <c r="S211" i="31"/>
  <c r="S210" i="31"/>
  <c r="S207" i="31"/>
  <c r="S206" i="31"/>
  <c r="S203" i="31"/>
  <c r="S202" i="31"/>
  <c r="S199" i="31"/>
  <c r="S198" i="31"/>
  <c r="S197" i="31"/>
  <c r="S195" i="31"/>
  <c r="S194" i="31"/>
  <c r="S191" i="31"/>
  <c r="S190" i="31"/>
  <c r="S187" i="31"/>
  <c r="S186" i="31"/>
  <c r="S183" i="31"/>
  <c r="S182" i="31"/>
  <c r="S181" i="31"/>
  <c r="S179" i="31"/>
  <c r="S178" i="31"/>
  <c r="S175" i="31"/>
  <c r="S174" i="31"/>
  <c r="S171" i="31"/>
  <c r="S170" i="31"/>
  <c r="S167" i="31"/>
  <c r="S166" i="31"/>
  <c r="S165" i="31"/>
  <c r="S163" i="31"/>
  <c r="S162" i="31"/>
  <c r="S159" i="31"/>
  <c r="S158" i="31"/>
  <c r="S155" i="31"/>
  <c r="S154" i="31"/>
  <c r="S151" i="31"/>
  <c r="S150" i="31"/>
  <c r="S149" i="31"/>
  <c r="S147" i="31"/>
  <c r="S146" i="31"/>
  <c r="S143" i="31"/>
  <c r="S142" i="31"/>
  <c r="S139" i="31"/>
  <c r="S138" i="31"/>
  <c r="S135" i="31"/>
  <c r="S134" i="31"/>
  <c r="S133" i="31"/>
  <c r="S131" i="31"/>
  <c r="S130" i="31"/>
  <c r="S127" i="31"/>
  <c r="S126" i="31"/>
  <c r="S123" i="31"/>
  <c r="S496" i="31"/>
  <c r="S495" i="31"/>
  <c r="S494" i="31"/>
  <c r="S492" i="31"/>
  <c r="S491" i="31"/>
  <c r="S490" i="31"/>
  <c r="S487" i="31"/>
  <c r="S486" i="31"/>
  <c r="S483" i="31"/>
  <c r="S482" i="31"/>
  <c r="S480" i="31"/>
  <c r="S479" i="31"/>
  <c r="S478" i="31"/>
  <c r="S476" i="31"/>
  <c r="S475" i="31"/>
  <c r="S474" i="31"/>
  <c r="S471" i="31"/>
  <c r="S470" i="31"/>
  <c r="S443" i="31"/>
  <c r="S442" i="31"/>
  <c r="S439" i="31"/>
  <c r="S438" i="31"/>
  <c r="S436" i="31"/>
  <c r="S435" i="31"/>
  <c r="S434" i="31"/>
  <c r="S432" i="31"/>
  <c r="S431" i="31"/>
  <c r="S430" i="31"/>
  <c r="S122" i="31"/>
  <c r="S119" i="31"/>
  <c r="S118" i="31"/>
  <c r="S115" i="31"/>
  <c r="S114" i="31"/>
  <c r="S506" i="31"/>
  <c r="S504" i="31"/>
  <c r="S502" i="31"/>
  <c r="S498" i="31"/>
  <c r="S467" i="31"/>
  <c r="S466" i="31"/>
  <c r="S463" i="31"/>
  <c r="S462" i="31"/>
  <c r="S460" i="31"/>
  <c r="S459" i="31"/>
  <c r="S458" i="31"/>
  <c r="S456" i="31"/>
  <c r="S455" i="31"/>
  <c r="S454" i="31"/>
  <c r="S451" i="31"/>
  <c r="S450" i="31"/>
  <c r="S95" i="31"/>
  <c r="S94" i="31"/>
  <c r="S93" i="31"/>
  <c r="S91" i="31"/>
  <c r="S90" i="31"/>
  <c r="S87" i="31"/>
  <c r="S98" i="31"/>
  <c r="S99" i="31"/>
  <c r="S102" i="31"/>
  <c r="S103" i="31"/>
  <c r="S106" i="31"/>
  <c r="S107" i="31"/>
  <c r="S110" i="31"/>
  <c r="S111" i="31"/>
  <c r="S446" i="31"/>
  <c r="S447" i="31"/>
  <c r="S507" i="31"/>
  <c r="S508" i="31"/>
  <c r="S510" i="31"/>
  <c r="S511"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8" i="31"/>
  <c r="S519"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E71" i="37" s="1"/>
  <c r="F71" i="37" s="1"/>
  <c r="G71" i="37" s="1"/>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B73" i="35"/>
  <c r="J23" i="35" s="1"/>
  <c r="AC23" i="35" s="1"/>
  <c r="B57" i="35"/>
  <c r="B61" i="35"/>
  <c r="B59" i="35"/>
  <c r="H12" i="35" s="1"/>
  <c r="B131" i="34"/>
  <c r="B129" i="34"/>
  <c r="B127" i="34"/>
  <c r="B99" i="34"/>
  <c r="B97" i="34"/>
  <c r="B95" i="34"/>
  <c r="B93" i="34"/>
  <c r="B75" i="34"/>
  <c r="B73" i="34"/>
  <c r="B71" i="34"/>
  <c r="J12" i="34" s="1"/>
  <c r="W12" i="34" s="1"/>
  <c r="B130" i="33"/>
  <c r="B128" i="33"/>
  <c r="B126" i="33"/>
  <c r="B98" i="33"/>
  <c r="B96" i="33"/>
  <c r="B94" i="33"/>
  <c r="F29" i="33" s="1"/>
  <c r="S29" i="33" s="1"/>
  <c r="B74" i="33"/>
  <c r="B72" i="33"/>
  <c r="B70" i="33"/>
  <c r="J12" i="33"/>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H44" i="21" s="1"/>
  <c r="U44" i="21" s="1"/>
  <c r="B98" i="21"/>
  <c r="H31" i="21"/>
  <c r="B96" i="21"/>
  <c r="B94" i="21"/>
  <c r="J29" i="21" s="1"/>
  <c r="AC29" i="21" s="1"/>
  <c r="B92" i="21"/>
  <c r="B90" i="21"/>
  <c r="B74" i="2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36" i="39"/>
  <c r="S36" i="39" s="1"/>
  <c r="H36" i="39"/>
  <c r="J36" i="39"/>
  <c r="AC36" i="39" s="1"/>
  <c r="U9" i="39"/>
  <c r="W31" i="37"/>
  <c r="E103" i="37"/>
  <c r="F103" i="37" s="1"/>
  <c r="G103" i="37" s="1"/>
  <c r="H103" i="37" s="1"/>
  <c r="I103" i="37" s="1"/>
  <c r="J103" i="37" s="1"/>
  <c r="K103" i="37" s="1"/>
  <c r="L103" i="37" s="1"/>
  <c r="M103" i="37" s="1"/>
  <c r="F39" i="37"/>
  <c r="S39" i="37" s="1"/>
  <c r="F29" i="36"/>
  <c r="AA29" i="36" s="1"/>
  <c r="F16" i="36"/>
  <c r="AA16" i="36" s="1"/>
  <c r="W28" i="36"/>
  <c r="H22" i="35"/>
  <c r="AB22" i="35" s="1"/>
  <c r="AC27" i="35"/>
  <c r="W28" i="35"/>
  <c r="U31" i="35"/>
  <c r="W22" i="35"/>
  <c r="U34" i="35"/>
  <c r="F36" i="34"/>
  <c r="J35" i="34"/>
  <c r="U34" i="34"/>
  <c r="H39" i="33"/>
  <c r="AB39" i="33" s="1"/>
  <c r="S40" i="33"/>
  <c r="W33" i="33"/>
  <c r="W39" i="33"/>
  <c r="H39" i="37"/>
  <c r="AB39" i="37"/>
  <c r="S27" i="35"/>
  <c r="F11" i="40"/>
  <c r="AA11" i="40" s="1"/>
  <c r="H11" i="40"/>
  <c r="AB11" i="40"/>
  <c r="W8" i="40"/>
  <c r="AA9" i="40"/>
  <c r="U9" i="40"/>
  <c r="S34" i="40"/>
  <c r="U34" i="40"/>
  <c r="F42" i="39"/>
  <c r="AA42" i="39" s="1"/>
  <c r="F41" i="39"/>
  <c r="S41" i="39" s="1"/>
  <c r="H40" i="39"/>
  <c r="AB40" i="39" s="1"/>
  <c r="H39" i="39"/>
  <c r="U39" i="39" s="1"/>
  <c r="S38" i="39"/>
  <c r="H34" i="39"/>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H11" i="39"/>
  <c r="S40" i="39"/>
  <c r="C15" i="39"/>
  <c r="H32" i="33"/>
  <c r="AB32" i="33" s="1"/>
  <c r="H11" i="21"/>
  <c r="U11" i="21" s="1"/>
  <c r="J11" i="21"/>
  <c r="W11" i="21" s="1"/>
  <c r="H37" i="40"/>
  <c r="H36" i="40"/>
  <c r="AB36" i="40" s="1"/>
  <c r="F35" i="40"/>
  <c r="AA35" i="40"/>
  <c r="H23" i="40"/>
  <c r="AB23" i="40" s="1"/>
  <c r="H17" i="40"/>
  <c r="U17" i="40" s="1"/>
  <c r="J15" i="40"/>
  <c r="W15" i="40" s="1"/>
  <c r="J11" i="40"/>
  <c r="W11" i="40" s="1"/>
  <c r="AC12" i="34"/>
  <c r="AB12" i="36"/>
  <c r="W32" i="40"/>
  <c r="S44" i="39"/>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s="1"/>
  <c r="F41"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s="1"/>
  <c r="J44" i="34"/>
  <c r="F44" i="34"/>
  <c r="J10" i="35"/>
  <c r="AC10" i="35" s="1"/>
  <c r="J14" i="21"/>
  <c r="W14" i="21"/>
  <c r="F14" i="21"/>
  <c r="S14" i="21" s="1"/>
  <c r="H14" i="21"/>
  <c r="U14" i="21" s="1"/>
  <c r="H28" i="21"/>
  <c r="AB28" i="21" s="1"/>
  <c r="F28" i="21"/>
  <c r="AA28" i="21" s="1"/>
  <c r="J28" i="21"/>
  <c r="W28" i="21" s="1"/>
  <c r="H30" i="21"/>
  <c r="J44" i="21"/>
  <c r="AC44" i="21" s="1"/>
  <c r="F44" i="21"/>
  <c r="AA44" i="21" s="1"/>
  <c r="H46" i="21"/>
  <c r="U46" i="21" s="1"/>
  <c r="J46" i="21"/>
  <c r="F46" i="21"/>
  <c r="AA46"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J47" i="34"/>
  <c r="AC47" i="34" s="1"/>
  <c r="F13" i="35"/>
  <c r="J13" i="35"/>
  <c r="AC13" i="35" s="1"/>
  <c r="H13" i="35"/>
  <c r="U13" i="35" s="1"/>
  <c r="J25" i="35"/>
  <c r="W25" i="35"/>
  <c r="F25" i="35"/>
  <c r="S25" i="35" s="1"/>
  <c r="H25" i="35"/>
  <c r="AB25" i="35" s="1"/>
  <c r="J35" i="35"/>
  <c r="AC35" i="35" s="1"/>
  <c r="F35" i="35"/>
  <c r="AA35" i="35" s="1"/>
  <c r="H35" i="35"/>
  <c r="J25" i="36"/>
  <c r="W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30" i="40"/>
  <c r="AB30" i="40" s="1"/>
  <c r="F33" i="40"/>
  <c r="AA33" i="40" s="1"/>
  <c r="H33" i="40"/>
  <c r="U33" i="40" s="1"/>
  <c r="J35" i="40"/>
  <c r="AC35" i="40" s="1"/>
  <c r="J37" i="40"/>
  <c r="AC37" i="40" s="1"/>
  <c r="H13" i="40"/>
  <c r="U13" i="40" s="1"/>
  <c r="J13" i="40"/>
  <c r="W13" i="40" s="1"/>
  <c r="F13" i="40"/>
  <c r="AA13" i="40" s="1"/>
  <c r="F14" i="37"/>
  <c r="F27" i="37"/>
  <c r="AA27" i="37" s="1"/>
  <c r="F13" i="39"/>
  <c r="H14" i="40"/>
  <c r="AB14" i="40"/>
  <c r="J14" i="40"/>
  <c r="W14" i="40" s="1"/>
  <c r="F14" i="40"/>
  <c r="AA14" i="40" s="1"/>
  <c r="J14" i="37"/>
  <c r="J27" i="37"/>
  <c r="AC27" i="37" s="1"/>
  <c r="AA44" i="33"/>
  <c r="U46" i="33"/>
  <c r="AA14" i="33"/>
  <c r="J36" i="37"/>
  <c r="AC36" i="37" s="1"/>
  <c r="J10" i="36"/>
  <c r="AC10" i="36" s="1"/>
  <c r="W31" i="34"/>
  <c r="S11" i="36"/>
  <c r="S45" i="33"/>
  <c r="AC28" i="21"/>
  <c r="BA586"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0" i="3"/>
  <c r="G572" i="3"/>
  <c r="G568" i="3"/>
  <c r="G564" i="3"/>
  <c r="G560" i="3"/>
  <c r="G554" i="3"/>
  <c r="G550" i="3"/>
  <c r="BL576" i="3"/>
  <c r="BL568" i="3"/>
  <c r="BL564" i="3"/>
  <c r="BL560" i="3"/>
  <c r="AZ560" i="3" s="1"/>
  <c r="BL554" i="3"/>
  <c r="BL546" i="3"/>
  <c r="BL542" i="3"/>
  <c r="BL538" i="3"/>
  <c r="BL534" i="3"/>
  <c r="BL530" i="3"/>
  <c r="BL526" i="3"/>
  <c r="BL522" i="3"/>
  <c r="BL516" i="3"/>
  <c r="BL512" i="3"/>
  <c r="BL506" i="3"/>
  <c r="BL502" i="3"/>
  <c r="BL498" i="3"/>
  <c r="BL494" i="3"/>
  <c r="BL578" i="3"/>
  <c r="BL566" i="3"/>
  <c r="BL562" i="3"/>
  <c r="BL556" i="3"/>
  <c r="BL552" i="3"/>
  <c r="BL544" i="3"/>
  <c r="BL540" i="3"/>
  <c r="AZ540" i="3" s="1"/>
  <c r="BL536" i="3"/>
  <c r="G533" i="3"/>
  <c r="BL532" i="3"/>
  <c r="G529" i="3"/>
  <c r="BL528" i="3"/>
  <c r="G525" i="3"/>
  <c r="BL524" i="3"/>
  <c r="BL518" i="3"/>
  <c r="BL514" i="3"/>
  <c r="BL510" i="3"/>
  <c r="BL504" i="3"/>
  <c r="BL500" i="3"/>
  <c r="BL496" i="3"/>
  <c r="G493" i="3"/>
  <c r="BA582" i="3"/>
  <c r="BA574" i="3"/>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BA518" i="3"/>
  <c r="BA516" i="3"/>
  <c r="BA514" i="3"/>
  <c r="BA512" i="3"/>
  <c r="AZ512" i="3" s="1"/>
  <c r="BA510" i="3"/>
  <c r="AZ510" i="3" s="1"/>
  <c r="BA508" i="3"/>
  <c r="AZ508" i="3" s="1"/>
  <c r="BA506" i="3"/>
  <c r="BA504" i="3"/>
  <c r="AZ504" i="3" s="1"/>
  <c r="BA502" i="3"/>
  <c r="BA500" i="3"/>
  <c r="AZ500" i="3" s="1"/>
  <c r="BA498" i="3"/>
  <c r="AZ498" i="3" s="1"/>
  <c r="BA496" i="3"/>
  <c r="BA494" i="3"/>
  <c r="AZ494" i="3" s="1"/>
  <c r="BA583" i="3"/>
  <c r="BA575" i="3"/>
  <c r="BA569" i="3"/>
  <c r="BA567" i="3"/>
  <c r="BA565" i="3"/>
  <c r="AZ565" i="3" s="1"/>
  <c r="BA563" i="3"/>
  <c r="BA561" i="3"/>
  <c r="BA559" i="3"/>
  <c r="AZ559" i="3" s="1"/>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1" i="3"/>
  <c r="G579" i="3"/>
  <c r="G573" i="3"/>
  <c r="G571" i="3"/>
  <c r="G569" i="3"/>
  <c r="G567" i="3"/>
  <c r="G565" i="3"/>
  <c r="G563" i="3"/>
  <c r="G561" i="3"/>
  <c r="BL558" i="3"/>
  <c r="BA557" i="3"/>
  <c r="AZ557" i="3" s="1"/>
  <c r="AC557" i="3"/>
  <c r="G557" i="3" s="1"/>
  <c r="BQ557" i="3"/>
  <c r="BL557" i="3" s="1"/>
  <c r="BQ583" i="3"/>
  <c r="BQ581" i="3"/>
  <c r="BQ579" i="3"/>
  <c r="BQ577" i="3"/>
  <c r="BL577" i="3" s="1"/>
  <c r="BQ575" i="3"/>
  <c r="BQ573" i="3"/>
  <c r="BQ571" i="3"/>
  <c r="BQ569" i="3"/>
  <c r="BL569" i="3" s="1"/>
  <c r="AZ569" i="3" s="1"/>
  <c r="BQ567" i="3"/>
  <c r="BL567" i="3"/>
  <c r="BQ565" i="3"/>
  <c r="BL565" i="3" s="1"/>
  <c r="BQ563" i="3"/>
  <c r="BL563" i="3"/>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c r="F37" i="37"/>
  <c r="AA37" i="37" s="1"/>
  <c r="F31" i="40"/>
  <c r="AA31" i="40" s="1"/>
  <c r="H31" i="40"/>
  <c r="U31" i="40" s="1"/>
  <c r="F32" i="40"/>
  <c r="S32" i="40"/>
  <c r="H32" i="40"/>
  <c r="AB32" i="40" s="1"/>
  <c r="J36" i="40"/>
  <c r="W36" i="40" s="1"/>
  <c r="H19" i="37"/>
  <c r="AB19" i="37" s="1"/>
  <c r="H42" i="33"/>
  <c r="AB42" i="33" s="1"/>
  <c r="J43" i="33"/>
  <c r="AC43" i="33" s="1"/>
  <c r="U14" i="40"/>
  <c r="W23" i="35"/>
  <c r="U39" i="37"/>
  <c r="U26" i="37"/>
  <c r="AA13" i="33"/>
  <c r="AC31" i="33"/>
  <c r="AC45" i="33"/>
  <c r="U11" i="33"/>
  <c r="U19" i="21"/>
  <c r="F43" i="33"/>
  <c r="AA43" i="33"/>
  <c r="W15" i="34"/>
  <c r="AC15" i="34"/>
  <c r="W16" i="35"/>
  <c r="W40" i="37"/>
  <c r="H37" i="21"/>
  <c r="U37" i="21" s="1"/>
  <c r="S42" i="2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19" i="40"/>
  <c r="F88" i="40"/>
  <c r="G88" i="40" s="1"/>
  <c r="F19" i="40"/>
  <c r="S19" i="40" s="1"/>
  <c r="S14" i="40"/>
  <c r="AC13" i="40"/>
  <c r="AB33" i="40"/>
  <c r="AC43" i="39"/>
  <c r="W43"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G4" i="4"/>
  <c r="I4" i="4"/>
  <c r="A2" i="9"/>
  <c r="F61" i="43"/>
  <c r="H64" i="43" s="1"/>
  <c r="AZ497"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AZ155" i="3" s="1"/>
  <c r="BL156" i="3"/>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AZ16" i="3" s="1"/>
  <c r="BL303" i="3"/>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14" i="3"/>
  <c r="G342" i="3"/>
  <c r="BL345" i="3"/>
  <c r="AZ345" i="3" s="1"/>
  <c r="G346" i="3"/>
  <c r="BL349" i="3"/>
  <c r="BL352" i="3"/>
  <c r="G353" i="3"/>
  <c r="BA357" i="3"/>
  <c r="BL358" i="3"/>
  <c r="G359" i="3"/>
  <c r="BA361" i="3"/>
  <c r="AZ361" i="3"/>
  <c r="BL362" i="3"/>
  <c r="AZ362" i="3" s="1"/>
  <c r="G363" i="3"/>
  <c r="BA365" i="3"/>
  <c r="BL366" i="3"/>
  <c r="AZ366" i="3" s="1"/>
  <c r="G367" i="3"/>
  <c r="BA369" i="3"/>
  <c r="BL370" i="3"/>
  <c r="G371" i="3"/>
  <c r="BA373" i="3"/>
  <c r="AZ373" i="3"/>
  <c r="BL374" i="3"/>
  <c r="G375" i="3"/>
  <c r="BA377" i="3"/>
  <c r="AZ377" i="3"/>
  <c r="AZ241" i="3"/>
  <c r="BA379" i="3"/>
  <c r="AZ379" i="3" s="1"/>
  <c r="BL380" i="3"/>
  <c r="G381" i="3"/>
  <c r="BA383" i="3"/>
  <c r="AZ383" i="3" s="1"/>
  <c r="BL384" i="3"/>
  <c r="G385" i="3"/>
  <c r="BA387" i="3"/>
  <c r="AZ387" i="3" s="1"/>
  <c r="BL388" i="3"/>
  <c r="G389" i="3"/>
  <c r="BA391" i="3"/>
  <c r="AZ391" i="3" s="1"/>
  <c r="BL392" i="3"/>
  <c r="G393" i="3"/>
  <c r="AZ291" i="3"/>
  <c r="BM5" i="3"/>
  <c r="BJ5" i="3"/>
  <c r="BD5" i="3"/>
  <c r="AZ325" i="3"/>
  <c r="AZ506" i="3"/>
  <c r="AZ496" i="3"/>
  <c r="G548" i="3"/>
  <c r="G538" i="3"/>
  <c r="G520" i="3"/>
  <c r="G502" i="3"/>
  <c r="BN5" i="3"/>
  <c r="BK5" i="3"/>
  <c r="BE5" i="3"/>
  <c r="BC5" i="3"/>
  <c r="G17" i="3"/>
  <c r="BA17" i="3"/>
  <c r="BT5" i="3"/>
  <c r="AZ356" i="3"/>
  <c r="BA15" i="3"/>
  <c r="BB5" i="3"/>
  <c r="BR5"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AZ130" i="3"/>
  <c r="AZ110"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C12" i="39"/>
  <c r="W12" i="39"/>
  <c r="AC39" i="40"/>
  <c r="W39" i="40"/>
  <c r="W12" i="33"/>
  <c r="AC12" i="33"/>
  <c r="AA32" i="36"/>
  <c r="S32" i="36"/>
  <c r="BL14" i="3"/>
  <c r="U30" i="33"/>
  <c r="AC13" i="34"/>
  <c r="W28" i="37"/>
  <c r="S19" i="39"/>
  <c r="F12" i="33"/>
  <c r="H12" i="39"/>
  <c r="AB12" i="39"/>
  <c r="F39" i="40"/>
  <c r="BA14" i="3"/>
  <c r="AZ14" i="3" s="1"/>
  <c r="AZ254" i="3"/>
  <c r="AZ297" i="3"/>
  <c r="B12" i="1"/>
  <c r="E12" i="1" s="1"/>
  <c r="B10" i="1"/>
  <c r="E10" i="1" s="1"/>
  <c r="K12" i="1"/>
  <c r="M12" i="1" s="1"/>
  <c r="S13" i="1"/>
  <c r="AR13" i="1" s="1"/>
  <c r="R13" i="1"/>
  <c r="J51" i="67"/>
  <c r="C42" i="1"/>
  <c r="C24" i="12" s="1"/>
  <c r="AA34" i="33"/>
  <c r="S35" i="40"/>
  <c r="U35" i="40"/>
  <c r="AC36" i="40"/>
  <c r="AA32" i="40"/>
  <c r="S17" i="40"/>
  <c r="S23" i="40"/>
  <c r="AC17" i="40"/>
  <c r="AC15" i="40"/>
  <c r="AB27" i="40"/>
  <c r="S30" i="40"/>
  <c r="AA19" i="40"/>
  <c r="S28" i="40"/>
  <c r="AA27" i="40"/>
  <c r="U21" i="40"/>
  <c r="U37" i="39"/>
  <c r="S43" i="39"/>
  <c r="S37" i="39"/>
  <c r="F32" i="39"/>
  <c r="F106" i="39"/>
  <c r="G106" i="39" s="1"/>
  <c r="H106" i="39" s="1"/>
  <c r="I106" i="39" s="1"/>
  <c r="J106" i="39" s="1"/>
  <c r="K106" i="39" s="1"/>
  <c r="L106" i="39" s="1"/>
  <c r="M106" i="39" s="1"/>
  <c r="U25" i="39"/>
  <c r="AB27" i="39"/>
  <c r="U31" i="39"/>
  <c r="J21" i="39"/>
  <c r="W21" i="39" s="1"/>
  <c r="F21" i="39"/>
  <c r="H21" i="39"/>
  <c r="W19" i="39"/>
  <c r="U19" i="39"/>
  <c r="S17" i="39"/>
  <c r="S15" i="39"/>
  <c r="AA12" i="39"/>
  <c r="S9" i="39"/>
  <c r="U14" i="39"/>
  <c r="U12" i="39"/>
  <c r="S23" i="36"/>
  <c r="U13" i="36"/>
  <c r="U26" i="36"/>
  <c r="AA26" i="36"/>
  <c r="AA34" i="36"/>
  <c r="AC26" i="36"/>
  <c r="AA22" i="36"/>
  <c r="W14" i="36"/>
  <c r="AB14" i="36"/>
  <c r="U22" i="36"/>
  <c r="S16" i="36"/>
  <c r="U23" i="36"/>
  <c r="AB20" i="36"/>
  <c r="U16" i="36"/>
  <c r="S14" i="36"/>
  <c r="AA25" i="35"/>
  <c r="S23"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G13" i="3"/>
  <c r="BA13" i="3"/>
  <c r="BL17" i="3"/>
  <c r="AZ17" i="3" s="1"/>
  <c r="BL13" i="3"/>
  <c r="J56" i="9"/>
  <c r="J57" i="9" s="1"/>
  <c r="J59" i="9" s="1"/>
  <c r="J61" i="9" s="1"/>
  <c r="A24" i="51"/>
  <c r="B18" i="72" s="1"/>
  <c r="U29" i="34"/>
  <c r="E32" i="6"/>
  <c r="K1" i="12"/>
  <c r="E19" i="68"/>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AB28" i="36"/>
  <c r="AA13" i="36"/>
  <c r="W22" i="36"/>
  <c r="W23" i="36"/>
  <c r="AB20" i="35"/>
  <c r="AC25" i="35"/>
  <c r="U25" i="35"/>
  <c r="S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W23" i="21" s="1"/>
  <c r="F85" i="21"/>
  <c r="G85" i="21" s="1"/>
  <c r="H23" i="21"/>
  <c r="AB23" i="21" s="1"/>
  <c r="S13" i="21"/>
  <c r="D6" i="52"/>
  <c r="AP7" i="1"/>
  <c r="AB45" i="21"/>
  <c r="AB9" i="21"/>
  <c r="U9" i="21"/>
  <c r="AA32" i="21"/>
  <c r="S32" i="21"/>
  <c r="W9" i="21"/>
  <c r="AC9" i="21"/>
  <c r="AB32" i="21"/>
  <c r="U32" i="21"/>
  <c r="U32" i="39"/>
  <c r="AC32" i="39"/>
  <c r="W32" i="39"/>
  <c r="W23" i="37"/>
  <c r="AC23" i="37"/>
  <c r="J11" i="37"/>
  <c r="AC11" i="37" s="1"/>
  <c r="H70" i="34"/>
  <c r="I70" i="34" s="1"/>
  <c r="J70" i="34" s="1"/>
  <c r="K70" i="34"/>
  <c r="L70" i="34" s="1"/>
  <c r="M70" i="34" s="1"/>
  <c r="J11" i="34"/>
  <c r="W11" i="34" s="1"/>
  <c r="AB36" i="33"/>
  <c r="W27" i="33"/>
  <c r="AC27" i="33"/>
  <c r="W25" i="33"/>
  <c r="AC25" i="33"/>
  <c r="AB19" i="33"/>
  <c r="U19" i="33"/>
  <c r="AA17" i="33"/>
  <c r="U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2" i="15"/>
  <c r="B13" i="76"/>
  <c r="F6" i="15"/>
  <c r="M28" i="15"/>
  <c r="F7" i="15"/>
  <c r="AO13" i="1"/>
  <c r="F40" i="15"/>
  <c r="F3" i="73"/>
  <c r="F13" i="15"/>
  <c r="F38" i="15"/>
  <c r="F20" i="31"/>
  <c r="E8" i="76"/>
  <c r="E2" i="68"/>
  <c r="F4" i="73"/>
  <c r="M22" i="15"/>
  <c r="D6" i="73"/>
  <c r="E13" i="76"/>
  <c r="B10" i="76"/>
  <c r="F9" i="15"/>
  <c r="B8" i="76"/>
  <c r="B11" i="76"/>
  <c r="F7" i="73"/>
  <c r="M9" i="15"/>
  <c r="M23" i="15"/>
  <c r="E11" i="76"/>
  <c r="E12" i="76"/>
  <c r="F26" i="15"/>
  <c r="F8" i="15"/>
  <c r="J15" i="15"/>
  <c r="F37" i="15"/>
  <c r="E7" i="76"/>
  <c r="M26" i="15"/>
  <c r="F43" i="15"/>
  <c r="M8" i="15"/>
  <c r="M6" i="15"/>
  <c r="B12" i="76"/>
  <c r="L48" i="15"/>
  <c r="E9" i="76"/>
  <c r="E10" i="76"/>
  <c r="F5" i="73"/>
  <c r="F16" i="15"/>
  <c r="B9" i="76"/>
  <c r="F36" i="15"/>
  <c r="E2" i="69"/>
  <c r="C76" i="15"/>
  <c r="L47" i="15"/>
  <c r="M29" i="15"/>
  <c r="F6" i="73"/>
  <c r="M24" i="15"/>
  <c r="B7" i="76"/>
  <c r="A4" i="52" l="1"/>
  <c r="B41" i="72" s="1"/>
  <c r="A118" i="9"/>
  <c r="F34" i="15"/>
  <c r="F62" i="15" s="1"/>
  <c r="M20" i="67"/>
  <c r="B41" i="1"/>
  <c r="C21" i="68"/>
  <c r="C40" i="11"/>
  <c r="E19" i="69"/>
  <c r="D23" i="15"/>
  <c r="D22" i="15"/>
  <c r="G1" i="68"/>
  <c r="G1" i="67"/>
  <c r="AC34" i="33"/>
  <c r="AZ311" i="3"/>
  <c r="AZ364" i="3"/>
  <c r="S14" i="37"/>
  <c r="AA14" i="37"/>
  <c r="U46" i="34"/>
  <c r="AB46" i="34"/>
  <c r="AA41" i="33"/>
  <c r="S41" i="33"/>
  <c r="J26" i="33"/>
  <c r="F26" i="33"/>
  <c r="H26" i="33"/>
  <c r="U12" i="35"/>
  <c r="AB12" i="35"/>
  <c r="J24" i="35"/>
  <c r="H24" i="35"/>
  <c r="J13" i="39"/>
  <c r="H13" i="39"/>
  <c r="AA34" i="39"/>
  <c r="S34" i="39"/>
  <c r="J12" i="40"/>
  <c r="H12" i="40"/>
  <c r="AC23" i="21"/>
  <c r="S11" i="39"/>
  <c r="AA11" i="39"/>
  <c r="S47" i="34"/>
  <c r="AA47" i="34"/>
  <c r="U45" i="33"/>
  <c r="AB45" i="33"/>
  <c r="U23" i="34"/>
  <c r="AB23" i="34"/>
  <c r="U37" i="40"/>
  <c r="AB37" i="40"/>
  <c r="U34" i="39"/>
  <c r="AB34" i="39"/>
  <c r="AB36" i="39"/>
  <c r="U36" i="39"/>
  <c r="B101" i="43"/>
  <c r="B79" i="43"/>
  <c r="AB33" i="33"/>
  <c r="U33" i="33"/>
  <c r="F25" i="36"/>
  <c r="H25" i="36"/>
  <c r="H33" i="36"/>
  <c r="F33" i="36"/>
  <c r="AB31" i="36"/>
  <c r="U31" i="36"/>
  <c r="W12" i="37"/>
  <c r="AC12" i="37"/>
  <c r="H25" i="37"/>
  <c r="F25" i="37"/>
  <c r="J25" i="37"/>
  <c r="U8" i="39"/>
  <c r="AB8" i="39"/>
  <c r="AC9" i="39"/>
  <c r="W9" i="39"/>
  <c r="AC40" i="39"/>
  <c r="W40" i="39"/>
  <c r="H45" i="39"/>
  <c r="J45" i="39"/>
  <c r="W45" i="39" s="1"/>
  <c r="F45" i="39"/>
  <c r="AA31" i="35"/>
  <c r="S31" i="35"/>
  <c r="H35" i="39"/>
  <c r="J35" i="39"/>
  <c r="AC35" i="39" s="1"/>
  <c r="F35" i="39"/>
  <c r="BL584" i="3"/>
  <c r="BA584" i="3"/>
  <c r="AZ584" i="3" s="1"/>
  <c r="BL582" i="3"/>
  <c r="BL581" i="3"/>
  <c r="BA581" i="3"/>
  <c r="BL580" i="3"/>
  <c r="BA580" i="3"/>
  <c r="BL579" i="3"/>
  <c r="BA579" i="3"/>
  <c r="AZ579" i="3" s="1"/>
  <c r="BA578" i="3"/>
  <c r="BA577" i="3"/>
  <c r="AZ577" i="3" s="1"/>
  <c r="BI5" i="3"/>
  <c r="BA576" i="3"/>
  <c r="AZ576" i="3" s="1"/>
  <c r="BL575" i="3"/>
  <c r="AZ575" i="3" s="1"/>
  <c r="BL574" i="3"/>
  <c r="AZ574" i="3" s="1"/>
  <c r="BH5" i="3"/>
  <c r="G574" i="3"/>
  <c r="H5" i="3"/>
  <c r="BA573" i="3"/>
  <c r="BL572" i="3"/>
  <c r="BP5" i="3"/>
  <c r="G29" i="6" s="1"/>
  <c r="BG5" i="3"/>
  <c r="BA572" i="3"/>
  <c r="BL571" i="3"/>
  <c r="BA571" i="3"/>
  <c r="BS5" i="3"/>
  <c r="BL570" i="3"/>
  <c r="BO5" i="3"/>
  <c r="F29" i="6" s="1"/>
  <c r="BF5" i="3"/>
  <c r="BA570" i="3"/>
  <c r="AZ570" i="3" s="1"/>
  <c r="AZ380" i="3"/>
  <c r="AZ341" i="3"/>
  <c r="AZ306" i="3"/>
  <c r="AZ513" i="3"/>
  <c r="AZ582" i="3"/>
  <c r="AZ502" i="3"/>
  <c r="U30" i="21"/>
  <c r="AB30" i="21"/>
  <c r="U17" i="34"/>
  <c r="AB17" i="34"/>
  <c r="U38" i="21"/>
  <c r="AB38" i="21"/>
  <c r="BA587" i="3"/>
  <c r="BL585" i="3"/>
  <c r="BA585" i="3"/>
  <c r="AZ585" i="3" s="1"/>
  <c r="F30" i="21"/>
  <c r="J30" i="21"/>
  <c r="AC23" i="39"/>
  <c r="W23" i="39"/>
  <c r="U19" i="40"/>
  <c r="AB19" i="40"/>
  <c r="G521" i="3"/>
  <c r="AC5" i="3"/>
  <c r="AZ520" i="3"/>
  <c r="AA44" i="34"/>
  <c r="S44" i="34"/>
  <c r="W36" i="34"/>
  <c r="AC36" i="34"/>
  <c r="S29" i="35"/>
  <c r="AA29" i="35"/>
  <c r="J27" i="21"/>
  <c r="H27" i="21"/>
  <c r="F27" i="21"/>
  <c r="F9" i="33"/>
  <c r="AA9" i="33" s="1"/>
  <c r="J9" i="33"/>
  <c r="F9" i="34"/>
  <c r="AA9" i="34" s="1"/>
  <c r="J9" i="34"/>
  <c r="AC31" i="40"/>
  <c r="W31" i="40"/>
  <c r="H38" i="40"/>
  <c r="F38" i="40"/>
  <c r="J38" i="40"/>
  <c r="U13" i="37"/>
  <c r="AZ357" i="3"/>
  <c r="AZ322" i="3"/>
  <c r="AZ313" i="3"/>
  <c r="AZ164" i="3"/>
  <c r="AZ394" i="3"/>
  <c r="AA25" i="21"/>
  <c r="W44" i="33"/>
  <c r="AZ519" i="3"/>
  <c r="AZ531" i="3"/>
  <c r="BL573" i="3"/>
  <c r="AZ573" i="3" s="1"/>
  <c r="BL583" i="3"/>
  <c r="AZ583" i="3" s="1"/>
  <c r="AZ568" i="3"/>
  <c r="AA14" i="34"/>
  <c r="F24" i="36"/>
  <c r="BL550" i="3"/>
  <c r="AZ462" i="3"/>
  <c r="AZ334" i="3"/>
  <c r="AZ347" i="3"/>
  <c r="W44" i="21"/>
  <c r="W47" i="34"/>
  <c r="AZ523" i="3"/>
  <c r="AZ547" i="3"/>
  <c r="AZ516" i="3"/>
  <c r="AC11" i="35"/>
  <c r="S38" i="33"/>
  <c r="S40" i="21"/>
  <c r="AB39" i="40"/>
  <c r="U35" i="33"/>
  <c r="G585" i="3"/>
  <c r="BL587" i="3"/>
  <c r="BL586" i="3"/>
  <c r="AZ586" i="3" s="1"/>
  <c r="B75" i="43"/>
  <c r="H23" i="35"/>
  <c r="J9" i="36"/>
  <c r="H24" i="36"/>
  <c r="G552" i="3"/>
  <c r="AZ469" i="3"/>
  <c r="AZ487" i="3"/>
  <c r="AZ539" i="3"/>
  <c r="AZ529" i="3"/>
  <c r="AZ537" i="3"/>
  <c r="AZ518" i="3"/>
  <c r="F12" i="35"/>
  <c r="J12" i="35"/>
  <c r="AB30" i="37"/>
  <c r="U30" i="37"/>
  <c r="H44" i="39"/>
  <c r="J44" i="39"/>
  <c r="AZ419" i="3"/>
  <c r="BL439" i="3"/>
  <c r="BL456" i="3"/>
  <c r="BL473" i="3"/>
  <c r="AZ473" i="3" s="1"/>
  <c r="BL474" i="3"/>
  <c r="BA482" i="3"/>
  <c r="BA484" i="3"/>
  <c r="AZ484" i="3" s="1"/>
  <c r="BA303" i="3"/>
  <c r="AZ303" i="3" s="1"/>
  <c r="BA392" i="3"/>
  <c r="AZ392" i="3" s="1"/>
  <c r="BA210" i="3"/>
  <c r="AZ210" i="3" s="1"/>
  <c r="BL210" i="3"/>
  <c r="BA212" i="3"/>
  <c r="G587" i="3"/>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85" i="3"/>
  <c r="BA397" i="3"/>
  <c r="BL397" i="3"/>
  <c r="G218" i="3"/>
  <c r="BL398" i="3"/>
  <c r="G402" i="3"/>
  <c r="BL403" i="3"/>
  <c r="AZ403" i="3" s="1"/>
  <c r="G405" i="3"/>
  <c r="G406" i="3"/>
  <c r="BA408" i="3"/>
  <c r="AZ408" i="3" s="1"/>
  <c r="BA409" i="3"/>
  <c r="AZ409" i="3" s="1"/>
  <c r="BA411" i="3"/>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G486" i="3"/>
  <c r="G488" i="3"/>
  <c r="BL317" i="3"/>
  <c r="G318" i="3"/>
  <c r="BA349" i="3"/>
  <c r="AZ349" i="3" s="1"/>
  <c r="BA353" i="3"/>
  <c r="BL353" i="3"/>
  <c r="BA358" i="3"/>
  <c r="AZ358" i="3" s="1"/>
  <c r="BA386" i="3"/>
  <c r="AZ386" i="3" s="1"/>
  <c r="BA218" i="3"/>
  <c r="BL218" i="3"/>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AZ459" i="3"/>
  <c r="BA460" i="3"/>
  <c r="AZ460" i="3" s="1"/>
  <c r="BA461" i="3"/>
  <c r="BL464" i="3"/>
  <c r="AZ464" i="3" s="1"/>
  <c r="BL466" i="3"/>
  <c r="AZ466" i="3" s="1"/>
  <c r="G468" i="3"/>
  <c r="AZ483" i="3"/>
  <c r="G307" i="3"/>
  <c r="BA315" i="3"/>
  <c r="AZ315" i="3" s="1"/>
  <c r="BA333" i="3"/>
  <c r="BL346" i="3"/>
  <c r="AZ346" i="3" s="1"/>
  <c r="G349" i="3"/>
  <c r="BL359" i="3"/>
  <c r="AZ359" i="3" s="1"/>
  <c r="G364" i="3"/>
  <c r="BA367" i="3"/>
  <c r="AZ367" i="3" s="1"/>
  <c r="BA370" i="3"/>
  <c r="AZ370" i="3" s="1"/>
  <c r="BA225"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BL149" i="3"/>
  <c r="AZ149" i="3" s="1"/>
  <c r="BL150" i="3"/>
  <c r="G151" i="3"/>
  <c r="BA152" i="3"/>
  <c r="AZ152" i="3" s="1"/>
  <c r="BA154" i="3"/>
  <c r="AZ154" i="3" s="1"/>
  <c r="AZ302" i="3"/>
  <c r="AZ125" i="3"/>
  <c r="BA157" i="3"/>
  <c r="AZ157" i="3" s="1"/>
  <c r="BL181" i="3"/>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BA156" i="3"/>
  <c r="AZ156" i="3" s="1"/>
  <c r="BA160" i="3"/>
  <c r="AZ160" i="3" s="1"/>
  <c r="G162" i="3"/>
  <c r="BL162" i="3"/>
  <c r="AZ162" i="3" s="1"/>
  <c r="BA177" i="3"/>
  <c r="AZ177" i="3" s="1"/>
  <c r="G190" i="3"/>
  <c r="BL198"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BL292" i="3"/>
  <c r="BA294" i="3"/>
  <c r="AZ294" i="3" s="1"/>
  <c r="BL295" i="3"/>
  <c r="BA298" i="3"/>
  <c r="AZ298" i="3" s="1"/>
  <c r="BL301" i="3"/>
  <c r="AZ301" i="3" s="1"/>
  <c r="BL302" i="3"/>
  <c r="BA114" i="3"/>
  <c r="BL123" i="3"/>
  <c r="AZ123" i="3" s="1"/>
  <c r="BA128" i="3"/>
  <c r="AZ128" i="3" s="1"/>
  <c r="BL134" i="3"/>
  <c r="BL137" i="3"/>
  <c r="AZ137" i="3" s="1"/>
  <c r="BA145" i="3"/>
  <c r="BA164" i="3"/>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BA38" i="3"/>
  <c r="BA41" i="3"/>
  <c r="BA42" i="3"/>
  <c r="BL48" i="3"/>
  <c r="BA51" i="3"/>
  <c r="BL56" i="3"/>
  <c r="BA58" i="3"/>
  <c r="BL59" i="3"/>
  <c r="BL60" i="3"/>
  <c r="BA61" i="3"/>
  <c r="BL69" i="3"/>
  <c r="AZ69" i="3" s="1"/>
  <c r="G70" i="3"/>
  <c r="BL70" i="3"/>
  <c r="AZ70" i="3" s="1"/>
  <c r="BL71" i="3"/>
  <c r="BL72" i="3"/>
  <c r="AZ72" i="3" s="1"/>
  <c r="G74" i="3"/>
  <c r="BA75" i="3"/>
  <c r="BL86" i="3"/>
  <c r="AZ86" i="3" s="1"/>
  <c r="G87" i="3"/>
  <c r="G93" i="3"/>
  <c r="BA98" i="3"/>
  <c r="BL103" i="3"/>
  <c r="G104" i="3"/>
  <c r="W21" i="21"/>
  <c r="P65" i="71"/>
  <c r="P66" i="71"/>
  <c r="C47" i="71"/>
  <c r="D47" i="71" s="1"/>
  <c r="D46" i="71"/>
  <c r="C67" i="71"/>
  <c r="T68" i="71"/>
  <c r="O68" i="71"/>
  <c r="T76" i="71"/>
  <c r="D76" i="71"/>
  <c r="C75" i="71"/>
  <c r="Y27" i="71"/>
  <c r="Z27" i="71" s="1"/>
  <c r="Y26" i="71"/>
  <c r="Z26" i="71" s="1"/>
  <c r="AA3" i="7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G27" i="3"/>
  <c r="BA27" i="3"/>
  <c r="G30" i="3"/>
  <c r="BL30" i="3"/>
  <c r="BL31" i="3"/>
  <c r="G35" i="3"/>
  <c r="G36" i="3"/>
  <c r="G40" i="3"/>
  <c r="BL40" i="3"/>
  <c r="BL41" i="3"/>
  <c r="G45" i="3"/>
  <c r="BL45" i="3"/>
  <c r="AZ45" i="3" s="1"/>
  <c r="BA48" i="3"/>
  <c r="BA49" i="3"/>
  <c r="AZ49" i="3" s="1"/>
  <c r="BL64" i="3"/>
  <c r="G65" i="3"/>
  <c r="BL65" i="3"/>
  <c r="BL66" i="3"/>
  <c r="BL67" i="3"/>
  <c r="AZ67" i="3" s="1"/>
  <c r="G69" i="3"/>
  <c r="BL73" i="3"/>
  <c r="BA74" i="3"/>
  <c r="BL79" i="3"/>
  <c r="BL81" i="3"/>
  <c r="BA82" i="3"/>
  <c r="AZ82" i="3" s="1"/>
  <c r="BL83" i="3"/>
  <c r="G86" i="3"/>
  <c r="BA87" i="3"/>
  <c r="BL101" i="3"/>
  <c r="BL102" i="3"/>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AZ52" i="3"/>
  <c r="AZ65" i="3"/>
  <c r="AZ103" i="3"/>
  <c r="AC25" i="40"/>
  <c r="U21" i="33"/>
  <c r="AB21" i="33"/>
  <c r="C32" i="71"/>
  <c r="C86" i="71"/>
  <c r="D86" i="71" s="1"/>
  <c r="D87" i="71"/>
  <c r="Y25" i="71"/>
  <c r="Z25" i="71" s="1"/>
  <c r="C36" i="71"/>
  <c r="D35" i="71"/>
  <c r="AB32" i="71"/>
  <c r="Y35" i="71"/>
  <c r="Z35" i="71" s="1"/>
  <c r="S80" i="71"/>
  <c r="B79" i="71"/>
  <c r="B78" i="71" s="1"/>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BL54" i="3"/>
  <c r="BL55" i="3"/>
  <c r="AZ55" i="3" s="1"/>
  <c r="G57" i="3"/>
  <c r="G58" i="3"/>
  <c r="BA59" i="3"/>
  <c r="AZ59" i="3" s="1"/>
  <c r="G61" i="3"/>
  <c r="BL61" i="3"/>
  <c r="G64" i="3"/>
  <c r="BA64" i="3"/>
  <c r="AZ64" i="3" s="1"/>
  <c r="BA68" i="3"/>
  <c r="BL74" i="3"/>
  <c r="G75" i="3"/>
  <c r="BL75" i="3"/>
  <c r="BA80" i="3"/>
  <c r="BL84" i="3"/>
  <c r="BA91" i="3"/>
  <c r="AZ91" i="3" s="1"/>
  <c r="BL93" i="3"/>
  <c r="G95" i="3"/>
  <c r="G96" i="3"/>
  <c r="G106" i="3"/>
  <c r="BL106" i="3"/>
  <c r="BA108" i="3"/>
  <c r="AZ108" i="3" s="1"/>
  <c r="D43" i="71"/>
  <c r="AA28" i="71"/>
  <c r="C51" i="71"/>
  <c r="E39" i="71"/>
  <c r="E40" i="71" s="1"/>
  <c r="U40" i="71" s="1"/>
  <c r="Y37" i="71"/>
  <c r="Z37" i="71" s="1"/>
  <c r="F66" i="71"/>
  <c r="Q67" i="71"/>
  <c r="X25" i="71"/>
  <c r="V24" i="71"/>
  <c r="E23" i="71"/>
  <c r="E22" i="71" s="1"/>
  <c r="E21" i="71" s="1"/>
  <c r="E20" i="71" s="1"/>
  <c r="BL111" i="3"/>
  <c r="AA27" i="71"/>
  <c r="S28" i="71"/>
  <c r="C83" i="71"/>
  <c r="C79" i="71"/>
  <c r="C71" i="71"/>
  <c r="C39" i="71"/>
  <c r="Y28" i="71"/>
  <c r="Z28" i="71" s="1"/>
  <c r="Y30" i="71"/>
  <c r="Z30" i="71" s="1"/>
  <c r="X28" i="71"/>
  <c r="X32" i="71"/>
  <c r="AB38" i="71"/>
  <c r="F75" i="71"/>
  <c r="F74" i="71"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90" i="3"/>
  <c r="BL94" i="3"/>
  <c r="AZ94" i="3" s="1"/>
  <c r="BA100" i="3"/>
  <c r="AZ100" i="3" s="1"/>
  <c r="BA102" i="3"/>
  <c r="AZ102" i="3" s="1"/>
  <c r="BL105" i="3"/>
  <c r="AZ105" i="3" s="1"/>
  <c r="G107" i="3"/>
  <c r="BL107" i="3"/>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15"/>
  <c r="C36" i="68"/>
  <c r="D9" i="68"/>
  <c r="D9" i="69"/>
  <c r="C36" i="69"/>
  <c r="M26" i="67"/>
  <c r="F6" i="67"/>
  <c r="F38" i="67"/>
  <c r="F37" i="67"/>
  <c r="F36" i="67"/>
  <c r="F40" i="67"/>
  <c r="M22" i="67"/>
  <c r="F9" i="67"/>
  <c r="C76" i="67"/>
  <c r="F16" i="67"/>
  <c r="F8" i="67"/>
  <c r="M24" i="67"/>
  <c r="L47" i="67"/>
  <c r="M29" i="67"/>
  <c r="J15" i="67"/>
  <c r="M9" i="67"/>
  <c r="M23" i="67"/>
  <c r="F42" i="67"/>
  <c r="M28" i="67"/>
  <c r="F7" i="67"/>
  <c r="F13" i="67"/>
  <c r="M8" i="67"/>
  <c r="F43" i="67"/>
  <c r="L48" i="67"/>
  <c r="F26" i="67"/>
  <c r="M6" i="67"/>
  <c r="D7" i="73"/>
  <c r="D5" i="73"/>
  <c r="C16" i="67"/>
  <c r="D3" i="73"/>
  <c r="D4" i="73"/>
  <c r="C16" i="15"/>
  <c r="F48" i="9" l="1"/>
  <c r="O52" i="9" s="1"/>
  <c r="F30" i="11"/>
  <c r="M18" i="67"/>
  <c r="M18" i="15"/>
  <c r="J18" i="15" s="1"/>
  <c r="F30" i="68"/>
  <c r="F52" i="9"/>
  <c r="F32" i="15"/>
  <c r="F60" i="15" s="1"/>
  <c r="F54" i="9"/>
  <c r="F28" i="67"/>
  <c r="C28" i="67" s="1"/>
  <c r="F32" i="67"/>
  <c r="F60" i="67" s="1"/>
  <c r="F28" i="15"/>
  <c r="C28" i="15" s="1"/>
  <c r="F31" i="12"/>
  <c r="C31" i="12" s="1"/>
  <c r="F30" i="69"/>
  <c r="D68" i="9"/>
  <c r="C27" i="67"/>
  <c r="J53" i="67"/>
  <c r="F1" i="67" s="1"/>
  <c r="J57" i="67"/>
  <c r="J55" i="67" s="1"/>
  <c r="J58" i="67" s="1"/>
  <c r="Q50" i="67" s="1"/>
  <c r="L56" i="67"/>
  <c r="I54" i="67"/>
  <c r="F71" i="67"/>
  <c r="M7" i="67"/>
  <c r="J6" i="67" s="1"/>
  <c r="F50" i="67"/>
  <c r="N59" i="67"/>
  <c r="L59" i="67"/>
  <c r="Q61" i="67" s="1"/>
  <c r="L58" i="67"/>
  <c r="Q60" i="67" s="1"/>
  <c r="M59" i="67"/>
  <c r="F51" i="67"/>
  <c r="Q71" i="67"/>
  <c r="F68" i="67"/>
  <c r="F64" i="67"/>
  <c r="F65" i="67"/>
  <c r="F66" i="67"/>
  <c r="C6" i="67"/>
  <c r="C32" i="67" s="1"/>
  <c r="E26" i="43"/>
  <c r="N370" i="46"/>
  <c r="F26" i="43"/>
  <c r="D26" i="43" s="1"/>
  <c r="C25" i="43" s="1"/>
  <c r="H26" i="43"/>
  <c r="G30" i="6"/>
  <c r="G31" i="6" s="1"/>
  <c r="G26" i="43"/>
  <c r="N94" i="46"/>
  <c r="P6" i="1"/>
  <c r="C13" i="12" s="1"/>
  <c r="Q16" i="1"/>
  <c r="E29" i="6"/>
  <c r="K15" i="1" s="1"/>
  <c r="K16" i="1" s="1"/>
  <c r="F30" i="6"/>
  <c r="C40" i="71"/>
  <c r="D39" i="71"/>
  <c r="C56" i="71"/>
  <c r="D55" i="71"/>
  <c r="AC9" i="36"/>
  <c r="W9" i="36"/>
  <c r="AA38" i="40"/>
  <c r="S38" i="40"/>
  <c r="AC9" i="34"/>
  <c r="W9" i="34"/>
  <c r="AA27" i="21"/>
  <c r="S27" i="21"/>
  <c r="AA35" i="39"/>
  <c r="S35" i="39"/>
  <c r="U25" i="37"/>
  <c r="AB25" i="37"/>
  <c r="S25" i="36"/>
  <c r="AA25" i="36"/>
  <c r="AC12" i="40"/>
  <c r="W12" i="40"/>
  <c r="W13" i="39"/>
  <c r="AC13" i="39"/>
  <c r="G5" i="3"/>
  <c r="B3" i="3" s="1"/>
  <c r="E554" i="3" s="1"/>
  <c r="C70" i="71"/>
  <c r="D70" i="71" s="1"/>
  <c r="D71" i="71"/>
  <c r="AZ25" i="3"/>
  <c r="C26" i="71"/>
  <c r="D26" i="71" s="1"/>
  <c r="D27" i="71"/>
  <c r="AZ182" i="3"/>
  <c r="AZ58" i="3"/>
  <c r="AZ31" i="3"/>
  <c r="AZ20" i="3"/>
  <c r="AZ121" i="3"/>
  <c r="AZ274" i="3"/>
  <c r="AZ249" i="3"/>
  <c r="AZ461" i="3"/>
  <c r="AZ435" i="3"/>
  <c r="AZ471" i="3"/>
  <c r="AZ397" i="3"/>
  <c r="AC44" i="39"/>
  <c r="W44" i="39"/>
  <c r="W12" i="35"/>
  <c r="AC12" i="35"/>
  <c r="U23" i="35"/>
  <c r="AB23" i="35"/>
  <c r="AB38" i="40"/>
  <c r="U38" i="40"/>
  <c r="AB27" i="21"/>
  <c r="U27" i="21"/>
  <c r="AZ572" i="3"/>
  <c r="AZ580" i="3"/>
  <c r="S45" i="39"/>
  <c r="AA45" i="39"/>
  <c r="AA33" i="36"/>
  <c r="S33" i="36"/>
  <c r="AB24" i="35"/>
  <c r="U24" i="35"/>
  <c r="AB26" i="33"/>
  <c r="U26" i="33"/>
  <c r="G16" i="1"/>
  <c r="F10" i="39" s="1"/>
  <c r="S10" i="39" s="1"/>
  <c r="D79" i="71"/>
  <c r="C78" i="71"/>
  <c r="D78" i="71" s="1"/>
  <c r="C52" i="71"/>
  <c r="D51" i="71"/>
  <c r="B19" i="71"/>
  <c r="B18" i="71" s="1"/>
  <c r="B17" i="71" s="1"/>
  <c r="B16" i="71" s="1"/>
  <c r="S20" i="71"/>
  <c r="AZ74" i="3"/>
  <c r="D75" i="71"/>
  <c r="C74" i="71"/>
  <c r="D74" i="71" s="1"/>
  <c r="AZ61" i="3"/>
  <c r="AZ41" i="3"/>
  <c r="AZ28" i="3"/>
  <c r="AB44" i="39"/>
  <c r="U44" i="39"/>
  <c r="S24" i="36"/>
  <c r="AA24" i="36"/>
  <c r="AC9" i="33"/>
  <c r="W9" i="33"/>
  <c r="W27" i="21"/>
  <c r="AC27" i="21"/>
  <c r="AC30" i="21"/>
  <c r="W30" i="21"/>
  <c r="AZ587" i="3"/>
  <c r="AB35" i="39"/>
  <c r="U35" i="39"/>
  <c r="AC25" i="37"/>
  <c r="W25" i="37"/>
  <c r="U33" i="36"/>
  <c r="AB33" i="36"/>
  <c r="AC24" i="35"/>
  <c r="W24" i="35"/>
  <c r="S26" i="33"/>
  <c r="AA26" i="33"/>
  <c r="D83" i="71"/>
  <c r="C82" i="71"/>
  <c r="D82" i="71" s="1"/>
  <c r="T32" i="71"/>
  <c r="D32" i="71"/>
  <c r="D23" i="71"/>
  <c r="C22" i="71"/>
  <c r="D67" i="71"/>
  <c r="C66" i="71"/>
  <c r="O67" i="71"/>
  <c r="AZ75" i="3"/>
  <c r="AZ51" i="3"/>
  <c r="AZ27" i="3"/>
  <c r="AZ178" i="3"/>
  <c r="AZ271" i="3"/>
  <c r="AZ251" i="3"/>
  <c r="AZ247" i="3"/>
  <c r="AZ218" i="3"/>
  <c r="AZ353" i="3"/>
  <c r="AZ411" i="3"/>
  <c r="AB24" i="36"/>
  <c r="U24" i="36"/>
  <c r="W38" i="40"/>
  <c r="AC38" i="40"/>
  <c r="S30" i="21"/>
  <c r="AA30" i="21"/>
  <c r="AZ571" i="3"/>
  <c r="AB45" i="39"/>
  <c r="U45" i="39"/>
  <c r="AA25" i="37"/>
  <c r="S25" i="37"/>
  <c r="AB25" i="36"/>
  <c r="U25" i="36"/>
  <c r="AB12" i="40"/>
  <c r="U12" i="40"/>
  <c r="U13" i="39"/>
  <c r="AB13" i="39"/>
  <c r="W26" i="33"/>
  <c r="AC26" i="33"/>
  <c r="J7" i="37"/>
  <c r="K1" i="73"/>
  <c r="R6" i="3"/>
  <c r="E442" i="3"/>
  <c r="E95" i="3"/>
  <c r="E363" i="3"/>
  <c r="E64" i="3"/>
  <c r="E103" i="3"/>
  <c r="E23" i="3"/>
  <c r="E67" i="3"/>
  <c r="E381" i="3"/>
  <c r="E264" i="3"/>
  <c r="E494" i="3"/>
  <c r="E281" i="3"/>
  <c r="E332" i="3"/>
  <c r="E75" i="3"/>
  <c r="E482" i="3"/>
  <c r="E129" i="3"/>
  <c r="E383" i="3"/>
  <c r="E86" i="3"/>
  <c r="E206" i="3"/>
  <c r="E113" i="3"/>
  <c r="E287" i="3"/>
  <c r="E308" i="3"/>
  <c r="E197" i="3"/>
  <c r="E525" i="3"/>
  <c r="T6" i="3"/>
  <c r="E456" i="3"/>
  <c r="E512" i="3"/>
  <c r="E408" i="3"/>
  <c r="E556" i="3"/>
  <c r="E497" i="3"/>
  <c r="E13" i="3"/>
  <c r="E420" i="3"/>
  <c r="E26" i="3"/>
  <c r="E41" i="3"/>
  <c r="E225" i="3"/>
  <c r="E356" i="3"/>
  <c r="E428" i="3"/>
  <c r="E190" i="3"/>
  <c r="E220" i="3"/>
  <c r="E324" i="3"/>
  <c r="E49" i="3"/>
  <c r="E232" i="3"/>
  <c r="E80" i="3"/>
  <c r="E326" i="3"/>
  <c r="E329" i="3"/>
  <c r="E16" i="3"/>
  <c r="E116" i="3"/>
  <c r="E105" i="3"/>
  <c r="E393" i="3"/>
  <c r="E543" i="3"/>
  <c r="E427" i="3"/>
  <c r="E507" i="3"/>
  <c r="E440" i="3"/>
  <c r="E376" i="3"/>
  <c r="AH6" i="3"/>
  <c r="E419" i="3"/>
  <c r="E401" i="3"/>
  <c r="E463" i="3"/>
  <c r="E108" i="3"/>
  <c r="E178" i="3"/>
  <c r="E226" i="3"/>
  <c r="E346" i="3"/>
  <c r="E372" i="3"/>
  <c r="L6" i="3"/>
  <c r="E540" i="3"/>
  <c r="E473" i="3"/>
  <c r="E15" i="3"/>
  <c r="E38" i="3"/>
  <c r="E170" i="3"/>
  <c r="E194" i="3"/>
  <c r="E299" i="3"/>
  <c r="E325" i="3"/>
  <c r="E392" i="3"/>
  <c r="E36" i="3"/>
  <c r="E112" i="3"/>
  <c r="E123" i="3"/>
  <c r="E340" i="3"/>
  <c r="E364" i="3"/>
  <c r="E20" i="3"/>
  <c r="E176" i="3"/>
  <c r="E265" i="3"/>
  <c r="E365" i="3"/>
  <c r="E165" i="3"/>
  <c r="E141" i="3"/>
  <c r="E552" i="3"/>
  <c r="E460" i="3"/>
  <c r="E90" i="3"/>
  <c r="E348" i="3"/>
  <c r="E521" i="3"/>
  <c r="E386" i="3"/>
  <c r="E24" i="3"/>
  <c r="E222" i="3"/>
  <c r="E244" i="3"/>
  <c r="E312" i="3"/>
  <c r="E500" i="3"/>
  <c r="E520" i="3"/>
  <c r="E110" i="3"/>
  <c r="E138" i="3"/>
  <c r="E354" i="3"/>
  <c r="E48" i="3"/>
  <c r="E323" i="3"/>
  <c r="E149" i="3"/>
  <c r="E464" i="3"/>
  <c r="E297" i="3"/>
  <c r="E375" i="3"/>
  <c r="E266" i="3"/>
  <c r="E341" i="3"/>
  <c r="E542" i="3"/>
  <c r="E374" i="3"/>
  <c r="E462" i="3"/>
  <c r="E163" i="3"/>
  <c r="E66" i="3"/>
  <c r="AD6" i="3"/>
  <c r="E459" i="3"/>
  <c r="E195" i="3"/>
  <c r="E154" i="3"/>
  <c r="E413" i="3"/>
  <c r="E187" i="3"/>
  <c r="E307" i="3"/>
  <c r="E127" i="3"/>
  <c r="E82" i="3"/>
  <c r="E136" i="3"/>
  <c r="E352" i="3"/>
  <c r="E157" i="3"/>
  <c r="E313" i="3"/>
  <c r="E529" i="3"/>
  <c r="E474" i="3"/>
  <c r="W6" i="3"/>
  <c r="E537" i="3"/>
  <c r="E471" i="3"/>
  <c r="E168" i="3"/>
  <c r="E208" i="3"/>
  <c r="E357" i="3"/>
  <c r="E93" i="3"/>
  <c r="E196" i="3"/>
  <c r="E207" i="3"/>
  <c r="U6" i="3"/>
  <c r="E411" i="3"/>
  <c r="E548" i="3"/>
  <c r="E547" i="3"/>
  <c r="E403" i="3"/>
  <c r="E71" i="3"/>
  <c r="E126" i="3"/>
  <c r="E291" i="3"/>
  <c r="E317" i="3"/>
  <c r="E53" i="3"/>
  <c r="E319" i="3"/>
  <c r="E501" i="3"/>
  <c r="E328" i="3"/>
  <c r="O6" i="3"/>
  <c r="E359"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F10" i="40"/>
  <c r="S10" i="40" s="1"/>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C49" i="15"/>
  <c r="M11" i="67"/>
  <c r="J10" i="67" s="1"/>
  <c r="F11" i="15"/>
  <c r="M11" i="15"/>
  <c r="J10" i="15" s="1"/>
  <c r="J5" i="15" s="1"/>
  <c r="J24" i="15" s="1"/>
  <c r="F11" i="67"/>
  <c r="F1" i="15"/>
  <c r="Q52" i="15"/>
  <c r="C32" i="15"/>
  <c r="Q60" i="15"/>
  <c r="Q73" i="15"/>
  <c r="Q74" i="15"/>
  <c r="Q61" i="15"/>
  <c r="AE11" i="1"/>
  <c r="AE9" i="1"/>
  <c r="F27" i="68"/>
  <c r="AE7" i="1"/>
  <c r="AE8" i="1"/>
  <c r="AE12" i="1"/>
  <c r="AE10" i="1"/>
  <c r="F27" i="69"/>
  <c r="AE6" i="1"/>
  <c r="G1" i="73"/>
  <c r="F41" i="67"/>
  <c r="C47" i="69" l="1"/>
  <c r="D45" i="69" s="1"/>
  <c r="Q74" i="67"/>
  <c r="C48" i="11"/>
  <c r="C30" i="11"/>
  <c r="Q52" i="67"/>
  <c r="J18" i="67"/>
  <c r="F48" i="69"/>
  <c r="C30" i="69"/>
  <c r="C48" i="69"/>
  <c r="F48" i="68"/>
  <c r="C30" i="68"/>
  <c r="C48" i="68"/>
  <c r="J5" i="67"/>
  <c r="J24" i="67" s="1"/>
  <c r="Q73" i="67"/>
  <c r="C49" i="67"/>
  <c r="F45" i="69"/>
  <c r="C29" i="69"/>
  <c r="D27" i="69" s="1"/>
  <c r="AA10" i="39"/>
  <c r="J10" i="39"/>
  <c r="W10" i="39" s="1"/>
  <c r="E283" i="3"/>
  <c r="E233" i="3"/>
  <c r="E249" i="3"/>
  <c r="E389" i="3"/>
  <c r="E539" i="3"/>
  <c r="E510" i="3"/>
  <c r="I3" i="6"/>
  <c r="E192" i="3"/>
  <c r="E425" i="3"/>
  <c r="E300" i="3"/>
  <c r="E33" i="3"/>
  <c r="E81" i="3"/>
  <c r="E21" i="3"/>
  <c r="E391" i="3"/>
  <c r="E96" i="3"/>
  <c r="E522" i="3"/>
  <c r="AF6" i="3"/>
  <c r="E205"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E576" i="3"/>
  <c r="E443" i="3"/>
  <c r="E285" i="3"/>
  <c r="E426" i="3"/>
  <c r="AM6" i="3"/>
  <c r="E92" i="3"/>
  <c r="E367" i="3"/>
  <c r="E145" i="3"/>
  <c r="E14" i="3"/>
  <c r="E54" i="3"/>
  <c r="E438" i="3"/>
  <c r="E224" i="3"/>
  <c r="E461" i="3"/>
  <c r="E504" i="3"/>
  <c r="E87" i="3"/>
  <c r="E179" i="3"/>
  <c r="E39" i="3"/>
  <c r="E584" i="3"/>
  <c r="E436" i="3"/>
  <c r="E284" i="3"/>
  <c r="E446" i="3"/>
  <c r="E416" i="3"/>
  <c r="E250" i="3"/>
  <c r="E58" i="3"/>
  <c r="E566" i="3"/>
  <c r="E524" i="3"/>
  <c r="E62" i="3"/>
  <c r="E289" i="3"/>
  <c r="AQ6" i="3"/>
  <c r="E234" i="3"/>
  <c r="E79" i="3"/>
  <c r="E60" i="3"/>
  <c r="E276" i="3"/>
  <c r="E25" i="3"/>
  <c r="J6" i="3"/>
  <c r="E422" i="3"/>
  <c r="E564" i="3"/>
  <c r="E188" i="3"/>
  <c r="E158" i="3"/>
  <c r="E35" i="3"/>
  <c r="E412" i="3"/>
  <c r="E115" i="3"/>
  <c r="E470" i="3"/>
  <c r="E451" i="3"/>
  <c r="E405" i="3"/>
  <c r="E140" i="3"/>
  <c r="E251" i="3"/>
  <c r="E174" i="3"/>
  <c r="E42" i="3"/>
  <c r="E513" i="3"/>
  <c r="E355" i="3"/>
  <c r="E310" i="3"/>
  <c r="E76" i="3"/>
  <c r="E56" i="3"/>
  <c r="E536" i="3"/>
  <c r="H10" i="39"/>
  <c r="U10" i="39" s="1"/>
  <c r="H10" i="40"/>
  <c r="AB10" i="40" s="1"/>
  <c r="J10" i="40"/>
  <c r="AC10" i="40" s="1"/>
  <c r="E3" i="6"/>
  <c r="E435" i="3"/>
  <c r="E541" i="3"/>
  <c r="E199" i="3"/>
  <c r="E173" i="3"/>
  <c r="E22" i="3"/>
  <c r="E102" i="3"/>
  <c r="E34" i="3"/>
  <c r="E235" i="3"/>
  <c r="E18" i="3"/>
  <c r="AL6" i="3"/>
  <c r="E198" i="3"/>
  <c r="E309" i="3"/>
  <c r="E63" i="3"/>
  <c r="E144" i="3"/>
  <c r="E492" i="3"/>
  <c r="E267" i="3"/>
  <c r="E409" i="3"/>
  <c r="E241" i="3"/>
  <c r="E417" i="3"/>
  <c r="E449" i="3"/>
  <c r="E575" i="3"/>
  <c r="E46" i="3"/>
  <c r="E484" i="3"/>
  <c r="E544" i="3"/>
  <c r="E292" i="3"/>
  <c r="E152" i="3"/>
  <c r="E479" i="3"/>
  <c r="E517" i="3"/>
  <c r="E255" i="3"/>
  <c r="E466" i="3"/>
  <c r="E499" i="3"/>
  <c r="E212" i="3"/>
  <c r="O65" i="71"/>
  <c r="D66" i="71"/>
  <c r="O66" i="71"/>
  <c r="T40" i="71"/>
  <c r="D40" i="71"/>
  <c r="E68" i="3"/>
  <c r="E184" i="3"/>
  <c r="E84" i="3"/>
  <c r="E371" i="3"/>
  <c r="E160" i="3"/>
  <c r="E467" i="3"/>
  <c r="E59" i="3"/>
  <c r="E349" i="3"/>
  <c r="E258" i="3"/>
  <c r="E37" i="3"/>
  <c r="E491" i="3"/>
  <c r="AP6" i="3"/>
  <c r="E430" i="3"/>
  <c r="E502" i="3"/>
  <c r="E286" i="3"/>
  <c r="D22" i="71"/>
  <c r="C21" i="71"/>
  <c r="T52" i="71"/>
  <c r="D52"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F41" i="15"/>
  <c r="M27" i="67"/>
  <c r="C48" i="67" l="1"/>
  <c r="F22" i="68"/>
  <c r="C23" i="68" s="1"/>
  <c r="F25" i="12"/>
  <c r="C26" i="12" s="1"/>
  <c r="D25" i="12" s="1"/>
  <c r="D116" i="43"/>
  <c r="AC6" i="3"/>
  <c r="E6" i="3" s="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D10" i="69"/>
  <c r="C17" i="67"/>
  <c r="C17" i="15"/>
  <c r="C14" i="67"/>
  <c r="C44" i="68" l="1"/>
  <c r="D41" i="68" s="1"/>
  <c r="C26" i="68"/>
  <c r="D22" i="68" s="1"/>
  <c r="F41" i="68"/>
  <c r="C44" i="11"/>
  <c r="D41" i="11" s="1"/>
  <c r="C26" i="11"/>
  <c r="D22" i="11" s="1"/>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20" i="9" s="1"/>
  <c r="C103" i="9" l="1"/>
  <c r="C102" i="9"/>
  <c r="C21" i="9"/>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9" i="1"/>
  <c r="AO7" i="1"/>
  <c r="AO12"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G21" i="9" s="1"/>
  <c r="D22" i="9"/>
  <c r="B3" i="70"/>
  <c r="D9" i="71"/>
  <c r="C8" i="71"/>
  <c r="C42" i="40"/>
  <c r="C43" i="40"/>
  <c r="E47" i="40"/>
  <c r="F47" i="40" s="1"/>
  <c r="E46" i="40"/>
  <c r="F46" i="40" s="1"/>
  <c r="I47" i="40"/>
  <c r="J47" i="40" s="1"/>
  <c r="D20" i="9"/>
  <c r="D103" i="9" l="1"/>
  <c r="G20" i="9"/>
  <c r="C32"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D7" i="71"/>
  <c r="C6" i="71"/>
  <c r="D35" i="9"/>
  <c r="C34" i="9" l="1"/>
  <c r="D6" i="71"/>
  <c r="C5" i="71"/>
  <c r="D5" i="71" s="1"/>
  <c r="M24" i="43" s="1"/>
  <c r="G118" i="9"/>
  <c r="G4" i="52" s="1"/>
  <c r="B52" i="72" s="1"/>
  <c r="F118" i="9"/>
  <c r="F119" i="9" s="1"/>
  <c r="F5" i="52" s="1"/>
  <c r="B53" i="72" s="1"/>
  <c r="I118" i="9"/>
  <c r="H118" i="9" s="1"/>
  <c r="D34" i="9"/>
  <c r="F4" i="52" l="1"/>
  <c r="B51" i="72" s="1"/>
  <c r="H119" i="9"/>
  <c r="H5" i="52" s="1"/>
  <c r="H4" i="52"/>
  <c r="C104" i="9"/>
  <c r="H101" i="9"/>
  <c r="E118" i="9"/>
  <c r="C105" i="9"/>
  <c r="I4" i="52"/>
  <c r="H102" i="9"/>
  <c r="R24" i="31" s="1"/>
  <c r="S24" i="31" l="1"/>
  <c r="R29" i="31"/>
  <c r="S29" i="31" s="1"/>
  <c r="R33" i="31"/>
  <c r="S33" i="31" s="1"/>
  <c r="R37" i="31"/>
  <c r="S37" i="31" s="1"/>
  <c r="R41" i="31"/>
  <c r="S41" i="31" s="1"/>
  <c r="R45" i="31"/>
  <c r="S45" i="31" s="1"/>
  <c r="R49" i="31"/>
  <c r="S49" i="31" s="1"/>
  <c r="R53" i="31"/>
  <c r="S53" i="31" s="1"/>
  <c r="R57" i="31"/>
  <c r="S57" i="31" s="1"/>
  <c r="R61" i="31"/>
  <c r="S61" i="31" s="1"/>
  <c r="R65" i="31"/>
  <c r="S65" i="31" s="1"/>
  <c r="R69" i="31"/>
  <c r="S69" i="31" s="1"/>
  <c r="R73" i="31"/>
  <c r="S73" i="31" s="1"/>
  <c r="R77" i="31"/>
  <c r="S77" i="31" s="1"/>
  <c r="R81" i="31"/>
  <c r="S81" i="31" s="1"/>
  <c r="R85" i="31"/>
  <c r="S85" i="31" s="1"/>
  <c r="R25" i="31"/>
  <c r="S25" i="31" s="1"/>
  <c r="R31" i="31"/>
  <c r="S31" i="31" s="1"/>
  <c r="R26" i="31"/>
  <c r="S26"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86" i="31"/>
  <c r="S86" i="31" s="1"/>
  <c r="R39" i="31"/>
  <c r="S39" i="31" s="1"/>
  <c r="R43" i="31"/>
  <c r="S43" i="31" s="1"/>
  <c r="R51" i="31"/>
  <c r="S51" i="31" s="1"/>
  <c r="R55" i="31"/>
  <c r="S55" i="31" s="1"/>
  <c r="R63" i="31"/>
  <c r="S63" i="31" s="1"/>
  <c r="R71" i="31"/>
  <c r="S71" i="31" s="1"/>
  <c r="R79" i="31"/>
  <c r="S79" i="31" s="1"/>
  <c r="R27" i="31"/>
  <c r="S27" i="31" s="1"/>
  <c r="R28" i="31"/>
  <c r="S28" i="31" s="1"/>
  <c r="R32" i="3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84" i="31"/>
  <c r="S84" i="31" s="1"/>
  <c r="R35" i="31"/>
  <c r="S35" i="31" s="1"/>
  <c r="R47" i="31"/>
  <c r="S47" i="31" s="1"/>
  <c r="R59" i="31"/>
  <c r="S59" i="31" s="1"/>
  <c r="R67" i="31"/>
  <c r="S67" i="31" s="1"/>
  <c r="R75" i="31"/>
  <c r="S75" i="31" s="1"/>
  <c r="R83" i="31"/>
  <c r="S83" i="31" s="1"/>
  <c r="D118" i="9"/>
  <c r="E4" i="52"/>
  <c r="B48" i="72" s="1"/>
  <c r="D7" i="53"/>
  <c r="B21" i="72" s="1"/>
  <c r="M48" i="9"/>
  <c r="D5" i="53"/>
  <c r="D45" i="9"/>
  <c r="H107" i="9"/>
  <c r="S22" i="31" l="1"/>
  <c r="D14" i="74" s="1"/>
  <c r="G14" i="74" s="1"/>
  <c r="B6" i="74" s="1"/>
  <c r="D6" i="74" s="1"/>
  <c r="C93" i="9"/>
  <c r="C86" i="9" s="1"/>
  <c r="C72" i="9"/>
  <c r="C78" i="9"/>
  <c r="C73" i="9" s="1"/>
  <c r="D53" i="9"/>
  <c r="C64" i="9"/>
  <c r="C63" i="9" s="1"/>
  <c r="C67" i="9" s="1"/>
  <c r="D52" i="9"/>
  <c r="D55" i="9"/>
  <c r="M53" i="9" s="1"/>
  <c r="C85" i="9"/>
  <c r="D122" i="9"/>
  <c r="D13" i="53"/>
  <c r="H108" i="9"/>
  <c r="M49" i="9"/>
  <c r="B20" i="72"/>
  <c r="D6" i="53"/>
  <c r="B22" i="72" s="1"/>
  <c r="D4" i="52"/>
  <c r="B47" i="72" s="1"/>
  <c r="D119" i="9"/>
  <c r="D5" i="52" s="1"/>
  <c r="B49" i="72" s="1"/>
  <c r="F14" i="74" l="1"/>
  <c r="E14" i="74"/>
  <c r="B5" i="74"/>
  <c r="C95" i="9"/>
  <c r="C96" i="9" s="1"/>
  <c r="E96" i="9" s="1"/>
  <c r="E97" i="9" s="1"/>
  <c r="B20" i="31"/>
  <c r="B21" i="31" s="1"/>
  <c r="R22" i="31"/>
  <c r="L64" i="9"/>
  <c r="M64" i="9" s="1"/>
  <c r="L66" i="9"/>
  <c r="M66" i="9" s="1"/>
  <c r="L68" i="9"/>
  <c r="M68" i="9" s="1"/>
  <c r="L63" i="9"/>
  <c r="M63" i="9" s="1"/>
  <c r="L67" i="9"/>
  <c r="M67" i="9" s="1"/>
  <c r="L65" i="9"/>
  <c r="M65" i="9" s="1"/>
  <c r="D15" i="53"/>
  <c r="B31" i="72" s="1"/>
  <c r="C6" i="74"/>
  <c r="C79" i="9"/>
  <c r="B30" i="72"/>
  <c r="D14" i="53"/>
  <c r="B32" i="72" s="1"/>
  <c r="D123" i="9"/>
  <c r="D9" i="52" s="1"/>
  <c r="D8" i="52"/>
  <c r="D59" i="9"/>
  <c r="M55" i="9" s="1"/>
  <c r="C68" i="9"/>
  <c r="D54" i="9" s="1"/>
  <c r="D5" i="74" l="1"/>
  <c r="C5" i="74"/>
  <c r="C97" i="9"/>
  <c r="D58" i="9" s="1"/>
  <c r="D56" i="9" s="1"/>
  <c r="M54" i="9" s="1"/>
  <c r="N57" i="9" s="1"/>
  <c r="C80" i="9"/>
  <c r="E80" i="9" s="1"/>
  <c r="E81" i="9" s="1"/>
  <c r="M69" i="9"/>
  <c r="N69" i="9" s="1"/>
  <c r="C81" i="9" l="1"/>
  <c r="N58" i="9"/>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<sst xmlns="http://schemas.openxmlformats.org/spreadsheetml/2006/main" count="7970" uniqueCount="3553">
  <si>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</si>
  <si>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</si>
  <si>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</si>
  <si>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</si>
  <si>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</si>
  <si>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</si>
  <si>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</si>
  <si>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</si>
  <si>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</si>
  <si>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</si>
  <si>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</si>
  <si>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</si>
  <si>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</si>
  <si>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</si>
  <si>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</si>
  <si>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</si>
  <si>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</si>
  <si>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</si>
  <si>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</si>
  <si>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</si>
  <si>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</si>
  <si>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</si>
  <si>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</si>
  <si>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</si>
  <si>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</si>
  <si>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</si>
  <si>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</si>
  <si>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</si>
  <si>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</si>
  <si>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</si>
  <si>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</si>
  <si>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</si>
  <si>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</si>
  <si>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</si>
  <si>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</si>
  <si>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</si>
  <si>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</si>
  <si>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</si>
  <si>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</si>
  <si>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</si>
  <si>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</si>
  <si>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</si>
  <si>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</si>
  <si>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</si>
  <si>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</si>
  <si>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</si>
  <si>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</si>
  <si>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</si>
  <si>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</si>
  <si>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</si>
  <si>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</si>
  <si>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</si>
  <si>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</si>
  <si>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</si>
  <si>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</si>
  <si>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</si>
  <si>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</si>
  <si>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</si>
  <si>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</si>
  <si>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</si>
  <si>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</si>
  <si>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</si>
  <si>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</si>
  <si>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</si>
  <si>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</si>
  <si>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</si>
  <si>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</si>
  <si>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</si>
  <si>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</si>
  <si>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</si>
  <si>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</si>
  <si>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</si>
  <si>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</si>
  <si>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</si>
  <si>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</si>
  <si>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</si>
  <si>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</si>
  <si>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</si>
  <si>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</si>
  <si>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</si>
  <si>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</si>
  <si>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</si>
  <si>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</si>
  <si>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</si>
  <si>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</si>
  <si>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</si>
  <si>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</si>
  <si>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</si>
  <si>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</si>
  <si>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</si>
  <si>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</si>
  <si>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</si>
  <si>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</si>
  <si>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</si>
  <si>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</si>
  <si>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</si>
  <si>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</si>
  <si>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</si>
  <si>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</si>
  <si>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</si>
  <si>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</si>
  <si>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</si>
  <si>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</si>
  <si>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</si>
  <si>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</si>
  <si>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</si>
  <si>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</si>
  <si>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</si>
  <si>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</si>
  <si>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</si>
  <si>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</si>
  <si>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</si>
  <si>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</si>
  <si>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</si>
  <si>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</si>
  <si>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</si>
  <si>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</si>
  <si>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</si>
  <si>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</si>
  <si>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</si>
  <si>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</si>
  <si>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</si>
  <si>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</si>
  <si>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</si>
  <si>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</si>
  <si>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</si>
  <si>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</si>
  <si>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</si>
  <si>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</si>
  <si>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</si>
  <si>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</si>
  <si>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</si>
  <si>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</si>
  <si>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</si>
  <si>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</si>
  <si>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</si>
  <si>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</si>
  <si>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</si>
  <si>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</si>
  <si>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</si>
  <si>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</si>
  <si>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</si>
  <si>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</si>
  <si>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</si>
  <si>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</si>
  <si>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</si>
  <si>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</si>
  <si>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</si>
  <si>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</si>
  <si>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</si>
  <si>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</si>
  <si>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</si>
  <si>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</si>
  <si>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</si>
  <si>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</si>
  <si>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</si>
  <si>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</si>
  <si>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</si>
  <si>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</si>
  <si>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</si>
  <si>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</si>
  <si>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</si>
  <si>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</si>
  <si>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</si>
  <si>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</si>
  <si>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</si>
  <si>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</si>
  <si>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</si>
  <si>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</si>
  <si>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</si>
  <si>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</si>
  <si>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</si>
  <si>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</si>
  <si>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</si>
  <si>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</si>
  <si>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</si>
  <si>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</si>
  <si>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</si>
  <si>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</si>
  <si>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</si>
  <si>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</si>
  <si>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</si>
  <si>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</si>
  <si>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</si>
  <si>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</si>
  <si>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</si>
  <si>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</si>
  <si>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</si>
  <si>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</si>
  <si>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</si>
  <si>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</si>
  <si>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</si>
  <si>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</si>
  <si>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</si>
  <si>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</si>
  <si>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</si>
  <si>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</si>
  <si>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</si>
  <si>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</si>
  <si>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</si>
  <si>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</si>
  <si>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</si>
  <si>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</si>
  <si>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</si>
  <si>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</si>
  <si>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</si>
  <si>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</si>
  <si>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</si>
  <si>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</si>
  <si>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</si>
  <si>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</si>
  <si>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</si>
  <si>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</si>
  <si>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</si>
  <si>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</si>
  <si>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</si>
  <si>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</si>
  <si>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</si>
  <si>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</si>
  <si>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</si>
  <si>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</si>
  <si>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</si>
  <si>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</si>
  <si>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</si>
  <si>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</si>
  <si>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</si>
  <si>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</si>
  <si>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</si>
  <si>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</si>
  <si>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</si>
  <si>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</si>
  <si>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</si>
  <si>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</si>
  <si>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</si>
  <si>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</si>
  <si>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</si>
  <si>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</si>
  <si>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</si>
  <si>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</si>
  <si>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</si>
  <si>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</si>
  <si>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</si>
  <si>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</si>
  <si>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</si>
  <si>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</si>
  <si>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</si>
  <si>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</si>
  <si>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</si>
  <si>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</si>
  <si>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</si>
  <si>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</si>
  <si>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</si>
  <si>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</si>
  <si>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</si>
  <si>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</si>
  <si>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</si>
  <si>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</si>
  <si>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</si>
  <si>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</si>
  <si>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</si>
  <si>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</si>
  <si>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</si>
  <si>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</si>
  <si>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</si>
  <si>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</si>
  <si>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</si>
  <si>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</si>
  <si>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</si>
  <si>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</si>
  <si>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</si>
  <si>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</si>
  <si>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</si>
  <si>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</si>
  <si>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</si>
  <si>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</si>
  <si>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</si>
  <si>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</si>
  <si>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</si>
  <si>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</si>
  <si>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</si>
  <si>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</si>
  <si>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</si>
  <si>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</si>
  <si>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</si>
  <si>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</si>
  <si>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</si>
  <si>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</si>
  <si>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</si>
  <si>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</si>
  <si>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</si>
  <si>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</si>
  <si>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</si>
  <si>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</si>
  <si>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</si>
  <si>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</si>
  <si>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</si>
  <si>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</si>
  <si>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</si>
  <si>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</si>
  <si>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</si>
  <si>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</si>
  <si>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</si>
  <si>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</si>
  <si>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</si>
  <si>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</si>
  <si>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</si>
  <si>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</si>
  <si>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</si>
  <si>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</si>
  <si>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</si>
  <si>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</si>
  <si>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</si>
  <si>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</si>
  <si>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</si>
  <si>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</si>
  <si>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</si>
  <si>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</si>
  <si>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</si>
  <si>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</si>
  <si>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</si>
  <si>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</si>
  <si>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</si>
  <si>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</si>
  <si>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</si>
  <si>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</si>
  <si>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</si>
  <si>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</si>
  <si>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</si>
  <si>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</si>
  <si>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</si>
  <si>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</si>
  <si>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</si>
  <si>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</si>
  <si>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</si>
  <si>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</si>
  <si>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</si>
  <si>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</si>
  <si>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</si>
  <si>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</si>
  <si>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</si>
  <si>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</si>
  <si>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</si>
  <si>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</si>
  <si>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</si>
  <si>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</si>
  <si>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</si>
  <si>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</si>
  <si>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</si>
  <si>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</si>
  <si>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</si>
  <si>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</si>
  <si>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</si>
  <si>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</si>
  <si>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</si>
  <si>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</si>
  <si>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</si>
  <si>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</si>
  <si>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</si>
  <si>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</si>
  <si>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</si>
  <si>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</si>
  <si>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</si>
  <si>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</si>
  <si>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</si>
  <si>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</si>
  <si>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</si>
  <si>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</si>
  <si>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</si>
  <si>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</si>
  <si>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</si>
  <si>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</si>
  <si>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</si>
  <si>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</si>
  <si>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</si>
  <si>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</si>
  <si>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</si>
  <si>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</si>
  <si>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</si>
  <si>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</si>
  <si>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</si>
  <si>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</si>
  <si>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</si>
  <si>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</si>
  <si>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</si>
  <si>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</si>
  <si>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</si>
  <si>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</si>
  <si>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</si>
  <si>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</si>
  <si>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</si>
  <si>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</si>
  <si>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</si>
  <si>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</si>
  <si>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</si>
  <si>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</si>
  <si>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</si>
  <si>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</si>
  <si>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</si>
  <si>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</si>
  <si>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</si>
  <si>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</si>
  <si>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</si>
  <si>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</si>
  <si>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</si>
  <si>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</si>
  <si>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</si>
  <si>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</si>
  <si>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</si>
  <si>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</si>
  <si>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</si>
  <si>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</si>
  <si>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</si>
  <si>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</si>
  <si>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</si>
  <si>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</si>
  <si>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</si>
  <si>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</si>
  <si>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</si>
  <si>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</si>
  <si>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</si>
  <si>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</si>
  <si>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</si>
  <si>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</si>
  <si>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</si>
  <si>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</si>
  <si>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</si>
  <si>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</si>
  <si>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</si>
  <si>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</si>
  <si>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</si>
  <si>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</si>
  <si>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</si>
  <si>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</si>
  <si>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</si>
  <si>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</si>
  <si>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</si>
  <si>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</si>
  <si>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</si>
  <si>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</si>
  <si>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</si>
  <si>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</si>
  <si>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</si>
  <si>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</si>
  <si>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</si>
  <si>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</si>
  <si>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</si>
  <si>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</si>
  <si>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</si>
  <si>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</si>
  <si>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</si>
  <si>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</si>
  <si>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</si>
  <si>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</si>
  <si>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</si>
  <si>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</si>
  <si>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</si>
  <si>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</si>
  <si>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</si>
  <si>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</si>
  <si>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</si>
  <si>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</si>
  <si>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</si>
  <si>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</si>
  <si>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</si>
  <si>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</si>
  <si>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</si>
  <si>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</si>
  <si>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</si>
  <si>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</si>
  <si>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</si>
  <si>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</si>
  <si>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</si>
  <si>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</si>
  <si>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</si>
  <si>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</si>
  <si>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</si>
  <si>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</si>
  <si>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</si>
  <si>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</si>
  <si>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</si>
  <si>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</si>
  <si>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</si>
  <si>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</si>
  <si>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</si>
  <si>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</si>
  <si>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</si>
  <si>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</si>
  <si>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</si>
  <si>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</si>
  <si>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</si>
  <si>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</si>
  <si>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</si>
  <si>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</si>
  <si>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</si>
  <si>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</si>
  <si>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</si>
  <si>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</si>
  <si>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</si>
  <si>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</si>
  <si>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</si>
  <si>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</si>
  <si>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</si>
  <si>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</si>
  <si>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</si>
  <si>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</si>
  <si>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</si>
  <si>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</si>
  <si>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</si>
  <si>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</si>
  <si>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</si>
  <si>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</si>
  <si>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</si>
  <si>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</si>
  <si>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</si>
  <si>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</si>
  <si>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</si>
  <si>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</si>
  <si>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</si>
  <si>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</si>
  <si>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</si>
  <si>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</si>
  <si>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</si>
  <si>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</si>
  <si>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</si>
  <si>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</si>
  <si>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</si>
  <si>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</si>
  <si>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</si>
  <si>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</si>
  <si>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</si>
  <si>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</si>
  <si>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</si>
  <si>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</si>
  <si>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</si>
  <si>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</si>
  <si>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</si>
  <si>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</si>
  <si>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</si>
  <si>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</si>
  <si>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</si>
  <si>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</si>
  <si>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</si>
  <si>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</si>
  <si>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</si>
  <si>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</si>
  <si>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</si>
  <si>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</si>
  <si>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</si>
  <si>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</si>
  <si>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</si>
  <si>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</si>
  <si>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</si>
  <si>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</si>
  <si>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</si>
  <si>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</si>
  <si>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</si>
  <si>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</si>
  <si>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</si>
  <si>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</si>
  <si>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</si>
  <si>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</si>
  <si>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</si>
  <si>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</si>
  <si>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</si>
  <si>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</si>
  <si>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</si>
  <si>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</si>
  <si>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</si>
  <si>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</si>
  <si>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</si>
  <si>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</si>
  <si>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</si>
  <si>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</si>
  <si>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</si>
  <si>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</si>
  <si>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</si>
  <si>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</si>
  <si>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</si>
  <si>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</si>
  <si>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</si>
  <si>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</si>
  <si>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</si>
  <si>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</si>
  <si>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</si>
  <si>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</si>
  <si>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</si>
  <si>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</si>
  <si>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</si>
  <si>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</si>
  <si>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</si>
  <si>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</si>
  <si>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</si>
  <si>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</si>
  <si>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</si>
  <si>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</si>
  <si>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</si>
  <si>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</si>
  <si>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</si>
  <si>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</si>
  <si>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</si>
  <si>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</si>
  <si>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</si>
  <si>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</si>
  <si>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</si>
  <si>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</si>
  <si>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</si>
  <si>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</si>
  <si>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</si>
  <si>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</si>
  <si>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</si>
  <si>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</si>
  <si>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</si>
  <si>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</si>
  <si>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</si>
  <si>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</si>
  <si>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</si>
  <si>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</si>
  <si>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</si>
  <si>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</si>
  <si>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</si>
  <si>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</si>
  <si>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</si>
  <si>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</si>
  <si>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</si>
  <si>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</si>
  <si>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</si>
  <si>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</si>
  <si>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</si>
  <si>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</si>
  <si>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</si>
  <si>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</si>
  <si>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</si>
  <si>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</si>
  <si>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</si>
  <si>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</si>
  <si>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</si>
  <si>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</si>
  <si>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</si>
  <si>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</si>
  <si>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</si>
  <si>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</si>
  <si>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</si>
  <si>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</si>
  <si>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</si>
  <si>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</si>
  <si>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</si>
  <si>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</si>
  <si>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</si>
  <si>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</si>
  <si>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</si>
  <si>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</si>
  <si>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</si>
  <si>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</si>
  <si>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</si>
  <si>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</si>
  <si>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</si>
  <si>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</si>
  <si>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</si>
  <si>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</si>
  <si>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</si>
  <si>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</si>
  <si>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</si>
  <si>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</si>
  <si>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</si>
  <si>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</si>
  <si>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</si>
  <si>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</si>
  <si>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</si>
  <si>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</si>
  <si>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</si>
  <si>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</si>
  <si>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</si>
  <si>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</si>
  <si>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</si>
  <si>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</si>
  <si>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</si>
  <si>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</si>
  <si>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</si>
  <si>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</si>
  <si>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</si>
  <si>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</si>
  <si>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</si>
  <si>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</si>
  <si>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</si>
  <si>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</si>
  <si>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</si>
  <si>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</si>
  <si>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</si>
  <si>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</si>
  <si>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</si>
  <si>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</si>
  <si>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</si>
  <si>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</si>
  <si>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</si>
  <si>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</si>
  <si>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</si>
  <si>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</si>
  <si>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</si>
  <si>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</si>
  <si>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</si>
  <si>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</si>
  <si>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</si>
  <si>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</si>
  <si>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</si>
  <si>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</si>
  <si>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</si>
  <si>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</si>
  <si>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</si>
  <si>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</si>
  <si>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</si>
  <si>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</si>
  <si>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</si>
  <si>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</si>
  <si>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</si>
  <si>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</si>
  <si>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</si>
  <si>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</si>
  <si>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</si>
  <si>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</si>
  <si>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</si>
  <si>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</si>
  <si>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</si>
  <si>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</si>
  <si>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</si>
  <si>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</si>
  <si>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</si>
  <si>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</si>
  <si>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</si>
  <si>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</si>
  <si>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</si>
  <si>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</si>
  <si>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</si>
  <si>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</si>
  <si>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</si>
  <si>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</si>
  <si>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</si>
  <si>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</si>
  <si>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</si>
  <si>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</si>
  <si>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</si>
  <si>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</si>
  <si>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</si>
  <si>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</si>
  <si>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</si>
  <si>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</si>
  <si>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</si>
  <si>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</si>
  <si>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</si>
  <si>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</si>
  <si>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</si>
  <si>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</si>
  <si>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</si>
  <si>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</si>
  <si>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</si>
  <si>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</si>
  <si>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</si>
  <si>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</si>
  <si>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</si>
  <si>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</si>
  <si>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</si>
  <si>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</si>
  <si>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</si>
  <si>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</si>
  <si>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</si>
  <si>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</si>
  <si>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</si>
  <si>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</si>
  <si>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</si>
  <si>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</si>
  <si>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</si>
  <si>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</si>
  <si>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</si>
  <si>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</si>
  <si>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</si>
  <si>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</si>
  <si>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</si>
  <si>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</si>
  <si>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</si>
  <si>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</si>
  <si>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</si>
  <si>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</si>
  <si>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</si>
  <si>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</si>
  <si>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</si>
  <si>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</si>
  <si>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</si>
  <si>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</si>
  <si>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</si>
  <si>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</si>
  <si>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</si>
  <si>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</si>
  <si>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</si>
  <si>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</si>
  <si>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</si>
  <si>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</si>
  <si>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</si>
  <si>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</si>
  <si>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</si>
  <si>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</si>
  <si>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</si>
  <si>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</si>
  <si>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</si>
  <si>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</si>
  <si>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</si>
  <si>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</si>
  <si>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</si>
  <si>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</si>
  <si>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</si>
  <si>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</si>
  <si>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</si>
  <si>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</si>
  <si>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</si>
  <si>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</si>
  <si>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</si>
  <si>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</si>
  <si>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</si>
  <si>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</si>
  <si>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</si>
  <si>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</si>
  <si>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</si>
  <si>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</si>
  <si>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</si>
  <si>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</si>
  <si>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</si>
  <si>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</si>
  <si>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</si>
  <si>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</si>
  <si>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</si>
  <si>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</si>
  <si>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</si>
  <si>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</si>
  <si>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</si>
  <si>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</si>
  <si>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</si>
  <si>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</si>
  <si>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</si>
  <si>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</si>
  <si>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</si>
  <si>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</si>
  <si>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</si>
  <si>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</si>
  <si>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</si>
  <si>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</si>
  <si>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</si>
  <si>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</si>
  <si>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</si>
  <si>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</si>
  <si>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</si>
  <si>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</si>
  <si>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</si>
  <si>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</si>
  <si>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</si>
  <si>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</si>
  <si>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</si>
  <si>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</si>
  <si>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</si>
  <si>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</si>
  <si>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</si>
  <si>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</si>
  <si>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</si>
  <si>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</si>
  <si>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</si>
  <si>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</si>
  <si>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</si>
  <si>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</si>
  <si>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</si>
  <si>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</si>
  <si>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</si>
  <si>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</si>
  <si>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</si>
  <si>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</si>
  <si>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</si>
  <si>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</si>
  <si>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</si>
  <si>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</si>
  <si>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</si>
  <si>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</si>
  <si>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</si>
  <si>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</si>
  <si>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</si>
  <si>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</si>
  <si>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</si>
  <si>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</si>
  <si>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</si>
  <si>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</si>
  <si>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</si>
  <si>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</si>
  <si>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</si>
  <si>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</si>
  <si>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</si>
  <si>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</si>
  <si>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</si>
  <si>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</si>
  <si>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</si>
  <si>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</si>
  <si>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</si>
  <si>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</si>
  <si>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</si>
  <si>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</si>
  <si>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</si>
  <si>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</si>
  <si>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</si>
  <si>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</si>
  <si>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</si>
  <si>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</si>
  <si>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</si>
  <si>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</si>
  <si>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</si>
  <si>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</si>
  <si>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</si>
  <si>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</si>
  <si>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</si>
  <si>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</si>
  <si>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</si>
  <si>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</si>
  <si>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</si>
  <si>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</si>
  <si>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</si>
  <si>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</si>
  <si>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</si>
  <si>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</si>
  <si>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</si>
  <si>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</si>
  <si>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</si>
  <si>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</si>
  <si>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</si>
  <si>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</si>
  <si>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</si>
  <si>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</si>
  <si>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</si>
  <si>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</si>
  <si>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</si>
  <si>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</si>
  <si>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</si>
  <si>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</si>
  <si>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</si>
  <si>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</si>
  <si>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</si>
  <si>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</si>
  <si>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</si>
  <si>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</si>
  <si>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</si>
  <si>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</si>
  <si>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</si>
  <si>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</si>
  <si>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</si>
  <si>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</si>
  <si>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</si>
  <si>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</si>
  <si>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</si>
  <si>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</si>
  <si>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</si>
  <si>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</si>
  <si>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</si>
  <si>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</si>
  <si>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</si>
  <si>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</si>
  <si>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</si>
  <si>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</si>
  <si>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</si>
  <si>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</si>
  <si>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</si>
  <si>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</si>
  <si>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</si>
  <si>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</si>
  <si>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</si>
  <si>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</si>
  <si>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</si>
  <si>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</si>
  <si>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</si>
  <si>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</si>
  <si>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</si>
  <si>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</si>
  <si>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</si>
  <si>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</si>
  <si>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</si>
  <si>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</si>
  <si>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</si>
  <si>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</si>
  <si>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</si>
  <si>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</si>
  <si>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</si>
  <si>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</si>
  <si>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</si>
  <si>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</si>
  <si>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</si>
  <si>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</si>
  <si>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</si>
  <si>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</si>
  <si>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</si>
  <si>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</si>
  <si>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</si>
  <si>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</si>
  <si>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</si>
  <si>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</si>
  <si>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</si>
  <si>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</si>
  <si>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</si>
  <si>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</si>
  <si>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</si>
  <si>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</si>
  <si>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</si>
  <si>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</si>
  <si>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</si>
  <si>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</si>
  <si>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</si>
  <si>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</si>
  <si>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</si>
  <si>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</si>
  <si>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</si>
  <si>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</si>
  <si>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</si>
  <si>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</si>
  <si>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</si>
  <si>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</si>
  <si>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</si>
  <si>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</si>
  <si>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</si>
  <si>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</si>
  <si>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</si>
  <si>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</si>
  <si>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</si>
  <si>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</si>
  <si>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</si>
  <si>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</si>
  <si>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</si>
  <si>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</si>
  <si>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</si>
  <si>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</si>
  <si>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</si>
  <si>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</si>
  <si>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</si>
  <si>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</si>
  <si>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</si>
  <si>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</si>
  <si>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</si>
  <si>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</si>
  <si>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</si>
  <si>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</si>
  <si>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</si>
  <si>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</si>
  <si>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</si>
  <si>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</si>
  <si>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</si>
  <si>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</si>
  <si>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</si>
  <si>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</si>
  <si>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</si>
  <si>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</si>
  <si>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</si>
  <si>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</si>
  <si>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</si>
  <si>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</si>
  <si>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</si>
  <si>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</si>
  <si>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</si>
  <si>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</si>
  <si>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</si>
  <si>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</si>
  <si>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</si>
  <si>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</si>
  <si>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</si>
  <si>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</si>
  <si>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</si>
  <si>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</si>
  <si>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</si>
  <si>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</si>
  <si>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</si>
  <si>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</si>
  <si>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</si>
  <si>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</si>
  <si>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</si>
  <si>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</si>
  <si>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</si>
  <si>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</si>
  <si>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</si>
  <si>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</si>
  <si>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</si>
  <si>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</si>
  <si>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</si>
  <si>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</si>
  <si>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</si>
  <si>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</si>
  <si>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</si>
  <si>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</si>
  <si>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</si>
  <si>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</si>
  <si>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</si>
  <si>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</si>
  <si>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</si>
  <si>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</si>
  <si>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</si>
  <si>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</si>
  <si>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</si>
  <si>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</si>
  <si>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</si>
  <si>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</si>
  <si>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</si>
  <si>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</si>
  <si>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</si>
  <si>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</si>
  <si>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</si>
  <si>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</si>
  <si>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</si>
  <si>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</si>
  <si>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</si>
  <si>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</si>
  <si>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</si>
  <si>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</si>
  <si>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</si>
  <si>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</si>
  <si>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</si>
  <si>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</si>
  <si>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</si>
  <si>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</si>
  <si>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</si>
  <si>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</si>
  <si>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</si>
  <si>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</si>
  <si>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</si>
  <si>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</si>
  <si>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</si>
  <si>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</si>
  <si>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</si>
  <si>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</si>
  <si>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</si>
  <si>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</si>
  <si>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</si>
  <si>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</si>
  <si>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</si>
  <si>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</si>
  <si>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</si>
  <si>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</si>
  <si>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</si>
  <si>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</si>
  <si>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</si>
  <si>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</si>
  <si>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</si>
  <si>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</si>
  <si>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</si>
  <si>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</si>
  <si>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</si>
  <si>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</si>
  <si>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</si>
  <si>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</si>
  <si>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</si>
  <si>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</si>
  <si>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</si>
  <si>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</si>
  <si>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</si>
  <si>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</si>
  <si>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</si>
  <si>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</si>
  <si>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</si>
  <si>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</si>
  <si>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</si>
  <si>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</si>
  <si>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</si>
  <si>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</si>
  <si>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</si>
  <si>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</si>
  <si>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</si>
  <si>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</si>
  <si>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</si>
  <si>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</si>
  <si>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</si>
  <si>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</si>
  <si>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</si>
  <si>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</si>
  <si>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</si>
  <si>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</si>
  <si>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</si>
  <si>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</si>
  <si>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</si>
  <si>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</si>
  <si>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</si>
  <si>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</si>
  <si>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</si>
  <si>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</si>
  <si>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</si>
  <si>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</si>
  <si>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</si>
  <si>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</si>
  <si>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</si>
  <si>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</si>
  <si>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</si>
  <si>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</si>
  <si>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</si>
  <si>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</si>
  <si>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</si>
  <si>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</si>
  <si>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</si>
  <si>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</si>
  <si>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</si>
  <si>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</si>
  <si>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</si>
  <si>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</si>
  <si>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</si>
  <si>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</si>
  <si>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</si>
  <si>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</si>
  <si>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</si>
  <si>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</si>
  <si>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</si>
  <si>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</si>
  <si>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</si>
  <si>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</si>
  <si>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</si>
  <si>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</si>
  <si>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</si>
  <si>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</si>
  <si>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</si>
  <si>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</si>
  <si>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</si>
  <si>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</si>
  <si>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</si>
  <si>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</si>
  <si>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</si>
  <si>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</si>
  <si>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</si>
  <si>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</si>
  <si>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</si>
  <si>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</si>
  <si>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</si>
  <si>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</si>
  <si>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</si>
  <si>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</si>
  <si>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</si>
  <si>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</si>
  <si>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</si>
  <si>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</si>
  <si>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</si>
  <si>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</si>
  <si>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</si>
  <si>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</si>
  <si>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</si>
  <si>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</si>
  <si>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</si>
  <si>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</si>
  <si>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</si>
  <si>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</si>
  <si>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</si>
  <si>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</si>
  <si>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</si>
  <si>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</si>
  <si>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</si>
  <si>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</si>
  <si>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</si>
  <si>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</si>
  <si>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</si>
  <si>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</si>
  <si>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</si>
  <si>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</si>
  <si>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</si>
  <si>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</si>
  <si>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</si>
  <si>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</si>
  <si>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</si>
  <si>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</si>
  <si>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</si>
  <si>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</si>
  <si>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</si>
  <si>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</si>
  <si>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</si>
  <si>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</si>
  <si>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</si>
  <si>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</si>
  <si>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</si>
  <si>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</si>
  <si>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</si>
  <si>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</si>
  <si>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</si>
  <si>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</si>
  <si>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</si>
  <si>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</si>
  <si>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</si>
  <si>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</si>
  <si>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</si>
  <si>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</si>
  <si>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</si>
  <si>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</si>
  <si>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</si>
  <si>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</si>
  <si>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</si>
  <si>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</si>
  <si>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</si>
  <si>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</si>
  <si>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</si>
  <si>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</si>
  <si>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</si>
  <si>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</si>
  <si>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</si>
  <si>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</si>
  <si>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</si>
  <si>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</si>
  <si>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</si>
  <si>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</si>
  <si>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</si>
  <si>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</si>
  <si>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</si>
  <si>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</si>
  <si>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</si>
  <si>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</si>
  <si>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</si>
  <si>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</si>
  <si>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</si>
  <si>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</si>
  <si>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</si>
  <si>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</si>
  <si>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</si>
  <si>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</si>
  <si>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</si>
  <si>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</si>
  <si>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</si>
  <si>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</si>
  <si>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</si>
  <si>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</si>
  <si>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</si>
  <si>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</si>
  <si>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</si>
  <si>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</si>
  <si>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</si>
  <si>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</si>
  <si>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</si>
  <si>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</si>
  <si>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</si>
  <si>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</si>
  <si>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</si>
  <si>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</si>
  <si>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</si>
  <si>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</si>
  <si>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</si>
  <si>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</si>
  <si>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</si>
  <si>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</si>
  <si>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</si>
  <si>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</si>
  <si>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</si>
  <si>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</si>
  <si>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</si>
  <si>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</si>
  <si>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</si>
  <si>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</si>
  <si>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</si>
  <si>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</si>
  <si>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</si>
  <si>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</si>
  <si>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</si>
  <si>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</si>
  <si>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</si>
  <si>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</si>
  <si>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</si>
  <si>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</si>
  <si>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</si>
  <si>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</si>
  <si>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</si>
  <si>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</si>
  <si>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</si>
  <si>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</si>
  <si>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</si>
  <si>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</si>
  <si>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</si>
  <si>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</si>
  <si>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</si>
  <si>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</si>
  <si>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</si>
  <si>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</si>
  <si>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</si>
  <si>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</si>
  <si>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</si>
  <si>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</si>
  <si>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</si>
  <si>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</si>
  <si>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</si>
  <si>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</si>
  <si>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</si>
  <si>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</si>
  <si>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</si>
  <si>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</si>
  <si>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</si>
  <si>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</si>
  <si>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</si>
  <si>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</si>
  <si>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</si>
  <si>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</si>
  <si>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</si>
  <si>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</si>
  <si>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</si>
  <si>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</si>
  <si>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</si>
  <si>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</si>
  <si>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</si>
  <si>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</si>
  <si>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</si>
  <si>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</si>
  <si>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</si>
  <si>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</si>
  <si>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</si>
  <si>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</si>
  <si>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</si>
  <si>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</si>
  <si>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</si>
  <si>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</si>
  <si>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</si>
  <si>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</si>
  <si>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</si>
  <si>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</si>
  <si>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</si>
  <si>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</si>
  <si>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</si>
  <si>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</si>
  <si>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</si>
  <si>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</si>
  <si>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</si>
  <si>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</si>
  <si>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</si>
  <si>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</si>
  <si>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</si>
  <si>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</si>
  <si>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</si>
  <si>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</si>
  <si>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</si>
  <si>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</si>
  <si>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</si>
  <si>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</si>
  <si>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</si>
  <si>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</si>
  <si>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</si>
  <si>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</si>
  <si>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</si>
  <si>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</si>
  <si>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</si>
  <si>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</si>
  <si>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</si>
  <si>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</si>
  <si>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</si>
  <si>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</si>
  <si>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</si>
  <si>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</si>
  <si>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</si>
  <si>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</si>
  <si>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</si>
  <si>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</si>
  <si>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</si>
  <si>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</si>
  <si>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</si>
  <si>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</si>
  <si>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</si>
  <si>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</si>
  <si>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</si>
  <si>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</si>
  <si>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</si>
  <si>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</si>
  <si>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</si>
  <si>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</si>
  <si>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</si>
  <si>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</si>
  <si>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</si>
  <si>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</si>
  <si>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</si>
  <si>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</si>
  <si>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</si>
  <si>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</si>
  <si>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</si>
  <si>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</si>
  <si>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</si>
  <si>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</si>
  <si>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</si>
  <si>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</si>
  <si>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</si>
  <si>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</si>
  <si>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</si>
  <si>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</si>
  <si>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</si>
  <si>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</si>
  <si>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</si>
  <si>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</si>
  <si>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</si>
  <si>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</si>
  <si>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</si>
  <si>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</si>
  <si>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</si>
  <si>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</si>
  <si>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</si>
  <si>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</si>
  <si>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</si>
  <si>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</si>
  <si>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</si>
  <si>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</si>
  <si>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</si>
  <si>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</si>
  <si>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</si>
  <si>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</si>
  <si>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</si>
  <si>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</si>
  <si>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</si>
  <si>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</si>
  <si>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</si>
  <si>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</si>
  <si>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</si>
  <si>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</si>
  <si>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</si>
  <si>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</si>
  <si>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</si>
  <si>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</si>
  <si>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</si>
  <si>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</si>
  <si>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</si>
  <si>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</si>
  <si>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</si>
  <si>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</si>
  <si>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</si>
  <si>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</si>
  <si>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</si>
  <si>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</si>
  <si>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</si>
  <si>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</si>
  <si>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</si>
  <si>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</si>
  <si>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</si>
  <si>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</si>
  <si>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</si>
  <si>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</si>
  <si>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</si>
  <si>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</si>
  <si>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</si>
  <si>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</si>
  <si>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</si>
  <si>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</si>
  <si>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</si>
  <si>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</si>
  <si>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</si>
  <si>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</si>
  <si>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</si>
  <si>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</si>
  <si>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</si>
  <si>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</si>
  <si>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</si>
  <si>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</si>
  <si>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</si>
  <si>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</si>
  <si>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</si>
  <si>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</si>
  <si>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</si>
  <si>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</si>
  <si>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</si>
  <si>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</si>
  <si>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</si>
  <si>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</si>
  <si>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</si>
  <si>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</si>
  <si>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</si>
  <si>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</si>
  <si>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</si>
  <si>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</si>
  <si>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</si>
  <si>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</si>
  <si>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</si>
  <si>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</si>
  <si>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</si>
  <si>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</si>
  <si>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</si>
  <si>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</si>
  <si>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</si>
  <si>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</si>
  <si>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</si>
  <si>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</si>
  <si>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</si>
  <si>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</si>
  <si>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</si>
  <si>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</si>
  <si>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</si>
  <si>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</si>
  <si>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</si>
  <si>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</si>
  <si>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</si>
  <si>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</si>
  <si>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</si>
  <si>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</si>
  <si>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</si>
  <si>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</si>
  <si>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</si>
  <si>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</si>
  <si>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</si>
  <si>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</si>
  <si>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</si>
  <si>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</si>
  <si>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</si>
  <si>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</si>
  <si>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</si>
  <si>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</si>
  <si>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</si>
  <si>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</si>
  <si>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</si>
  <si>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</si>
  <si>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</si>
  <si>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</si>
  <si>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</si>
  <si>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</si>
  <si>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</si>
  <si>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</si>
  <si>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</si>
  <si>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</si>
  <si>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</si>
  <si>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</si>
  <si>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</si>
  <si>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</si>
  <si>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</si>
  <si>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</si>
  <si>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</si>
  <si>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</si>
  <si>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</si>
  <si>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</si>
  <si>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</si>
  <si>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</si>
  <si>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</si>
  <si>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</si>
  <si>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</si>
  <si>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</si>
  <si>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</si>
  <si>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</si>
  <si>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</si>
  <si>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</si>
  <si>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</si>
  <si>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</si>
  <si>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</si>
  <si>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</si>
  <si>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</si>
  <si>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</si>
  <si>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</si>
  <si>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</si>
  <si>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</si>
  <si>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</si>
  <si>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</si>
  <si>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</si>
  <si>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</si>
  <si>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</si>
  <si>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</si>
  <si>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</si>
  <si>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</si>
  <si>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</si>
  <si>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</si>
  <si>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</si>
  <si>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</si>
  <si>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</si>
  <si>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</si>
  <si>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</si>
  <si>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</si>
  <si>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</si>
  <si>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</si>
  <si>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</si>
  <si>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</si>
  <si>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</si>
  <si>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</si>
  <si>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</si>
  <si>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</si>
  <si>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</si>
  <si>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</si>
  <si>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</si>
  <si>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</si>
  <si>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</si>
  <si>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</si>
  <si>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</si>
  <si>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</si>
  <si>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</si>
  <si>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</si>
  <si>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</si>
  <si>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</si>
  <si>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</si>
  <si>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</si>
  <si>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</si>
  <si>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</si>
  <si>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</si>
  <si>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</si>
  <si>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</si>
  <si>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</si>
  <si>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</si>
  <si>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</si>
  <si>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</si>
  <si>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</si>
  <si>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</si>
  <si>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</si>
  <si>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</si>
  <si>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</si>
  <si>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</si>
  <si>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</si>
  <si>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</si>
  <si>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</si>
  <si>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</si>
  <si>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</si>
  <si>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</si>
  <si>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</si>
  <si>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</si>
  <si>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</si>
  <si>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</si>
  <si>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</si>
  <si>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</si>
  <si>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</si>
  <si>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</si>
  <si>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</si>
  <si>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</si>
  <si>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</si>
  <si>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</si>
  <si>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</si>
  <si>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</si>
  <si>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</si>
  <si>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</si>
  <si>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</si>
  <si>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</si>
  <si>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</si>
  <si>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</si>
  <si>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</si>
  <si>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</si>
  <si>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</si>
  <si>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</si>
  <si>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</si>
  <si>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</si>
  <si>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</si>
  <si>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</si>
  <si>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</si>
  <si>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</si>
  <si>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</si>
  <si>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</si>
  <si>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</si>
  <si>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</si>
  <si>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</si>
  <si>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</si>
  <si>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</si>
  <si>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</si>
  <si>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</si>
  <si>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</si>
  <si>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</si>
  <si>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</si>
  <si>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</si>
  <si>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</si>
  <si>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</si>
  <si>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</si>
  <si>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</si>
  <si>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</si>
  <si>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</si>
  <si>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</si>
  <si>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</si>
  <si>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</si>
  <si>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</si>
  <si>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</si>
  <si>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</si>
  <si>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</si>
  <si>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</si>
  <si>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</si>
  <si>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</si>
  <si>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</si>
  <si>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</si>
  <si>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</si>
  <si>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</si>
  <si>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</si>
  <si>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</si>
  <si>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</si>
  <si>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</si>
  <si>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</si>
  <si>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</si>
  <si>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</si>
  <si>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</si>
  <si>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</si>
  <si>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</si>
  <si>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</si>
  <si>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</si>
  <si>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</si>
  <si>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</si>
  <si>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</si>
  <si>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</si>
  <si>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</si>
  <si>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</si>
  <si>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</si>
  <si>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</si>
  <si>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</si>
  <si>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</si>
  <si>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</si>
  <si>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</si>
  <si>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</si>
  <si>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</si>
  <si>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</si>
  <si>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</si>
  <si>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</si>
  <si>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</si>
  <si>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</si>
  <si>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</si>
  <si>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</si>
  <si>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</si>
  <si>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</si>
  <si>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</si>
  <si>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</si>
  <si>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</si>
  <si>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</si>
  <si>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</si>
  <si>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</si>
  <si>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</si>
  <si>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</si>
  <si>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</si>
  <si>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</si>
  <si>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</si>
  <si>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</si>
  <si>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</si>
  <si>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</si>
  <si>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</si>
  <si>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</si>
  <si>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</si>
  <si>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</si>
  <si>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</si>
  <si>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</si>
  <si>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</si>
  <si>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</si>
  <si>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</si>
  <si>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</si>
  <si>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</si>
  <si>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</si>
  <si>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</si>
  <si>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</si>
  <si>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</si>
  <si>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</si>
  <si>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</si>
  <si>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</si>
  <si>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</si>
  <si>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</si>
  <si>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</si>
  <si>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</si>
  <si>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</si>
  <si>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</si>
  <si>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</si>
  <si>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</si>
  <si>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</si>
  <si>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</si>
  <si>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</si>
  <si>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</si>
  <si>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</si>
  <si>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</si>
  <si>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</si>
  <si>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</si>
  <si>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</si>
  <si>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</si>
  <si>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</si>
  <si>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</si>
  <si>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</si>
  <si>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</si>
  <si>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</si>
  <si>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</si>
  <si>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</si>
  <si>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</si>
  <si>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</si>
  <si>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</si>
  <si>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</si>
  <si>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</si>
  <si>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</si>
  <si>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</si>
  <si>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</si>
  <si>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</si>
  <si>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</si>
  <si>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</si>
  <si>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</si>
  <si>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</si>
  <si>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</si>
  <si>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</si>
  <si>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</si>
  <si>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</si>
  <si>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</si>
  <si>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</si>
  <si>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</si>
  <si>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</si>
  <si>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</si>
  <si>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</si>
  <si>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</si>
  <si>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</si>
  <si>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</si>
  <si>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</si>
  <si>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</si>
  <si>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</si>
  <si>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</si>
  <si>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</si>
  <si>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</si>
  <si>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</si>
  <si>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</si>
  <si>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</si>
  <si>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</si>
  <si>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</si>
  <si>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</si>
  <si>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</si>
  <si>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</si>
  <si>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</si>
  <si>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</si>
  <si>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</si>
  <si>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</si>
  <si>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</si>
  <si>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</si>
  <si>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</si>
  <si>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</si>
  <si>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</si>
  <si>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</si>
  <si>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</si>
  <si>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</si>
  <si>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</si>
  <si>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</si>
  <si>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</si>
  <si>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</si>
  <si>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</si>
  <si>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</si>
  <si>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</si>
  <si>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</si>
  <si>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</si>
  <si>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</si>
  <si>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</si>
  <si>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</si>
  <si>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</si>
  <si>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</si>
  <si>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</si>
  <si>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</si>
  <si>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</si>
  <si>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</si>
  <si>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</si>
  <si>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</si>
  <si>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</si>
  <si>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</si>
  <si>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</si>
  <si>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</si>
  <si>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</si>
  <si>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</si>
  <si>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</si>
  <si>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</si>
  <si>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</si>
  <si>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</si>
  <si>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</si>
  <si>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</si>
  <si>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</si>
  <si>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</si>
  <si>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</si>
  <si>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</si>
  <si>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</si>
  <si>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</si>
  <si>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</si>
  <si>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</si>
  <si>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</si>
  <si>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</si>
  <si>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</si>
  <si>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</si>
  <si>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</si>
  <si>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</si>
  <si>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</si>
  <si>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</si>
  <si>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</si>
  <si>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</si>
  <si>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</si>
  <si>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</si>
  <si>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</si>
  <si>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</si>
  <si>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</si>
  <si>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</si>
  <si>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</si>
  <si>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</si>
  <si>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</si>
  <si>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</si>
  <si>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</si>
  <si>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</si>
  <si>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</si>
  <si>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</si>
  <si>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</si>
  <si>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</si>
  <si>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</si>
  <si>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</si>
  <si>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</si>
  <si>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</si>
  <si>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</si>
  <si>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</si>
  <si>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</si>
  <si>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</si>
  <si>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</si>
  <si>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</si>
  <si>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</si>
  <si>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</si>
  <si>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</si>
  <si>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</si>
  <si>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</si>
  <si>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</si>
  <si>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</si>
  <si>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</si>
  <si>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</si>
  <si>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</si>
  <si>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</si>
  <si>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</si>
  <si>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</si>
  <si>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</si>
  <si>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</si>
  <si>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</si>
  <si>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</si>
  <si>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</si>
  <si>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</si>
  <si>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</si>
  <si>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</si>
  <si>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</si>
  <si>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</si>
  <si>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</si>
  <si>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</si>
  <si>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</si>
  <si>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</si>
  <si>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</si>
  <si>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</si>
  <si>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</si>
  <si>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</si>
  <si>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</si>
  <si>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</si>
  <si>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</si>
  <si>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</si>
  <si>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</si>
  <si>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</si>
  <si>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</si>
  <si>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</si>
  <si>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</si>
  <si>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</si>
  <si>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</si>
  <si>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</si>
  <si>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</si>
  <si>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</si>
  <si>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</si>
  <si>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</si>
  <si>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</si>
  <si>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</si>
  <si>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</si>
  <si>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</si>
  <si>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</si>
  <si>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</si>
  <si>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</si>
  <si>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</si>
  <si>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</si>
  <si>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</si>
  <si>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</si>
  <si>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</si>
  <si>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</si>
  <si>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</si>
  <si>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</si>
  <si>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</si>
  <si>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</si>
  <si>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</si>
  <si>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</si>
  <si>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</si>
  <si>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</si>
  <si>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</si>
  <si>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</si>
  <si>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</si>
  <si>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</si>
  <si>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</si>
  <si>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</si>
  <si>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</si>
  <si>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</si>
  <si>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</si>
  <si>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</si>
  <si>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</si>
  <si>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</si>
  <si>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</si>
  <si>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</si>
  <si>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</si>
  <si>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</si>
  <si>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</si>
  <si>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</si>
  <si>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</si>
  <si>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</si>
  <si>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</si>
  <si>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</si>
  <si>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</si>
  <si>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</si>
  <si>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</si>
  <si>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</si>
  <si>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</si>
  <si>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</si>
  <si>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</si>
  <si>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</si>
  <si>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</si>
  <si>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</si>
  <si>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</si>
  <si>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</si>
  <si>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</si>
  <si>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</si>
  <si>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</si>
  <si>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</si>
  <si>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</si>
  <si>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</si>
  <si>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</si>
  <si>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</si>
  <si>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</si>
  <si>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</si>
  <si>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</si>
  <si>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</si>
  <si>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</si>
  <si>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</si>
  <si>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</si>
  <si>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</si>
  <si>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</si>
  <si>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</si>
  <si>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</si>
  <si>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</si>
  <si>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</si>
  <si>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</si>
  <si>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</si>
  <si>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</si>
  <si>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</si>
  <si>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</si>
  <si>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</si>
  <si>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</si>
  <si>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</si>
  <si>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</si>
  <si>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</si>
  <si>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</si>
  <si>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</si>
  <si>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</si>
  <si>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</si>
  <si>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</si>
  <si>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</si>
  <si>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</si>
  <si>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</si>
  <si>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</si>
  <si>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</si>
  <si>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</si>
  <si>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</si>
  <si>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</si>
  <si>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</si>
  <si>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</si>
  <si>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</si>
  <si>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</si>
  <si>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</si>
  <si>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</si>
  <si>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</si>
  <si>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</si>
  <si>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</si>
  <si>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</si>
  <si>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</si>
  <si>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</si>
  <si>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</si>
  <si>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</si>
  <si>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</si>
  <si>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</si>
  <si>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</si>
  <si>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</si>
  <si>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</si>
  <si>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</si>
  <si>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</si>
  <si>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</si>
  <si>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</si>
  <si>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</si>
  <si>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</si>
  <si>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</si>
  <si>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</si>
  <si>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</si>
  <si>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</si>
  <si>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</si>
  <si>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</si>
  <si>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</si>
  <si>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</si>
  <si>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</si>
  <si>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</si>
  <si>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</si>
  <si>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</si>
  <si>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</si>
  <si>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</si>
  <si>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</si>
  <si>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</si>
  <si>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</si>
  <si>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</si>
  <si>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</si>
  <si>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</si>
  <si>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</si>
  <si>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</si>
  <si>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</si>
  <si>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</si>
  <si>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</si>
  <si>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</si>
  <si>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</si>
  <si>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</si>
  <si>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</si>
  <si>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</si>
  <si>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</si>
  <si>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</si>
  <si>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</si>
  <si>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</si>
  <si>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</si>
  <si>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</si>
  <si>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</si>
  <si>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</si>
  <si>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</si>
  <si>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</si>
  <si>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</si>
  <si>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</si>
  <si>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</si>
  <si>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</si>
  <si>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</si>
  <si>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</si>
  <si>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</si>
  <si>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</si>
  <si>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</si>
  <si>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</si>
  <si>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</si>
  <si>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</si>
  <si>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</si>
  <si>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</si>
  <si>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</si>
  <si>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</si>
  <si>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</si>
  <si>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</si>
  <si>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</si>
  <si>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</si>
  <si>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</si>
  <si>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</si>
  <si>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</si>
  <si>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</si>
  <si>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</si>
  <si>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</si>
  <si>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</si>
  <si>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</si>
  <si>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</si>
  <si>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</si>
  <si>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</si>
  <si>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</si>
  <si>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</si>
  <si>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</si>
  <si>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</si>
  <si>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</si>
  <si>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</si>
  <si>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</si>
  <si>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</si>
  <si>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</si>
  <si>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</si>
  <si>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</si>
  <si>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</si>
  <si>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</si>
  <si>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</si>
  <si>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</si>
  <si>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</si>
  <si>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</si>
  <si>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</si>
  <si>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</si>
  <si>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</si>
  <si>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</si>
  <si>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</si>
  <si>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</si>
  <si>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</si>
  <si>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</si>
  <si>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</si>
  <si>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</si>
  <si>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</si>
  <si>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</si>
  <si>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</si>
  <si>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</si>
  <si>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</si>
  <si>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</si>
  <si>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</si>
  <si>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</si>
  <si>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</si>
  <si>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</si>
  <si>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</si>
  <si>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</si>
  <si>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</si>
  <si>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</si>
  <si>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</si>
  <si>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</si>
  <si>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</si>
  <si>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</si>
  <si>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</si>
  <si>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</si>
  <si>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</si>
  <si>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</si>
  <si>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</si>
  <si>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</si>
  <si>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</si>
  <si>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</si>
  <si>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</si>
  <si>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</si>
  <si>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</si>
  <si>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</si>
  <si>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</si>
  <si>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</si>
  <si>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</si>
  <si>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</si>
  <si>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</si>
  <si>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</si>
  <si>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</si>
  <si>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</si>
  <si>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</si>
  <si>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</si>
  <si>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</si>
  <si>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</si>
  <si>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</si>
  <si>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</si>
  <si>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</si>
  <si>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</si>
  <si>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</si>
  <si>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</si>
  <si>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</si>
  <si>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</si>
  <si>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</si>
  <si>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</si>
  <si>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</si>
  <si>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</si>
  <si>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</si>
  <si>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</si>
  <si>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</si>
  <si>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</si>
  <si>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</si>
  <si>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</si>
  <si>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</si>
  <si>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</si>
  <si>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</si>
  <si>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</si>
  <si>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</si>
  <si>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</si>
  <si>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</si>
  <si>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</si>
  <si>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</si>
  <si>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</si>
  <si>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</si>
  <si>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</si>
  <si>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</si>
  <si>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</si>
  <si>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</si>
  <si>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</si>
  <si>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</si>
  <si>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</si>
  <si>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</si>
  <si>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</si>
  <si>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</si>
  <si>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</si>
  <si>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</si>
  <si>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</si>
  <si>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</si>
  <si>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</si>
  <si>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</si>
  <si>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</si>
  <si>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</si>
  <si>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</si>
  <si>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</si>
  <si>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</si>
  <si>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</si>
  <si>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</si>
  <si>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</si>
  <si>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</si>
  <si>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</si>
  <si>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</si>
  <si>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</si>
  <si>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</si>
  <si>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</si>
  <si>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</si>
  <si>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</si>
  <si>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</si>
  <si>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</si>
  <si>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</si>
  <si>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</si>
  <si>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</si>
  <si>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</si>
  <si>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</si>
  <si>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</si>
  <si>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</si>
  <si>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</si>
  <si>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</si>
  <si>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</si>
  <si>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</si>
  <si>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</si>
  <si>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</si>
  <si>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</si>
  <si>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</si>
  <si>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</si>
  <si>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</si>
  <si>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</si>
  <si>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</si>
  <si>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</si>
  <si>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</si>
  <si>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</si>
  <si>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</si>
  <si>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</si>
  <si>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</si>
  <si>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</si>
  <si>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</si>
  <si>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</si>
  <si>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</si>
  <si>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</si>
  <si>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</si>
  <si>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</si>
  <si>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</si>
  <si>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</si>
  <si>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</si>
  <si>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</si>
  <si>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</si>
  <si>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</si>
  <si>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</si>
  <si>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</si>
  <si>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</si>
  <si>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</si>
  <si>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</si>
  <si>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</si>
  <si>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</si>
  <si>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</si>
  <si>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</si>
  <si>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</si>
  <si>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</si>
  <si>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</si>
  <si>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</si>
  <si>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</si>
  <si>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</si>
  <si>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</si>
  <si>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</si>
  <si>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</si>
  <si>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</si>
  <si>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</si>
  <si>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</si>
  <si>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</si>
  <si>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</si>
  <si>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</si>
  <si>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</si>
  <si>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</si>
  <si>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</si>
  <si>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</si>
  <si>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</si>
  <si>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</si>
  <si>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</si>
  <si>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</si>
  <si>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</si>
  <si>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</si>
  <si>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</si>
  <si>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</si>
  <si>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</si>
  <si>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</si>
  <si>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</si>
  <si>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</si>
  <si>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</si>
  <si>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</si>
  <si>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</si>
  <si>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</si>
  <si>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</si>
  <si>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</si>
  <si>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</si>
  <si>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</si>
  <si>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</si>
  <si>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</si>
  <si>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</si>
  <si>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</si>
  <si>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</si>
  <si>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</si>
  <si>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</si>
  <si>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</si>
  <si>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</si>
  <si>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</si>
  <si>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</si>
  <si>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</si>
  <si>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</si>
  <si>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</si>
  <si>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</si>
  <si>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</si>
  <si>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</si>
  <si>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</si>
  <si>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</si>
  <si>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</si>
  <si>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</si>
  <si>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</si>
  <si>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</si>
  <si>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</si>
  <si>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</si>
  <si>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</si>
  <si>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</si>
  <si>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</si>
  <si>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</si>
  <si>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</si>
  <si>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</si>
  <si>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</si>
  <si>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</si>
  <si>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</si>
  <si>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</si>
  <si>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</si>
  <si>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</si>
  <si>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</si>
  <si>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</si>
  <si>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</si>
  <si>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</si>
  <si>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</si>
  <si>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</si>
  <si>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</si>
  <si>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</si>
  <si>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</si>
  <si>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</si>
  <si>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</si>
  <si>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</si>
  <si>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</si>
  <si>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</si>
  <si>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</si>
  <si>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</si>
  <si>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</si>
  <si>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</si>
  <si>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</si>
  <si>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</si>
  <si>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</si>
  <si>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</si>
  <si>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</si>
  <si>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</si>
  <si>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</si>
  <si>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</si>
  <si>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</si>
  <si>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</si>
  <si>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</si>
  <si>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</si>
  <si>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</si>
  <si>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</si>
  <si>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</si>
  <si>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</si>
  <si>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</si>
  <si>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</si>
  <si>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</si>
  <si>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</si>
  <si>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</si>
  <si>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</si>
  <si>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</si>
  <si>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</si>
  <si>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</si>
  <si>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</si>
  <si>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</si>
  <si>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</si>
  <si>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</si>
  <si>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</si>
  <si>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</si>
  <si>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</si>
  <si>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</si>
  <si>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</si>
  <si>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</si>
  <si>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</si>
  <si>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</si>
  <si>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</si>
  <si>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</si>
  <si>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</si>
  <si>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</si>
  <si>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</si>
  <si>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</si>
  <si>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</si>
  <si>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</si>
  <si>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</si>
  <si>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</si>
  <si>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</si>
  <si>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</si>
  <si>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</si>
  <si>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</si>
  <si>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</si>
  <si>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</si>
  <si>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</si>
  <si>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</si>
  <si>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</si>
  <si>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</si>
  <si>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</si>
  <si>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</si>
  <si>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</si>
  <si>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</si>
  <si>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</si>
  <si>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</si>
  <si>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</si>
  <si>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</si>
  <si>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</si>
  <si>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</si>
  <si>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</si>
  <si>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</si>
  <si>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</si>
  <si>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</si>
  <si>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</si>
  <si>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</si>
  <si>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</si>
  <si>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</si>
  <si>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</si>
  <si>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</si>
  <si>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</si>
  <si>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</si>
  <si>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</si>
  <si>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</si>
  <si>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</si>
  <si>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</si>
  <si>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</si>
  <si>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</si>
  <si>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</si>
  <si>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</si>
  <si>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</si>
  <si>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</si>
  <si>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</si>
  <si>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</si>
  <si>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</si>
  <si>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</si>
  <si>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</si>
  <si>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</si>
  <si>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</si>
  <si>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</si>
  <si>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</si>
  <si>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</si>
  <si>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</si>
  <si>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</si>
  <si>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</si>
  <si>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</si>
  <si>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</si>
  <si>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</si>
  <si>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</si>
  <si>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</si>
  <si>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</si>
  <si>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</si>
  <si>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</si>
  <si>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</si>
  <si>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</si>
  <si>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</si>
  <si>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</si>
  <si>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</si>
  <si>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</si>
  <si>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</si>
  <si>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</si>
  <si>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</si>
  <si>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</si>
  <si>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</si>
  <si>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</si>
  <si>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</si>
  <si>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</si>
  <si>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</si>
  <si>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</si>
  <si>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</si>
  <si>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</si>
  <si>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</si>
  <si>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</si>
  <si>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</si>
  <si>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</si>
  <si>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</si>
  <si>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</si>
  <si>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</si>
  <si>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</si>
  <si>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</si>
  <si>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</si>
  <si>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</si>
  <si>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</si>
  <si>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</si>
  <si>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</si>
  <si>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</si>
  <si>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</si>
  <si>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</si>
  <si>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</si>
  <si>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</si>
  <si>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</si>
  <si>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</si>
  <si>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</si>
  <si>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</si>
  <si>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</si>
  <si>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</si>
  <si>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</si>
  <si>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</si>
  <si>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</si>
  <si>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</si>
  <si>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</si>
  <si>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</si>
  <si>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</si>
  <si>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</si>
  <si>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</si>
  <si>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</si>
  <si>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</si>
  <si>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</si>
  <si>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</si>
  <si>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</si>
  <si>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</si>
  <si>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</si>
  <si>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</si>
  <si>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</si>
  <si>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</si>
  <si>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</si>
  <si>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</si>
  <si>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</si>
  <si>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</si>
  <si>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</si>
  <si>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</si>
  <si>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</si>
  <si>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</si>
  <si>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</si>
  <si>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</si>
  <si>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</si>
  <si>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</si>
  <si>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</si>
  <si>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</si>
  <si>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</si>
  <si>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</si>
  <si>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</si>
  <si>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</si>
  <si>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</si>
  <si>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</si>
  <si>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</si>
  <si>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</si>
  <si>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</si>
  <si>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</si>
  <si>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</si>
  <si>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</si>
  <si>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</si>
  <si>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</si>
  <si>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</si>
  <si>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</si>
  <si>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</si>
  <si>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</si>
  <si>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</si>
  <si>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</si>
  <si>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</si>
  <si>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</si>
  <si>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</si>
  <si>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</si>
  <si>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</si>
  <si>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</si>
  <si>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</si>
  <si>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</si>
  <si>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</si>
  <si>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</si>
  <si>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</si>
  <si>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</si>
  <si>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</si>
  <si>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</si>
  <si>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</si>
  <si>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</si>
  <si>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</si>
  <si>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</si>
  <si>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</si>
  <si>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</si>
  <si>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</si>
  <si>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</si>
  <si>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</si>
  <si>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</si>
  <si>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</si>
  <si>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</si>
  <si>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</si>
  <si>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</si>
  <si>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</si>
  <si>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</si>
  <si>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</si>
  <si>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</si>
  <si>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</si>
  <si>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</si>
  <si>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</si>
  <si>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</si>
  <si>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</si>
  <si>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</si>
  <si>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</si>
  <si>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</si>
  <si>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</si>
  <si>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</si>
  <si>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</si>
  <si>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</si>
  <si>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</si>
  <si>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</si>
  <si>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</si>
  <si>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</si>
  <si>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</si>
  <si>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</si>
  <si>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</si>
  <si>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</si>
  <si>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</si>
  <si>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</si>
  <si>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</si>
  <si>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</si>
  <si>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</si>
  <si>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</si>
  <si>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</si>
  <si>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</si>
  <si>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</si>
  <si>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</si>
  <si>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</si>
  <si>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</si>
  <si>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</si>
  <si>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</si>
  <si>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</si>
  <si>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</si>
  <si>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</si>
  <si>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</si>
  <si>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</si>
  <si>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</si>
  <si>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</si>
  <si>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</si>
  <si>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</si>
  <si>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</si>
  <si>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</si>
  <si>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</si>
  <si>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</si>
  <si>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</si>
  <si>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</si>
  <si>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</si>
  <si>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</si>
  <si>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</si>
  <si>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</si>
  <si>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</si>
  <si>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</si>
  <si>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</si>
  <si>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</si>
  <si>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</si>
  <si>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</si>
  <si>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</si>
  <si>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</si>
  <si>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</si>
  <si>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</si>
  <si>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</si>
  <si>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</si>
  <si>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</si>
  <si>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</si>
  <si>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</si>
  <si>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</si>
  <si>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</si>
  <si>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</si>
  <si>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</si>
  <si>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</si>
  <si>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</si>
  <si>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</si>
  <si>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</si>
  <si>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</si>
  <si>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</si>
  <si>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</si>
  <si>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</si>
  <si>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</si>
  <si>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</si>
  <si>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</si>
  <si>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</si>
  <si>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</si>
  <si>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</si>
  <si>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</si>
  <si>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</si>
  <si>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</si>
  <si>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</si>
  <si>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</si>
  <si>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</si>
  <si>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</si>
  <si>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</si>
  <si>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</si>
  <si>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</si>
  <si>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</si>
  <si>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</si>
  <si>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</si>
  <si>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</si>
  <si>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</si>
  <si>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</si>
  <si>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</si>
  <si>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</si>
  <si>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</si>
  <si>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</si>
  <si>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</si>
  <si>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</si>
  <si>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</si>
  <si>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</si>
  <si>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</si>
  <si>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</si>
  <si>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</si>
  <si>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</si>
  <si>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</si>
  <si>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</si>
  <si>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</si>
  <si>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</si>
  <si>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</si>
  <si>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</si>
  <si>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</si>
  <si>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</si>
  <si>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</si>
  <si>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</si>
  <si>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</si>
  <si>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</si>
  <si>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</si>
  <si>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</si>
  <si>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</si>
  <si>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</si>
  <si>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</si>
  <si>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</si>
  <si>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</si>
  <si>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</si>
  <si>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</si>
  <si>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</si>
  <si>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</si>
  <si>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</si>
  <si>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</si>
  <si>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</si>
  <si>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</si>
  <si>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</si>
  <si>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</si>
  <si>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</si>
  <si>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</si>
  <si>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</si>
  <si>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</si>
  <si>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</si>
  <si>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</si>
  <si>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</si>
  <si>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</si>
  <si>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</si>
  <si>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</si>
  <si>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</si>
  <si>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</si>
  <si>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</si>
  <si>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</si>
  <si>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</si>
  <si>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</si>
  <si>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</si>
  <si>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</si>
  <si>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</si>
  <si>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</si>
  <si>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</si>
  <si>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</si>
  <si>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</si>
  <si>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</si>
  <si>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</si>
  <si>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</si>
  <si>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</si>
  <si>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</si>
  <si>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</si>
  <si>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</si>
  <si>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</si>
  <si>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</si>
  <si>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</si>
  <si>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</si>
  <si>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</si>
  <si>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</si>
  <si>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</si>
  <si>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</si>
  <si>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</si>
  <si>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</si>
  <si>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</si>
  <si>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</si>
  <si>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</si>
  <si>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</si>
  <si>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</si>
  <si>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</si>
  <si>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</si>
  <si>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</si>
  <si>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</si>
  <si>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</si>
  <si>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</si>
  <si>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</si>
  <si>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</si>
  <si>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</si>
  <si>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</si>
  <si>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</si>
  <si>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</si>
  <si>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</si>
  <si>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</si>
  <si>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</si>
  <si>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</si>
  <si>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</si>
  <si>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</si>
  <si>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</si>
  <si>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</si>
  <si>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</si>
  <si>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</si>
  <si>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</si>
  <si>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</si>
  <si>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</si>
  <si>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</si>
  <si>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</si>
  <si>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</si>
  <si>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</si>
  <si>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</si>
  <si>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</si>
  <si>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</si>
  <si>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</si>
  <si>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</si>
  <si>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</si>
  <si>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</si>
  <si>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</si>
  <si>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</si>
  <si>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</si>
  <si>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</si>
  <si>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</si>
  <si>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</si>
  <si>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</si>
  <si>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</si>
  <si>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</si>
  <si>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</si>
  <si>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</si>
  <si>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</si>
  <si>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</si>
  <si>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</si>
  <si>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</si>
  <si>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</si>
  <si>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</si>
  <si>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</si>
  <si>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</si>
  <si>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</si>
  <si>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</si>
  <si>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</si>
  <si>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</si>
  <si>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</si>
  <si>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</si>
  <si>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</si>
  <si>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</si>
  <si>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</si>
  <si>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</si>
  <si>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</si>
  <si>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</si>
  <si>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</si>
  <si>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</si>
  <si>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</si>
  <si>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</si>
  <si>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</si>
  <si>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</si>
  <si>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</si>
  <si>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</si>
  <si>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</si>
  <si>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</si>
  <si>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</si>
  <si>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</si>
  <si>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</si>
  <si>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</si>
  <si>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</si>
  <si>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</si>
  <si>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</si>
  <si>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</si>
  <si>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</si>
  <si>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</si>
  <si>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</si>
  <si>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</si>
  <si>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</si>
  <si>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</si>
  <si>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</si>
  <si>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</si>
  <si>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</si>
  <si>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</si>
  <si>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</si>
  <si>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</si>
  <si>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</si>
  <si>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</si>
  <si>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</si>
  <si>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</si>
  <si>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</si>
  <si>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</si>
  <si>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</si>
  <si>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</si>
  <si>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</si>
  <si>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</si>
  <si>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</si>
  <si>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</si>
  <si>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</si>
  <si>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</si>
  <si>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</si>
  <si>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</si>
  <si>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</si>
  <si>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</si>
  <si>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</si>
  <si>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</si>
  <si>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</si>
  <si>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</si>
  <si>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</si>
  <si>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</si>
  <si>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</si>
  <si>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</si>
  <si>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</si>
  <si>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</si>
  <si>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</si>
  <si>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</si>
  <si>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</si>
  <si>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</si>
  <si>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</si>
  <si>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</si>
  <si>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</si>
  <si>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</si>
  <si>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</si>
  <si>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</si>
  <si>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</si>
  <si>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</si>
  <si>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</si>
  <si>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</si>
  <si>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</si>
  <si>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</si>
  <si>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</si>
  <si>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</si>
  <si>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</si>
  <si>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</si>
  <si>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</si>
  <si>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</si>
  <si>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</si>
  <si>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</si>
  <si>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</si>
  <si>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</si>
  <si>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</si>
  <si>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</si>
  <si>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</si>
  <si>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</si>
  <si>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</si>
  <si>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</si>
  <si>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</si>
  <si>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</si>
  <si>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</si>
  <si>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</si>
  <si>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</si>
  <si>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</si>
  <si>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</si>
  <si>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</si>
  <si>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</si>
  <si>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</si>
  <si>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</si>
  <si>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</si>
  <si>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</si>
  <si>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</si>
  <si>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</si>
  <si>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</si>
  <si>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</si>
  <si>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</si>
  <si>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</si>
  <si>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</si>
  <si>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</si>
  <si>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</si>
  <si>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</si>
  <si>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</si>
  <si>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</si>
  <si>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</si>
  <si>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</si>
  <si>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</si>
  <si>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</si>
  <si>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</si>
  <si>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</si>
  <si>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</si>
  <si>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</si>
  <si>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</si>
  <si>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</si>
  <si>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</si>
  <si>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</si>
  <si>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</si>
  <si>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</si>
  <si>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</si>
  <si>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</si>
  <si>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</si>
  <si>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</si>
  <si>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</si>
  <si>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</si>
  <si>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</si>
  <si>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</si>
  <si>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</si>
  <si>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</si>
  <si>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</si>
  <si>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</si>
  <si>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</si>
  <si>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</si>
  <si>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</si>
  <si>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</si>
  <si>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</si>
  <si>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</si>
  <si>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</si>
  <si>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</si>
  <si>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</si>
  <si>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</si>
  <si>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</si>
  <si>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</si>
  <si>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</si>
  <si>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</si>
  <si>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</si>
  <si>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</si>
  <si>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</si>
  <si>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</si>
  <si>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</si>
  <si>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</si>
  <si>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</si>
  <si>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</si>
  <si>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</si>
  <si>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</si>
  <si>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</si>
  <si>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</si>
  <si>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</si>
  <si>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</si>
  <si>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</si>
  <si>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</si>
  <si>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</si>
  <si>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</si>
  <si>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</si>
  <si>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</si>
  <si>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</si>
  <si>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</si>
  <si>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</si>
  <si>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</si>
  <si>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</si>
  <si>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</si>
  <si>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</si>
  <si>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</si>
  <si>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</si>
  <si>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</si>
  <si>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</si>
  <si>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</si>
  <si>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</si>
  <si>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</si>
  <si>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</si>
  <si>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</si>
  <si>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</si>
  <si>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</si>
  <si>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</si>
  <si>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</si>
  <si>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</si>
  <si>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</si>
  <si>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</si>
  <si>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</si>
  <si>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</si>
  <si>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</si>
  <si>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</si>
  <si>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</si>
  <si>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</si>
  <si>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</si>
  <si>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</si>
  <si>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</si>
  <si>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</si>
  <si>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</si>
  <si>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</si>
  <si>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</si>
  <si>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</si>
  <si>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</si>
  <si>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</si>
  <si>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</si>
  <si>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</si>
  <si>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</si>
  <si>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</si>
  <si>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</si>
  <si>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</si>
  <si>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</si>
  <si>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</si>
  <si>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</si>
  <si>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</si>
  <si>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</si>
  <si>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</si>
  <si>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</si>
  <si>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</si>
  <si>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</si>
  <si>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</si>
  <si>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</si>
  <si>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</si>
  <si>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</si>
  <si>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</si>
  <si>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</si>
  <si>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</si>
  <si>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</si>
  <si>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</si>
  <si>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</si>
  <si>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</si>
  <si>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</si>
  <si>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</si>
  <si>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</si>
  <si>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</si>
  <si>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</si>
  <si>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</si>
  <si>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</si>
  <si>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</si>
  <si>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</si>
  <si>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</si>
  <si>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</si>
  <si>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</si>
  <si>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</si>
  <si>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</si>
  <si>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</si>
  <si>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</si>
  <si>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</si>
  <si>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</si>
  <si>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</si>
  <si>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</si>
  <si>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</si>
  <si>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</si>
  <si>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</si>
  <si>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</si>
  <si>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</si>
  <si>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</si>
  <si>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</si>
  <si>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</si>
  <si>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</si>
  <si>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</si>
  <si>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</si>
  <si>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</si>
  <si>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</si>
  <si>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</si>
  <si>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</si>
  <si>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</si>
  <si>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</si>
  <si>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</si>
  <si>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</si>
  <si>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</si>
  <si>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</si>
  <si>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</si>
  <si>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</si>
  <si>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</si>
  <si>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</si>
  <si>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</si>
  <si>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</si>
  <si>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</si>
  <si>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</si>
  <si>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</si>
  <si>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</si>
  <si>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</si>
  <si>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</si>
  <si>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</si>
  <si>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</si>
  <si>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</si>
  <si>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</si>
  <si>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</si>
  <si>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</si>
  <si>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</si>
  <si>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</si>
  <si>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</si>
  <si>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</si>
  <si>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</si>
  <si>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</si>
  <si>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</si>
  <si>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</si>
  <si>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</si>
  <si>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</si>
  <si>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</si>
  <si>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</si>
  <si>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</si>
  <si>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</si>
  <si>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</si>
  <si>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</si>
  <si>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</si>
  <si>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</si>
  <si>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</si>
  <si>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</si>
  <si>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</si>
  <si>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</si>
  <si>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</si>
  <si>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</si>
  <si>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</si>
  <si>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</si>
  <si>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</si>
  <si>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</si>
  <si>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</si>
  <si>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</si>
  <si>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</si>
  <si>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</si>
  <si>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</si>
  <si>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</si>
  <si>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</si>
  <si>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</si>
  <si>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</si>
  <si>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</si>
  <si>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</si>
  <si>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</si>
  <si>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</si>
  <si>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</si>
  <si>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</si>
  <si>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</si>
  <si>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</si>
  <si>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</si>
  <si>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</si>
  <si>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</si>
  <si>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</si>
  <si>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</si>
  <si>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</si>
  <si>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</si>
  <si>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</si>
  <si>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</si>
  <si>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</si>
  <si>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</si>
  <si>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</si>
  <si>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</si>
  <si>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</si>
  <si>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</si>
  <si>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</si>
  <si>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</si>
  <si>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</si>
  <si>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</si>
  <si>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</si>
  <si>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</si>
  <si>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</si>
  <si>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</si>
  <si>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</si>
  <si>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</si>
  <si>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</si>
  <si>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</si>
  <si>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</si>
  <si>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</si>
  <si>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</si>
  <si>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</si>
  <si>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</si>
  <si>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</si>
  <si>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</si>
  <si>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</si>
  <si>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</si>
  <si>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</si>
  <si>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</si>
  <si>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</si>
  <si>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</si>
  <si>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</si>
  <si>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</si>
  <si>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</si>
  <si>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</si>
  <si>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</si>
  <si>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</si>
  <si>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</si>
  <si>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</si>
  <si>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</si>
  <si>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</si>
  <si>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</si>
  <si>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</si>
  <si>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</si>
  <si>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</si>
  <si>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</si>
  <si>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</si>
  <si>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</si>
  <si>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</si>
  <si>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</si>
  <si>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</si>
  <si>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</si>
  <si>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</si>
  <si>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</si>
  <si>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</si>
  <si>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</si>
  <si>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</si>
  <si>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</si>
  <si>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</si>
  <si>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</si>
  <si>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</si>
  <si>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</si>
  <si>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</si>
  <si>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</si>
  <si>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</si>
  <si>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</si>
  <si>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</si>
  <si>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</si>
  <si>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</si>
  <si>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</si>
  <si>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</si>
  <si>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</si>
  <si>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</si>
  <si>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</si>
  <si>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</si>
  <si>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序号</t>
  </si>
  <si>
    <t>房屋坐落</t>
  </si>
  <si>
    <t>不动产权证书号</t>
  </si>
  <si>
    <t>京（2025）密不动产权第0003336号</t>
  </si>
  <si>
    <t>密云区滨河路178号院3号楼2层2单元202</t>
  </si>
  <si>
    <t>京（2025）密不动产权第0003330号</t>
  </si>
  <si>
    <t>密云区滨河路178号院3号楼2层2单元203</t>
  </si>
  <si>
    <t>京（2025）密不动产权第0003333号</t>
  </si>
  <si>
    <t>密云区滨河路178号院3号楼2层2单元204</t>
  </si>
  <si>
    <t>京（2025）密不动产权第0003365号</t>
  </si>
  <si>
    <t>密云区滨河路178号院3号楼2层2单元205</t>
  </si>
  <si>
    <t>京（2025）密不动产权第0003340号</t>
  </si>
  <si>
    <t>密云区滨河路178号院3号楼2层2单元206</t>
  </si>
  <si>
    <t>京（2025）密不动产权第0003362号</t>
  </si>
  <si>
    <t>密云区滨河路178号院3号楼2层2单元207</t>
  </si>
  <si>
    <t>京（2025）密不动产权第0003387号</t>
  </si>
  <si>
    <t>密云区滨河路178号院3号楼2层2单元208</t>
  </si>
  <si>
    <t>京（2025）密不动产权第0003382号</t>
  </si>
  <si>
    <t>密云区滨河路178号院3号楼2层2单元209</t>
  </si>
  <si>
    <t>京（2025）密不动产权第0003342号</t>
  </si>
  <si>
    <t>密云区滨河路178号院3号楼2层2单元210</t>
  </si>
  <si>
    <t>京（2025）密不动产权第0003343号</t>
  </si>
  <si>
    <t>密云区滨河路178号院3号楼2层2单元211</t>
  </si>
  <si>
    <t>京（2025）密不动产权第0003390号</t>
  </si>
  <si>
    <t>密云区滨河路178号院3号楼2层2单元212</t>
  </si>
  <si>
    <t>京（2025）密不动产权第0003393号</t>
  </si>
  <si>
    <t>密云区滨河路178号院3号楼2层2单元213</t>
  </si>
  <si>
    <t>京（2025）密不动产权第0004812号</t>
  </si>
  <si>
    <t>密云区滨河路178号院3号楼2层2单元214</t>
  </si>
  <si>
    <t>京（2025）密不动产权第0004815号</t>
  </si>
  <si>
    <t>密云区滨河路178号院3号楼2层2单元215</t>
  </si>
  <si>
    <t>京（2025）密不动产权第0004817号</t>
  </si>
  <si>
    <t>密云区滨河路178号院3号楼2层2单元216</t>
  </si>
  <si>
    <t>京（2025）密不动产权第0003328号</t>
  </si>
  <si>
    <t>密云区滨河路178号院3号楼2层2单元217</t>
  </si>
  <si>
    <t>京（2025）密不动产权第0003361号</t>
  </si>
  <si>
    <t>密云区滨河路178号院3号楼2层2单元218</t>
  </si>
  <si>
    <t>京（2025）密不动产权第0003403号</t>
  </si>
  <si>
    <t>密云区滨河路178号院3号楼2层2单元219</t>
  </si>
  <si>
    <t>京（2025）密不动产权第0003386号</t>
  </si>
  <si>
    <t>密云区滨河路178号院3号楼2层2单元220</t>
  </si>
  <si>
    <t>京（2025）密不动产权第0003395号</t>
  </si>
  <si>
    <t>密云区滨河路178号院3号楼2层2单元221</t>
  </si>
  <si>
    <t>京（2025）密不动产权第0003399号</t>
  </si>
  <si>
    <t>密云区滨河路178号院3号楼2层2单元222</t>
  </si>
  <si>
    <t>京（2025）密不动产权第0003391号</t>
  </si>
  <si>
    <t>密云区滨河路178号院3号楼2层2单元223</t>
  </si>
  <si>
    <t>京（2025）密不动产权第0003514号</t>
  </si>
  <si>
    <t>密云区滨河路178号院3号楼2层2单元224</t>
  </si>
  <si>
    <t>京（2025）密不动产权第0004773号</t>
  </si>
  <si>
    <t>密云区滨河路178号院3号楼2层2单元225</t>
  </si>
  <si>
    <t>京（2025）密不动产权第0004777号</t>
  </si>
  <si>
    <t>密云区滨河路178号院3号楼2层2单元226</t>
  </si>
  <si>
    <t>京（2025）密不动产权第0004766号</t>
  </si>
  <si>
    <t>密云区滨河路178号院3号楼3层2单元301</t>
  </si>
  <si>
    <t>京（2025）密不动产权第0003516号</t>
  </si>
  <si>
    <t>密云区滨河路178号院3号楼3层2单元302</t>
  </si>
  <si>
    <t>京（2025）密不动产权第0004774号</t>
  </si>
  <si>
    <t>密云区滨河路178号院3号楼3层2单元303</t>
  </si>
  <si>
    <t>京（2025）密不动产权第0004762号</t>
  </si>
  <si>
    <t>密云区滨河路178号院3号楼3层2单元304</t>
  </si>
  <si>
    <t>京（2025）密不动产权第0003524号</t>
  </si>
  <si>
    <t>密云区滨河路178号院3号楼3层2单元305</t>
  </si>
  <si>
    <t>京（2025）密不动产权第0004768号</t>
  </si>
  <si>
    <t>密云区滨河路178号院3号楼3层2单元306</t>
  </si>
  <si>
    <t>京（2025）密不动产权第0004754号</t>
  </si>
  <si>
    <t>密云区滨河路178号院3号楼3层2单元307</t>
  </si>
  <si>
    <t>京（2025）密不动产权第0003519号</t>
  </si>
  <si>
    <t>密云区滨河路178号院3号楼3层2单元308</t>
  </si>
  <si>
    <t>京（2025）密不动产权第0004756号</t>
  </si>
  <si>
    <t>密云区滨河路178号院3号楼3层2单元309</t>
  </si>
  <si>
    <t>京（2025）密不动产权第0003541号</t>
  </si>
  <si>
    <t>密云区滨河路178号院3号楼3层2单元310</t>
  </si>
  <si>
    <t>京（2025）密不动产权第0003537号</t>
  </si>
  <si>
    <t>密云区滨河路178号院3号楼3层2单元311</t>
  </si>
  <si>
    <t>京（2025）密不动产权第0003507号</t>
  </si>
  <si>
    <t>密云区滨河路178号院3号楼3层2单元312</t>
  </si>
  <si>
    <t>京（2025）密不动产权第0004977号</t>
  </si>
  <si>
    <t>密云区滨河路178号院3号楼3层2单元313</t>
  </si>
  <si>
    <t>京（2025）密不动产权第0004974号</t>
  </si>
  <si>
    <t>密云区滨河路178号院3号楼3层2单元314</t>
  </si>
  <si>
    <t>京（2025）密不动产权第0003510号</t>
  </si>
  <si>
    <t>密云区滨河路178号院3号楼3层2单元315</t>
  </si>
  <si>
    <t>京（2025）密不动产权第0004971号</t>
  </si>
  <si>
    <t>密云区滨河路178号院3号楼3层2单元316</t>
  </si>
  <si>
    <t>京（2025）密不动产权第0004967号</t>
  </si>
  <si>
    <t>密云区滨河路178号院3号楼3层2单元317</t>
  </si>
  <si>
    <t>京（2025）密不动产权第0004972号</t>
  </si>
  <si>
    <t>密云区滨河路178号院3号楼3层2单元318</t>
  </si>
  <si>
    <t>京（2025）密不动产权第0004973号</t>
  </si>
  <si>
    <t>密云区滨河路178号院3号楼3层2单元319</t>
  </si>
  <si>
    <t>京（2025）密不动产权第0003520号</t>
  </si>
  <si>
    <t>密云区滨河路178号院3号楼3层2单元320</t>
  </si>
  <si>
    <t>京（2025）密不动产权第0003538号</t>
  </si>
  <si>
    <t>密云区滨河路178号院3号楼3层2单元321</t>
  </si>
  <si>
    <t>京（2025）密不动产权第0003508号</t>
  </si>
  <si>
    <t>密云区滨河路178号院3号楼3层2单元322</t>
  </si>
  <si>
    <t>京（2025）密不动产权第0003513号</t>
  </si>
  <si>
    <t>密云区滨河路178号院3号楼3层2单元323</t>
  </si>
  <si>
    <t>京（2025）密不动产权第0003521号</t>
  </si>
  <si>
    <t>密云区滨河路178号院3号楼3层2单元324</t>
  </si>
  <si>
    <t>京（2025）密不动产权第0003518号</t>
  </si>
  <si>
    <t>密云区滨河路178号院3号楼3层2单元325</t>
  </si>
  <si>
    <t>京（2025）密不动产权第0003523号</t>
  </si>
  <si>
    <t>密云区滨河路178号院3号楼3层2单元326</t>
  </si>
  <si>
    <t>京（2025）密不动产权第0004979号</t>
  </si>
  <si>
    <t>抵押</t>
  </si>
  <si>
    <t>房地产抵押价值</t>
  </si>
  <si>
    <t>北京市</t>
  </si>
  <si>
    <t>企业</t>
  </si>
  <si>
    <t>密云区滨河路178号院3号楼2层2单元201</t>
    <phoneticPr fontId="134" type="noConversion"/>
  </si>
  <si>
    <r>
      <rPr>
        <sz val="10"/>
        <color theme="9" tint="-0.249977111117893"/>
        <rFont val="宋体"/>
        <family val="3"/>
        <charset val="134"/>
      </rPr>
      <t>密云区滨河路</t>
    </r>
    <r>
      <rPr>
        <sz val="10"/>
        <color theme="9" tint="-0.249977111117893"/>
        <rFont val="Arial"/>
        <family val="2"/>
      </rPr>
      <t>178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phoneticPr fontId="6" type="noConversion"/>
  </si>
  <si>
    <t>办公</t>
    <phoneticPr fontId="6" type="noConversion"/>
  </si>
  <si>
    <t>办公项目</t>
  </si>
  <si>
    <t>现房</t>
  </si>
  <si>
    <t>是</t>
  </si>
  <si>
    <t>地上</t>
  </si>
  <si>
    <t>竣工时间</t>
    <phoneticPr fontId="3" type="noConversion"/>
  </si>
  <si>
    <t>依据产权证</t>
    <phoneticPr fontId="3" type="noConversion"/>
  </si>
  <si>
    <t>直线</t>
    <phoneticPr fontId="3" type="noConversion"/>
  </si>
  <si>
    <t>成新度</t>
  </si>
  <si>
    <t>收益法 (元)</t>
  </si>
  <si>
    <t>鼓楼街道</t>
    <phoneticPr fontId="3" type="noConversion"/>
  </si>
  <si>
    <t>财智国际中心</t>
    <phoneticPr fontId="134" type="noConversion"/>
  </si>
  <si>
    <r>
      <t>1</t>
    </r>
    <r>
      <rPr>
        <sz val="11"/>
        <color theme="1"/>
        <rFont val="宋体"/>
        <family val="3"/>
        <charset val="134"/>
        <scheme val="minor"/>
      </rPr>
      <t>.3-1.5</t>
    </r>
    <phoneticPr fontId="134" type="noConversion"/>
  </si>
  <si>
    <t>Ⅸ-密1</t>
  </si>
  <si>
    <t>商务金融用地</t>
  </si>
  <si>
    <t>自定义容积率</t>
  </si>
  <si>
    <t>与级别开发程度一致</t>
  </si>
  <si>
    <t>中心城区以外</t>
  </si>
  <si>
    <t>较差</t>
  </si>
  <si>
    <t>一般</t>
  </si>
  <si>
    <t>较好</t>
  </si>
  <si>
    <t>未包含在土地购买价格中</t>
  </si>
  <si>
    <t>已包含在土地取得成本中</t>
  </si>
  <si>
    <t>押一</t>
  </si>
  <si>
    <t>钢混</t>
  </si>
  <si>
    <t>非生产用房</t>
  </si>
  <si>
    <t>否</t>
  </si>
  <si>
    <t>成本法 (元)</t>
  </si>
  <si>
    <t>楼面单价</t>
  </si>
  <si>
    <t>自定义</t>
  </si>
  <si>
    <t>房号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</si>
</sst>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35" fillId="0" borderId="1" xfId="0" applyFont="1" applyBorder="1" applyAlignment="1">
      <alignment horizontal="center" vertical="center"/>
    </xf>
    <xf numFmtId="0" fontId="147" fillId="0" borderId="1" xfId="0" applyFont="1" applyBorder="1" applyAlignment="1">
      <alignment horizontal="center" vertical="center"/>
    </xf>
    <xf numFmtId="0" fontId="36" fillId="0" borderId="1" xfId="0" applyFont="1" applyBorder="1" applyAlignment="1">
      <alignment horizontal="center" vertical="center"/>
    </xf>
    <xf numFmtId="0" fontId="0" fillId="0" borderId="1" xfId="0" applyBorder="1">
      <alignment vertical="center"/>
    </xf>
    <xf numFmtId="49" fontId="272"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35" fillId="0" borderId="15"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91440</xdr:colOff>
      <xdr:row>6</xdr:row>
      <xdr:rowOff>53340</xdr:rowOff>
    </xdr:from>
    <xdr:to>
      <xdr:col>29</xdr:col>
      <xdr:colOff>528011</xdr:colOff>
      <xdr:row>43</xdr:row>
      <xdr:rowOff>103852</xdr:rowOff>
    </xdr:to>
    <xdr:pic>
      <xdr:nvPicPr>
        <xdr:cNvPr id="2" name="图片 1">
          <a:extLst>
            <a:ext uri="{FF2B5EF4-FFF2-40B4-BE49-F238E27FC236}">
              <a16:creationId xmlns:a16="http://schemas.microsoft.com/office/drawing/2014/main" id="{D9DCA7F4-A7B3-496B-94F6-0EE4BB1D0FED}"/>
            </a:ext>
          </a:extLst>
        </xdr:cNvPr>
        <xdr:cNvPicPr>
          <a:picLocks noChangeAspect="1"/>
        </xdr:cNvPicPr>
      </xdr:nvPicPr>
      <xdr:blipFill>
        <a:blip xmlns:r="http://schemas.openxmlformats.org/officeDocument/2006/relationships" r:embed="rId1"/>
        <a:stretch>
          <a:fillRect/>
        </a:stretch>
      </xdr:blipFill>
      <xdr:spPr>
        <a:xfrm>
          <a:off x="10035540" y="1242060"/>
          <a:ext cx="12628571" cy="7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141790</xdr:colOff>
      <xdr:row>38</xdr:row>
      <xdr:rowOff>21988</xdr:rowOff>
    </xdr:to>
    <xdr:pic>
      <xdr:nvPicPr>
        <xdr:cNvPr id="2" name="图片 1">
          <a:extLst>
            <a:ext uri="{FF2B5EF4-FFF2-40B4-BE49-F238E27FC236}">
              <a16:creationId xmlns:a16="http://schemas.microsoft.com/office/drawing/2014/main" id="{8A021A31-CF8E-D6E9-056D-6D825AE75923}"/>
            </a:ext>
          </a:extLst>
        </xdr:cNvPr>
        <xdr:cNvPicPr>
          <a:picLocks noChangeAspect="1"/>
        </xdr:cNvPicPr>
      </xdr:nvPicPr>
      <xdr:blipFill>
        <a:blip xmlns:r="http://schemas.openxmlformats.org/officeDocument/2006/relationships" r:embed="rId1"/>
        <a:stretch>
          <a:fillRect/>
        </a:stretch>
      </xdr:blipFill>
      <xdr:spPr>
        <a:xfrm>
          <a:off x="0" y="0"/>
          <a:ext cx="8676190" cy="6971428"/>
        </a:xfrm>
        <a:prstGeom prst="rect">
          <a:avLst/>
        </a:prstGeom>
      </xdr:spPr>
    </xdr:pic>
    <xdr:clientData/>
  </xdr:twoCellAnchor>
  <xdr:twoCellAnchor editAs="oneCell">
    <xdr:from>
      <xdr:col>0</xdr:col>
      <xdr:colOff>167640</xdr:colOff>
      <xdr:row>40</xdr:row>
      <xdr:rowOff>45720</xdr:rowOff>
    </xdr:from>
    <xdr:to>
      <xdr:col>17</xdr:col>
      <xdr:colOff>33011</xdr:colOff>
      <xdr:row>79</xdr:row>
      <xdr:rowOff>8638</xdr:rowOff>
    </xdr:to>
    <xdr:pic>
      <xdr:nvPicPr>
        <xdr:cNvPr id="3" name="图片 2">
          <a:extLst>
            <a:ext uri="{FF2B5EF4-FFF2-40B4-BE49-F238E27FC236}">
              <a16:creationId xmlns:a16="http://schemas.microsoft.com/office/drawing/2014/main" id="{E92961BF-06A5-CBFD-154D-CD496048C0A2}"/>
            </a:ext>
          </a:extLst>
        </xdr:cNvPr>
        <xdr:cNvPicPr>
          <a:picLocks noChangeAspect="1"/>
        </xdr:cNvPicPr>
      </xdr:nvPicPr>
      <xdr:blipFill>
        <a:blip xmlns:r="http://schemas.openxmlformats.org/officeDocument/2006/relationships" r:embed="rId2"/>
        <a:stretch>
          <a:fillRect/>
        </a:stretch>
      </xdr:blipFill>
      <xdr:spPr>
        <a:xfrm>
          <a:off x="167640" y="7360920"/>
          <a:ext cx="10228571" cy="7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北京市密云区滨河路178号院3号楼房地产抵押价值预评估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受贵公司委托，我公司对北京市密云区滨河路178号院3号楼房地产抵押价值进行了预评估。</v>
      </c>
    </row>
    <row r="7" spans="1:2">
      <c r="A7" s="1119" t="s">
        <v>566</v>
      </c>
      <c r="B7" s="1120" t="str">
        <f>'预评函-1'!A7</f>
        <v>估价对象为北京市密云区滨河路178号院3号楼房地产，为所有。根据《国有土地使用证》[]，估价对象（分摊）出让国有建设用地使用权面积为0平方米，建筑面积为181.93平方米。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区滨河路178号院3号楼房地产,属开发建设的办公项目，该项目尚在开发建设中。根据《国有土地使用证》[]，估价对象（分摊）出让国有建设用地使用权面积为0平方米，规划建筑面积为181.93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密云区滨河路178号院3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2025年7月3日</v>
      </c>
    </row>
    <row r="13" spans="1:2">
      <c r="A13" s="1119" t="s">
        <v>529</v>
      </c>
      <c r="B13" s="1120" t="str">
        <f>'预评函-1'!A18</f>
        <v>本次估价的“房地产价值”是指在正常市场情况下，在价值时点2025年7月3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171</v>
      </c>
    </row>
    <row r="21" spans="1:2">
      <c r="A21" s="1119" t="s">
        <v>537</v>
      </c>
      <c r="B21" s="1120">
        <f ca="1">'预评函-2'!D7</f>
        <v>9421</v>
      </c>
    </row>
    <row r="22" spans="1:2">
      <c r="A22" s="1119" t="s">
        <v>538</v>
      </c>
      <c r="B22" s="1120" t="str">
        <f ca="1">'预评函-2'!D6</f>
        <v>壹佰柒拾壹万元整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171</v>
      </c>
    </row>
    <row r="31" spans="1:2">
      <c r="A31" s="1119" t="s">
        <v>576</v>
      </c>
      <c r="B31" s="1120">
        <f ca="1">'预评函-2'!D15</f>
        <v>9421</v>
      </c>
    </row>
    <row r="32" spans="1:2">
      <c r="A32" s="1119" t="s">
        <v>543</v>
      </c>
      <c r="B32" s="1120" t="str">
        <f ca="1">'预评函-2'!D14</f>
        <v>壹佰柒拾壹万元整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北京市密云区滨河路178号院3号楼房地产</v>
      </c>
    </row>
    <row r="42" spans="1:2" ht="31.2">
      <c r="A42" s="1119" t="s">
        <v>590</v>
      </c>
      <c r="B42" s="1120" t="str">
        <f>'预评函-3'!B2</f>
        <v>建筑面积</v>
      </c>
    </row>
    <row r="43" spans="1:2">
      <c r="A43" s="1119" t="s">
        <v>591</v>
      </c>
      <c r="B43" s="1120">
        <f>'预评函-3'!B4</f>
        <v>181.93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2576</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2577</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滨河路178号院3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03" t="s">
        <v>2579</v>
      </c>
      <c r="J2" s="3203"/>
      <c r="K2" s="3203"/>
      <c r="L2" s="3203"/>
      <c r="M2" s="3203"/>
      <c r="N2" s="3203"/>
      <c r="O2" s="3203"/>
      <c r="P2" s="3203"/>
      <c r="Q2" s="3203"/>
      <c r="R2" s="3203"/>
    </row>
    <row r="3" spans="1:18">
      <c r="A3" s="2762" t="s">
        <v>2500</v>
      </c>
      <c r="B3" s="2763">
        <f>项目基本情况!D3</f>
        <v>45841</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1.46</v>
      </c>
      <c r="D5" s="2767">
        <f>IF(ISERROR(ROUND(POWER(1+E5,A5-C5)*(POWER(1+E5,C5)-1)/(POWER(1+E5,A5)-1),3)),0,ROUND(POWER(1+E5,A5-C5)*(POWER(1+E5,C5)-1)/(POWER(1+E5,A5)-1),4))</f>
        <v>7.0300000000000001E-2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11.47</v>
      </c>
      <c r="D6" s="2767">
        <f>IF(ISERROR(ROUND(POWER(1+E6,A6-C6)*(POWER(1+E6,C6)-1)/(POWER(1+E6,A6)-1),3)),0,ROUND(POWER(1+E6,A6-C6)*(POWER(1+E6,C6)-1)/(POWER(1+E6,A6)-1),4))</f>
        <v>0.42159999999999997</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31.48</v>
      </c>
      <c r="D7" s="2767">
        <f>IF(ISERROR(ROUND(POWER(1+E7,A7-C7)*(POWER(1+E7,C7)-1)/(POWER(1+E7,A7)-1),3)),0,ROUND(POWER(1+E7,A7-C7)*(POWER(1+E7,C7)-1)/(POWER(1+E7,A7)-1),4))</f>
        <v>0.75770000000000004</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5" thickBot="1">
      <c r="A18" s="2772" t="s">
        <v>2515</v>
      </c>
      <c r="B18" s="2773">
        <f>ROUND(B17*F11/F12,2)</f>
        <v>5541.87</v>
      </c>
      <c r="C18" s="2773">
        <f>ROUND(F11/F12,4)</f>
        <v>1.1521999999999999</v>
      </c>
      <c r="D18" s="2774"/>
      <c r="E18" s="2774"/>
      <c r="F18" s="2775"/>
    </row>
    <row r="19" spans="1:14" ht="15" thickBot="1"/>
    <row r="20" spans="1:14" s="2808" customFormat="1" ht="1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A4"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04" t="str">
        <f>IF(B10="北京市","北京市",C10)&amp;F10&amp;IF(结果表!G1="在建","出让国有建设用地使用权及在建建筑物",IF(结果表!G1="土地","出让国有建设用地使用权",))&amp;B9&amp;"预评估"</f>
        <v>北京市密云区滨河路178号院3号楼房地产抵押价值预评估</v>
      </c>
      <c r="C1" s="3205"/>
      <c r="D1" s="3205"/>
      <c r="E1" s="3205"/>
      <c r="F1" s="3205"/>
      <c r="G1" s="3205"/>
      <c r="H1" s="3205"/>
      <c r="I1" s="32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北京市密云区滨河路178号院3号楼房地产抵押价值</v>
      </c>
      <c r="T1" s="1618"/>
      <c r="U1" s="1618"/>
      <c r="V1" s="1618"/>
      <c r="W1" s="1618"/>
      <c r="X1" s="1618"/>
      <c r="Y1" s="1618"/>
      <c r="Z1" s="1618"/>
      <c r="AA1" s="1618"/>
      <c r="AB1" s="1618"/>
    </row>
    <row r="2" spans="1:30">
      <c r="A2" s="2182" t="s">
        <v>2168</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北京市密云区滨河路178号院3号楼房地产</v>
      </c>
      <c r="T2" s="1618"/>
      <c r="U2" s="1618"/>
      <c r="V2" s="1618"/>
      <c r="W2" s="1618"/>
      <c r="X2" s="1618"/>
      <c r="Y2" s="1618"/>
      <c r="Z2" s="1618"/>
      <c r="AA2" s="1618"/>
      <c r="AB2" s="1618"/>
    </row>
    <row r="3" spans="1:30">
      <c r="A3" s="294" t="s">
        <v>2169</v>
      </c>
      <c r="B3" s="2185"/>
      <c r="C3" s="2186" t="s">
        <v>2170</v>
      </c>
      <c r="D3" s="2185">
        <v>45841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3516</v>
      </c>
      <c r="C8" s="2201"/>
      <c r="D8" s="3207" t="s">
        <v>2176</v>
      </c>
      <c r="E8" s="2202" t="s">
        <v>3517</v>
      </c>
      <c r="F8" s="2203"/>
      <c r="G8" s="2442"/>
      <c r="H8" s="2442"/>
      <c r="I8" s="2442"/>
      <c r="J8" s="2245"/>
      <c r="K8" s="2400"/>
      <c r="L8" s="2399"/>
      <c r="M8" s="2399"/>
      <c r="N8" s="2245"/>
      <c r="O8" s="1670"/>
      <c r="P8" s="2245"/>
      <c r="Q8" s="2245"/>
      <c r="R8" s="2245"/>
    </row>
    <row r="9" spans="1:30" ht="13.8" thickBot="1">
      <c r="A9" s="2204" t="s">
        <v>2177</v>
      </c>
      <c r="B9" s="2205" t="s">
        <v>3517</v>
      </c>
      <c r="C9" s="2206"/>
      <c r="D9" s="3208"/>
      <c r="E9" s="2205" t="s">
        <v>43</v>
      </c>
      <c r="F9" s="2207"/>
      <c r="G9" s="2443"/>
      <c r="H9" s="2443"/>
      <c r="I9" s="2443"/>
      <c r="J9" s="2245"/>
      <c r="K9" s="2402"/>
      <c r="L9" s="2399"/>
      <c r="M9" s="2399"/>
      <c r="N9" s="2245"/>
      <c r="O9" s="1670"/>
      <c r="P9" s="2245"/>
      <c r="Q9" s="2245"/>
      <c r="R9" s="2245"/>
    </row>
    <row r="10" spans="1:30" ht="13.8" thickTop="1">
      <c r="A10" s="2208" t="s">
        <v>2178</v>
      </c>
      <c r="B10" s="2209" t="s">
        <v>3518</v>
      </c>
      <c r="C10" s="2210"/>
      <c r="D10" s="2193"/>
      <c r="E10" s="2211" t="s">
        <v>2179</v>
      </c>
      <c r="F10" s="3500" t="s">
        <v>3521</v>
      </c>
      <c r="G10" s="2444"/>
      <c r="H10" s="2445"/>
      <c r="I10" s="2446"/>
      <c r="J10" s="2245"/>
      <c r="K10" s="2402"/>
      <c r="L10" s="2399"/>
      <c r="M10" s="2399"/>
      <c r="N10" s="2245"/>
      <c r="O10" s="1670"/>
      <c r="P10" s="2245"/>
      <c r="Q10" s="2245"/>
      <c r="R10" s="2245"/>
    </row>
    <row r="11" spans="1:30">
      <c r="A11" s="2212" t="s">
        <v>2180</v>
      </c>
      <c r="B11" s="2213" t="s">
        <v>3519</v>
      </c>
      <c r="C11" s="2214"/>
      <c r="D11" s="2215"/>
      <c r="E11" s="2182"/>
      <c r="F11" s="2182"/>
      <c r="G11" s="2182"/>
      <c r="H11" s="2182"/>
      <c r="I11" s="2182"/>
      <c r="J11" s="2801"/>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0" t="s">
        <v>2575</v>
      </c>
      <c r="J12" s="2802"/>
      <c r="K12" s="2399"/>
      <c r="L12" s="2399"/>
      <c r="M12" s="2245"/>
      <c r="N12" s="1670"/>
      <c r="O12" s="2245"/>
      <c r="P12" s="2245"/>
      <c r="Q12" s="2245"/>
      <c r="AD12" s="1618"/>
    </row>
    <row r="13" spans="1:30">
      <c r="A13" s="3121" t="s">
        <v>3330</v>
      </c>
      <c r="B13" s="2218" t="s">
        <v>2189</v>
      </c>
      <c r="C13" s="803"/>
      <c r="D13" s="803"/>
      <c r="E13" s="803">
        <v>59522</v>
      </c>
      <c r="F13" s="803"/>
      <c r="G13" s="803"/>
      <c r="H13" s="803"/>
      <c r="I13" s="803"/>
      <c r="J13" s="2802"/>
      <c r="K13" s="2399"/>
      <c r="L13" s="2399"/>
      <c r="M13" s="2245"/>
      <c r="N13" s="1670"/>
      <c r="O13" s="2245"/>
      <c r="P13" s="2245"/>
      <c r="Q13" s="2245"/>
      <c r="AD13" s="1618"/>
    </row>
    <row r="14" spans="1:30">
      <c r="A14" s="1018"/>
      <c r="B14" s="2218" t="s">
        <v>2190</v>
      </c>
      <c r="C14" s="2219"/>
      <c r="D14" s="2219"/>
      <c r="E14" s="2219">
        <v>50</v>
      </c>
      <c r="F14" s="2219"/>
      <c r="G14" s="2219"/>
      <c r="H14" s="2219"/>
      <c r="I14" s="2219"/>
      <c r="J14" s="2803"/>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37.479999999999997</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2192</v>
      </c>
      <c r="B16" s="3501" t="s">
        <v>3522</v>
      </c>
      <c r="C16" s="3214"/>
      <c r="D16" s="3215"/>
      <c r="E16" s="2222" t="s">
        <v>2193</v>
      </c>
      <c r="F16" s="3216"/>
      <c r="G16" s="3217"/>
      <c r="H16" s="3217"/>
      <c r="I16" s="3218"/>
      <c r="J16" s="2245"/>
      <c r="K16" s="2403"/>
      <c r="L16" s="1670"/>
      <c r="M16" s="1670"/>
      <c r="N16" s="2245"/>
      <c r="O16" s="1670"/>
      <c r="P16" s="2245"/>
      <c r="Q16" s="2245"/>
      <c r="R16" s="2245"/>
    </row>
    <row r="17" spans="1:28">
      <c r="A17" s="305" t="s">
        <v>2194</v>
      </c>
      <c r="B17" s="294" t="s">
        <v>2195</v>
      </c>
      <c r="C17" s="8">
        <f>'数据-汇总表'!E3</f>
        <v>181.93</v>
      </c>
      <c r="D17" s="1256" t="s">
        <v>2196</v>
      </c>
      <c r="E17" s="3219" t="s">
        <v>2197</v>
      </c>
      <c r="F17" s="3220"/>
      <c r="G17" s="3220"/>
      <c r="H17" s="3220"/>
      <c r="I17" s="3221"/>
      <c r="J17" s="2245"/>
      <c r="K17" s="2404"/>
      <c r="L17" s="1670"/>
      <c r="M17" s="1670"/>
      <c r="N17" s="2245"/>
      <c r="O17" s="1670"/>
      <c r="P17" s="2245"/>
      <c r="Q17" s="2245"/>
      <c r="R17" s="2245"/>
      <c r="S17" s="2245"/>
      <c r="T17" s="2245"/>
      <c r="U17" s="2245"/>
      <c r="V17" s="2245"/>
    </row>
    <row r="18" spans="1:28" ht="24.6" thickBot="1">
      <c r="A18" s="2223" t="s">
        <v>2198</v>
      </c>
      <c r="B18" s="1027" t="s">
        <v>2199</v>
      </c>
      <c r="C18" s="2224">
        <f>'数据-汇总表'!D3</f>
        <v>0</v>
      </c>
      <c r="D18" s="1029" t="s">
        <v>2200</v>
      </c>
      <c r="E18" s="3222" t="s">
        <v>2201</v>
      </c>
      <c r="F18" s="3223"/>
      <c r="G18" s="3223"/>
      <c r="H18" s="3223"/>
      <c r="I18" s="3224"/>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0" t="s">
        <v>2205</v>
      </c>
      <c r="C20" s="3211"/>
      <c r="D20" s="3212" t="s">
        <v>2206</v>
      </c>
      <c r="E20" s="3213"/>
      <c r="F20" s="2430" t="s">
        <v>1056</v>
      </c>
      <c r="G20" s="2442"/>
      <c r="H20" s="2442"/>
      <c r="I20" s="2442"/>
      <c r="J20" s="2245"/>
      <c r="K20" s="320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26" t="s">
        <v>2213</v>
      </c>
      <c r="B27" s="312" t="s">
        <v>2214</v>
      </c>
      <c r="C27" s="2225" t="s">
        <v>3523</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7"/>
      <c r="B30" s="294" t="s">
        <v>2217</v>
      </c>
      <c r="C30" s="3228"/>
      <c r="D30" s="3229"/>
      <c r="E30" s="2442"/>
      <c r="F30" s="2442"/>
      <c r="G30" s="2442"/>
      <c r="H30" s="2442"/>
      <c r="I30" s="2442"/>
      <c r="J30" s="2245"/>
      <c r="K30" s="2402"/>
      <c r="L30" s="2399"/>
      <c r="M30" s="2399"/>
      <c r="N30" s="2245"/>
      <c r="O30" s="1670"/>
      <c r="P30" s="2245"/>
      <c r="Q30" s="2245"/>
      <c r="R30" s="2245"/>
      <c r="S30" s="2245"/>
      <c r="T30" s="2245"/>
      <c r="U30" s="2245"/>
      <c r="V30" s="2245"/>
    </row>
    <row r="31" spans="1:28">
      <c r="A31" s="3230" t="s">
        <v>2218</v>
      </c>
      <c r="B31" s="2231" t="s">
        <v>3524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25" t="s">
        <v>2227</v>
      </c>
      <c r="T34" s="315" t="str">
        <f>NUMBERSTRING(7-K34,1)&amp;"通"</f>
        <v>七通</v>
      </c>
      <c r="U34" s="2245"/>
      <c r="V34" s="2245"/>
    </row>
    <row r="35" spans="1:30">
      <c r="A35" s="2236"/>
      <c r="B35" s="3225" t="s">
        <v>2228</v>
      </c>
      <c r="C35" s="3225"/>
      <c r="D35" s="3225"/>
      <c r="E35" s="322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5"/>
      <c r="V35" s="2245"/>
    </row>
    <row r="36" spans="1:30">
      <c r="A36" s="2183"/>
      <c r="B36" s="8" t="s">
        <v>2184</v>
      </c>
      <c r="C36" s="8" t="s">
        <v>2185</v>
      </c>
      <c r="D36" s="8" t="s">
        <v>2183</v>
      </c>
      <c r="E36" s="8" t="s">
        <v>2188</v>
      </c>
      <c r="F36" s="2800"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t="s">
        <v>306</v>
      </c>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t="s">
        <v>3535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181.93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181.93</v>
      </c>
      <c r="H5" s="13">
        <f t="shared" ref="H5:AT5" si="0">SUM(H13:H656)</f>
        <v>181.93</v>
      </c>
      <c r="I5" s="13">
        <f t="shared" si="0"/>
        <v>181.93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181.93</v>
      </c>
      <c r="BA5" s="15">
        <f t="shared" si="1"/>
        <v>181.93</v>
      </c>
      <c r="BB5" s="15">
        <f t="shared" si="1"/>
        <v>181.93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3526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f>面积信息!E2</f>
        <v>201</v>
      </c>
      <c r="D13" s="1513" t="s">
        <v>3525</v>
      </c>
      <c r="E13" s="13">
        <f>IF($C$3="是",ROUND($A$3*G13/$B$3,2),ROUND($A$3*(G13-AT13)/$B$3,2))</f>
        <v>0</v>
      </c>
      <c r="F13" s="29"/>
      <c r="G13" s="30">
        <f>H13+AC13+AT13</f>
        <v>181.93</v>
      </c>
      <c r="H13" s="17">
        <f>SUMIF(I$12:AB$12,"总值",I13:AB13)</f>
        <v>181.93</v>
      </c>
      <c r="I13" s="1514">
        <f>面积信息!D2</f>
        <v>181.93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201</v>
      </c>
      <c r="AY13" s="1260">
        <f>ROUND($AY$6*AZ13/$AZ$5,2)</f>
        <v>0</v>
      </c>
      <c r="AZ13" s="13">
        <f>BA13+BL13</f>
        <v>181.93</v>
      </c>
      <c r="BA13" s="13">
        <f>SUM(BB13:BK13)</f>
        <v>181.93</v>
      </c>
      <c r="BB13" s="13">
        <f>IF($D13="是",I13-J13,0)</f>
        <v>181.93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39"/>
      <c r="G2" s="2432"/>
      <c r="H2" s="2433"/>
      <c r="I2" s="2146" t="s">
        <v>1132</v>
      </c>
      <c r="J2" s="2439"/>
      <c r="K2" s="2439"/>
      <c r="L2" s="2439"/>
      <c r="M2" s="2439"/>
      <c r="N2" s="2440"/>
      <c r="O2" s="2439"/>
      <c r="P2" s="2439"/>
    </row>
    <row r="3" spans="1:16" ht="15" thickBot="1">
      <c r="A3" s="3242" t="s">
        <v>1105</v>
      </c>
      <c r="B3" s="3242"/>
      <c r="C3" s="3242"/>
      <c r="D3" s="41">
        <f>'数据-基础表'!AY6</f>
        <v>0</v>
      </c>
      <c r="E3" s="41">
        <f>'数据-基础表'!AZ5</f>
        <v>181.93</v>
      </c>
      <c r="F3" s="2439"/>
      <c r="G3" s="42"/>
      <c r="H3" s="43" t="s">
        <v>1106</v>
      </c>
      <c r="I3" s="802" t="e">
        <f>ROUND('数据-基础表'!B3/'数据-基础表'!A3,2)</f>
        <v>#DIV/0!</v>
      </c>
      <c r="J3" s="2439"/>
      <c r="K3" s="2439"/>
      <c r="L3" s="2439"/>
      <c r="M3" s="2439"/>
      <c r="N3" s="2440"/>
      <c r="O3" s="2439"/>
      <c r="P3" s="2439"/>
    </row>
    <row r="4" spans="1:16" ht="14.4">
      <c r="A4" s="3243"/>
      <c r="B4" s="3244"/>
      <c r="C4" s="324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6" t="s">
        <v>1110</v>
      </c>
      <c r="C5" s="324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6" t="s">
        <v>1111</v>
      </c>
      <c r="C6" s="3246"/>
      <c r="D6" s="43">
        <f>ROUND($D$3*E6/$E$3,2)</f>
        <v>0</v>
      </c>
      <c r="E6" s="44">
        <f>E3-E5</f>
        <v>181.93</v>
      </c>
      <c r="F6" s="2439"/>
      <c r="G6" s="1529" t="s">
        <v>1112</v>
      </c>
      <c r="H6" s="45" t="s">
        <v>1113</v>
      </c>
      <c r="I6" s="2435" t="e">
        <f>ROUND(F31/D31,2)</f>
        <v>#DIV/0!</v>
      </c>
      <c r="J6" s="2439"/>
      <c r="K6" s="2439"/>
      <c r="L6" s="2439"/>
      <c r="M6" s="2439"/>
      <c r="N6" s="2439"/>
      <c r="O6" s="2439"/>
      <c r="P6" s="2439"/>
    </row>
    <row r="7" spans="1:16" ht="15" thickBot="1">
      <c r="A7" s="3238"/>
      <c r="B7" s="3239"/>
      <c r="C7" s="3240"/>
      <c r="D7" s="1524" t="s">
        <v>1107</v>
      </c>
      <c r="E7" s="1528" t="s">
        <v>1114</v>
      </c>
      <c r="F7" s="2439"/>
      <c r="G7" s="2436" t="s">
        <v>1115</v>
      </c>
      <c r="H7" s="95"/>
      <c r="I7" s="2437">
        <v>2.6</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181.93</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181.93</v>
      </c>
      <c r="F16" s="2439"/>
      <c r="G16" s="2439"/>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f>'数据-基础表'!C13</f>
        <v>201</v>
      </c>
      <c r="D19" s="43">
        <f>ROUND($D$3*E19/$E$3,2)</f>
        <v>0</v>
      </c>
      <c r="E19" s="51">
        <f t="shared" ref="E19:E26" si="1">SUM(F19:G19)</f>
        <v>181.93</v>
      </c>
      <c r="F19" s="2557">
        <f>'数据-基础表'!G13</f>
        <v>181.93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181.93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181.93</v>
      </c>
      <c r="F27" s="1072">
        <f>IF(SUM(F19:F26)=E8,SUM(F19:F26),"地上面积有误")</f>
        <v>181.93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181.93</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181.93</v>
      </c>
      <c r="F31" s="644">
        <f>F27+F30</f>
        <v>181.93</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45841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201</v>
      </c>
      <c r="B6" s="1587" t="str">
        <f>IF(A6=0,"","经营性")</f>
        <v>经营性</v>
      </c>
      <c r="C6" s="1588" t="s">
        <v>21</v>
      </c>
      <c r="D6" s="805">
        <f>SUMIF(项目基本情况!C$12:I$12,C6,项目基本情况!C$14:I$14)</f>
        <v>50</v>
      </c>
      <c r="E6" s="804">
        <f>IF(B6="","",SUMIF(项目基本情况!C$12:I$12,C6,项目基本情况!C$13:I$13))</f>
        <v>59522</v>
      </c>
      <c r="F6" s="61">
        <f>SUMIF(项目基本情况!C$12:I$12,C6,项目基本情况!C$15:I$15)</f>
        <v>37.479999999999997</v>
      </c>
      <c r="G6" s="62">
        <f>IF(ISERROR(ROUND(POWER(1+H6,D6-F6)*(POWER(1+H6,F6)-1)/(POWER(1+H6,D6)-1),3)),0,ROUND(POWER(1+H6,D6-F6)*(POWER(1+H6,F6)-1)/(POWER(1+H6,D6)-1),3))</f>
        <v>0.92</v>
      </c>
      <c r="H6" s="691">
        <v>0.05</v>
      </c>
      <c r="I6" s="691">
        <v>5.5E-2</v>
      </c>
      <c r="J6" s="63">
        <v>7.0000000000000007E-2</v>
      </c>
      <c r="K6" s="970">
        <f>SUMIF('数据-汇总表'!C$19:C$33,A6,'数据-汇总表'!E$19:E$33)</f>
        <v>181.93</v>
      </c>
      <c r="L6" s="692">
        <v>4000</v>
      </c>
      <c r="M6" s="64">
        <f t="shared" ref="M6:M14" si="0">ROUND(K6*L6/10000,0)</f>
        <v>73</v>
      </c>
      <c r="N6" s="690">
        <f>N19</f>
        <v>0.88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1.5</v>
      </c>
      <c r="V6" s="67">
        <v>0.02</v>
      </c>
      <c r="W6" s="67">
        <v>0.1</v>
      </c>
      <c r="X6" s="979"/>
      <c r="Y6" s="68">
        <f>N6</f>
        <v>0.88</v>
      </c>
      <c r="Z6" s="69"/>
      <c r="AA6" s="63"/>
      <c r="AB6" s="63"/>
      <c r="AC6" s="979"/>
      <c r="AD6" s="70"/>
      <c r="AE6" s="980">
        <f ca="1">IF(AN6="",0,SUMIF(INDIRECT("'"&amp;AN6&amp;"'"&amp;"!E:E"),$AE$5,INDIRECT("'"&amp;AN6&amp;"'"&amp;"!F:F")))</f>
        <v>37.479999999999997</v>
      </c>
      <c r="AF6" s="74"/>
      <c r="AG6" s="130">
        <f>IF(AF6="",0,AE6-AF6)</f>
        <v>0</v>
      </c>
      <c r="AH6" s="71"/>
      <c r="AI6" s="73">
        <v>365</v>
      </c>
      <c r="AJ6" s="74"/>
      <c r="AK6" s="75">
        <v>5.0000000000000001E-3</v>
      </c>
      <c r="AL6" s="76">
        <v>1E-3</v>
      </c>
      <c r="AM6" s="77">
        <v>5.0000000000000001E-3</v>
      </c>
      <c r="AN6" s="1589" t="s">
        <v>3531</v>
      </c>
      <c r="AO6" s="50">
        <f ca="1">SUMIF(INDIRECT("'"&amp;AN6&amp;"'"&amp;"!A:A"),"总价",INDIRECT("'"&amp;AN6&amp;"'"&amp;"!B:B"))</f>
        <v>142.31989999999999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0.92</v>
      </c>
      <c r="H16" s="84">
        <f>ROUND(SUMPRODUCT(H6:H13,K6:K13)/SUMPRODUCT((H6:H13&gt;0)*(K6:K13)),3)</f>
        <v>0.05</v>
      </c>
      <c r="I16" s="85"/>
      <c r="J16" s="85"/>
      <c r="K16" s="86">
        <f>SUM(K6:K15)</f>
        <v>181.93</v>
      </c>
      <c r="L16" s="87">
        <f>ROUND(M16*10000/SUM(K6:K14),0)</f>
        <v>4013</v>
      </c>
      <c r="M16" s="87">
        <f>SUM(M6:M14)</f>
        <v>73</v>
      </c>
      <c r="N16" s="88">
        <f>ROUND(SUMPRODUCT(M6:M14,N6:N14)/M16,3)</f>
        <v>0.88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502" t="s">
        <v>3527</v>
      </c>
      <c r="N18" s="2448">
        <v>2018</v>
      </c>
      <c r="O18" s="3502" t="s">
        <v>3528</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2301</v>
      </c>
      <c r="D19" s="2451"/>
      <c r="E19" s="2439"/>
      <c r="F19" s="2439"/>
      <c r="G19" s="2439"/>
      <c r="H19" s="2439"/>
      <c r="I19" s="2439"/>
      <c r="J19" s="2439"/>
      <c r="K19" s="2449"/>
      <c r="L19" s="2449"/>
      <c r="M19" s="3502" t="s">
        <v>3529</v>
      </c>
      <c r="N19" s="2448">
        <f>ROUND(1-(1-0)*(2025-N18)/60,2)</f>
        <v>0.88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2299</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150</v>
      </c>
      <c r="C27" s="2562" t="s">
        <v>2303</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190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2293</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2294</v>
      </c>
      <c r="D34" s="2459" t="s">
        <v>2300</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2295</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2309</v>
      </c>
      <c r="B40" s="1015">
        <f ca="1">IF(A40="利息：取LPR",存贷款利率!G1,存贷款利率!G1+C40)</f>
        <v>0.03</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3503" t="s">
        <v>3532</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2296</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2297</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2304</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2296</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2298</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29</v>
      </c>
      <c r="C53" s="2440" t="s">
        <v>1246</v>
      </c>
      <c r="D53" s="2565" t="s">
        <v>2302</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47" t="s">
        <v>2285</v>
      </c>
      <c r="B1" s="3248"/>
      <c r="C1" s="3248"/>
      <c r="D1" s="3248"/>
      <c r="E1" s="3248"/>
      <c r="F1" s="3248"/>
      <c r="G1" s="324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4003.36</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45841</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 ca="1">SUM(D14:D23)</f>
        <v>3762</v>
      </c>
      <c r="C5" s="2300">
        <f ca="1">IF(B5=D14,结果表!H102,ROUND(B5*10000/$B$1,0))</f>
        <v>9421</v>
      </c>
      <c r="D5" s="2300" t="e">
        <f ca="1">ROUND(B5*10000/$B$2,0)</f>
        <v>#DIV/0!</v>
      </c>
      <c r="E5" s="2461"/>
      <c r="F5" s="2462"/>
      <c r="G5" s="2462"/>
      <c r="H5" s="2462"/>
      <c r="I5" s="2462"/>
      <c r="J5" s="2462"/>
      <c r="K5" s="2462"/>
    </row>
    <row r="6" spans="1:11" ht="15.6">
      <c r="A6" s="2300" t="s">
        <v>656</v>
      </c>
      <c r="B6" s="2300">
        <f ca="1">SUM(G14:G23)</f>
        <v>3762</v>
      </c>
      <c r="C6" s="2300">
        <f ca="1">IF(B6=G14,结果表!H108,ROUND(B6*10000/$B$1,0))</f>
        <v>9421</v>
      </c>
      <c r="D6" s="2300" t="e">
        <f ca="1">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3354</v>
      </c>
      <c r="D10" s="2300" t="s">
        <v>3355</v>
      </c>
      <c r="E10" s="3136"/>
      <c r="F10" s="3140" t="s">
        <v>3356</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典型户型修正!B22</f>
        <v>4003.36</v>
      </c>
      <c r="C14" s="2306"/>
      <c r="D14" s="2306">
        <f ca="1">典型户型修正!S22</f>
        <v>3762</v>
      </c>
      <c r="E14" s="2306">
        <f ca="1">ROUND(D14*10000/B14,0)</f>
        <v>9397</v>
      </c>
      <c r="F14" s="2306" t="e">
        <f ca="1">ROUND(D14*10000/C14,0)</f>
        <v>#DIV/0!</v>
      </c>
      <c r="G14" s="2306">
        <f ca="1">D14</f>
        <v>3762</v>
      </c>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70" zoomScaleNormal="100" zoomScaleSheetLayoutView="70" zoomScalePageLayoutView="80" workbookViewId="0">
      <selection activeCell="C33" sqref="C3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201</v>
      </c>
      <c r="D1" s="646"/>
      <c r="E1" s="646"/>
      <c r="F1" s="1621" t="s">
        <v>1263</v>
      </c>
      <c r="G1" s="1453" t="s">
        <v>3524</v>
      </c>
      <c r="H1" s="1621" t="str">
        <f>IF(G1="现房","——","估价对象范围")</f>
        <v>——</v>
      </c>
      <c r="I1" s="1622"/>
    </row>
    <row r="2" spans="1:12" ht="21.75" customHeight="1" thickBot="1">
      <c r="A2" s="3316" t="str">
        <f>项目基本情况!S2</f>
        <v>北京市密云区滨河路178号院3号楼房地产</v>
      </c>
      <c r="B2" s="3317"/>
      <c r="C2" s="3317"/>
      <c r="D2" s="3317"/>
      <c r="E2" s="3317"/>
      <c r="F2" s="3317"/>
      <c r="G2" s="3317"/>
      <c r="H2" s="3317"/>
      <c r="I2" s="3318"/>
    </row>
    <row r="3" spans="1:12" ht="13.2">
      <c r="A3" s="3320" t="s">
        <v>1264</v>
      </c>
      <c r="B3" s="3321"/>
      <c r="C3" s="3321"/>
      <c r="D3" s="3321"/>
      <c r="E3" s="3321"/>
      <c r="F3" s="3321"/>
      <c r="G3" s="3321"/>
      <c r="H3" s="3321"/>
      <c r="I3" s="3321"/>
    </row>
    <row r="4" spans="1:12" ht="14.4">
      <c r="A4" s="1624" t="s">
        <v>1265</v>
      </c>
      <c r="B4" s="1625" t="s">
        <v>1266</v>
      </c>
      <c r="C4" s="1626" t="s">
        <v>3549</v>
      </c>
      <c r="D4" s="1626" t="s">
        <v>3531</v>
      </c>
      <c r="E4" s="3325" t="s">
        <v>1267</v>
      </c>
      <c r="F4" s="3326"/>
      <c r="G4" s="3326"/>
      <c r="H4" s="3326"/>
      <c r="I4" s="332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4" t="s">
        <v>1268</v>
      </c>
      <c r="B5" s="3319">
        <v>25</v>
      </c>
      <c r="C5" s="3322"/>
      <c r="D5" s="3310"/>
      <c r="E5" s="123" t="s">
        <v>1269</v>
      </c>
      <c r="F5" s="1627"/>
      <c r="G5" s="1627"/>
      <c r="H5" s="1627"/>
      <c r="I5" s="1281"/>
    </row>
    <row r="6" spans="1:12" ht="13.2">
      <c r="A6" s="3264"/>
      <c r="B6" s="3319"/>
      <c r="C6" s="3324"/>
      <c r="D6" s="3310"/>
      <c r="E6" s="123" t="s">
        <v>1270</v>
      </c>
      <c r="F6" s="1627"/>
      <c r="G6" s="1627"/>
      <c r="H6" s="1627"/>
      <c r="I6" s="1281"/>
    </row>
    <row r="7" spans="1:12" ht="13.2">
      <c r="A7" s="3264"/>
      <c r="B7" s="3319"/>
      <c r="C7" s="3323"/>
      <c r="D7" s="3310"/>
      <c r="E7" s="123" t="s">
        <v>1271</v>
      </c>
      <c r="F7" s="1627"/>
      <c r="G7" s="1627"/>
      <c r="H7" s="1627"/>
      <c r="I7" s="1281"/>
    </row>
    <row r="8" spans="1:12" ht="13.2">
      <c r="A8" s="3264" t="s">
        <v>1272</v>
      </c>
      <c r="B8" s="3319">
        <v>15</v>
      </c>
      <c r="C8" s="3322"/>
      <c r="D8" s="3310"/>
      <c r="E8" s="123" t="s">
        <v>1273</v>
      </c>
      <c r="F8" s="1627"/>
      <c r="G8" s="1627"/>
      <c r="H8" s="1627"/>
      <c r="I8" s="1281"/>
    </row>
    <row r="9" spans="1:12" ht="13.2">
      <c r="A9" s="3264"/>
      <c r="B9" s="3319"/>
      <c r="C9" s="3323"/>
      <c r="D9" s="3310"/>
      <c r="E9" s="123" t="s">
        <v>1274</v>
      </c>
      <c r="F9" s="1627"/>
      <c r="G9" s="1627"/>
      <c r="H9" s="1627"/>
      <c r="I9" s="1281"/>
    </row>
    <row r="10" spans="1:12" ht="13.2">
      <c r="A10" s="3264" t="s">
        <v>1275</v>
      </c>
      <c r="B10" s="3319">
        <v>15</v>
      </c>
      <c r="C10" s="3322"/>
      <c r="D10" s="3310"/>
      <c r="E10" s="123" t="s">
        <v>1276</v>
      </c>
      <c r="F10" s="1627"/>
      <c r="G10" s="1627"/>
      <c r="H10" s="1627"/>
      <c r="I10" s="1281"/>
    </row>
    <row r="11" spans="1:12" ht="13.2">
      <c r="A11" s="3264"/>
      <c r="B11" s="3319"/>
      <c r="C11" s="3323"/>
      <c r="D11" s="3310"/>
      <c r="E11" s="123" t="s">
        <v>1277</v>
      </c>
      <c r="F11" s="1627"/>
      <c r="G11" s="1627"/>
      <c r="H11" s="1627"/>
      <c r="I11" s="1281"/>
    </row>
    <row r="12" spans="1:12" ht="13.2">
      <c r="A12" s="3264" t="s">
        <v>1278</v>
      </c>
      <c r="B12" s="3319">
        <v>15</v>
      </c>
      <c r="C12" s="3322"/>
      <c r="D12" s="3310"/>
      <c r="E12" s="123" t="s">
        <v>1279</v>
      </c>
      <c r="F12" s="1627"/>
      <c r="G12" s="1627"/>
      <c r="H12" s="1627"/>
      <c r="I12" s="1281"/>
    </row>
    <row r="13" spans="1:12" ht="13.2">
      <c r="A13" s="3264"/>
      <c r="B13" s="3319"/>
      <c r="C13" s="3323"/>
      <c r="D13" s="3310"/>
      <c r="E13" s="123" t="s">
        <v>1280</v>
      </c>
      <c r="F13" s="1627"/>
      <c r="G13" s="1627"/>
      <c r="H13" s="1627"/>
      <c r="I13" s="1281"/>
    </row>
    <row r="14" spans="1:12" ht="13.2">
      <c r="A14" s="3264" t="s">
        <v>1281</v>
      </c>
      <c r="B14" s="3319">
        <v>30</v>
      </c>
      <c r="C14" s="3322">
        <v>4</v>
      </c>
      <c r="D14" s="3310">
        <v>6</v>
      </c>
      <c r="E14" s="123" t="s">
        <v>1282</v>
      </c>
      <c r="F14" s="1627"/>
      <c r="G14" s="1627"/>
      <c r="H14" s="1627"/>
      <c r="I14" s="1281"/>
    </row>
    <row r="15" spans="1:12" ht="13.2">
      <c r="A15" s="3264"/>
      <c r="B15" s="3319"/>
      <c r="C15" s="3324"/>
      <c r="D15" s="3310"/>
      <c r="E15" s="123" t="s">
        <v>1283</v>
      </c>
      <c r="F15" s="1627"/>
      <c r="G15" s="1627"/>
      <c r="H15" s="1627"/>
      <c r="I15" s="1281"/>
    </row>
    <row r="16" spans="1:12" ht="13.2">
      <c r="A16" s="3264"/>
      <c r="B16" s="3319"/>
      <c r="C16" s="3323"/>
      <c r="D16" s="3310"/>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41" t="s">
        <v>2130</v>
      </c>
      <c r="F18" s="3342"/>
      <c r="G18" s="3342"/>
      <c r="H18" s="3342"/>
      <c r="I18" s="3342"/>
      <c r="K18" s="294" t="s">
        <v>1289</v>
      </c>
      <c r="L18" s="294">
        <f>IF(C1="",'数据-汇总表'!E3,SUMIF(项目类型,C1,'数据-汇总表'!E17:E26)+SUMIF(项目类型,C1,'数据-汇总表'!I17:I26))</f>
        <v>181.93</v>
      </c>
      <c r="M18" s="294">
        <f>IF(C1="",'数据-汇总表'!E3,SUMIF(项目类型,C1,'数据-汇总表'!E17:E26))</f>
        <v>181.93</v>
      </c>
    </row>
    <row r="19" spans="1:36" ht="14.4">
      <c r="A19" s="1630" t="s">
        <v>1290</v>
      </c>
      <c r="B19" s="1631" t="s">
        <v>1291</v>
      </c>
      <c r="C19" s="126">
        <f ca="1">SUMIF(INDIRECT("'"&amp;C4&amp;"'"&amp;"!A:A"),结果表!B19,INDIRECT("'"&amp;C4&amp;"'"&amp;"!B:B"))</f>
        <v>214.9786</v>
      </c>
      <c r="D19" s="127">
        <f ca="1">SUMIF(INDIRECT("'"&amp;D4&amp;"'"&amp;"!A:A"),结果表!B19,INDIRECT("'"&amp;D4&amp;"'"&amp;"!B:B"))</f>
        <v>142.31989999999999</v>
      </c>
      <c r="E19" s="1630" t="s">
        <v>1292</v>
      </c>
      <c r="F19" s="1631" t="s">
        <v>1291</v>
      </c>
      <c r="G19" s="128">
        <f ca="1">ROUND(C19*$C$18+D19*$D$18,0)</f>
        <v>171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11817</v>
      </c>
      <c r="D20" s="130">
        <f ca="1">SUMIF(INDIRECT("'"&amp;D4&amp;"'"&amp;"!A:A"),结果表!B20,INDIRECT("'"&amp;D4&amp;"'"&amp;"!B:B"))</f>
        <v>7823</v>
      </c>
      <c r="E20" s="1633"/>
      <c r="F20" s="43" t="s">
        <v>1295</v>
      </c>
      <c r="G20" s="131">
        <f ca="1">ROUND(C20*$C$18+D20*$D$18,0)</f>
        <v>9421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0.51053085338030746</v>
      </c>
      <c r="E22" s="121"/>
      <c r="F22" s="121"/>
      <c r="G22" s="121"/>
      <c r="H22" s="121"/>
      <c r="I22" s="121"/>
    </row>
    <row r="23" spans="1:36" ht="13.8" thickBot="1">
      <c r="A23" s="646"/>
      <c r="B23" s="646"/>
      <c r="C23" s="646"/>
      <c r="D23" s="646"/>
      <c r="E23" s="121"/>
      <c r="F23" s="121"/>
      <c r="G23" s="121"/>
      <c r="H23" s="121"/>
      <c r="I23" s="121"/>
    </row>
    <row r="24" spans="1:36" ht="14.4">
      <c r="A24" s="3334" t="s">
        <v>1299</v>
      </c>
      <c r="B24" s="1631" t="s">
        <v>1291</v>
      </c>
      <c r="C24" s="128">
        <f>IF(B30=0,0,D30)</f>
        <v>0</v>
      </c>
      <c r="D24" s="1637"/>
      <c r="E24" s="121"/>
      <c r="F24" s="121"/>
      <c r="G24" s="121"/>
      <c r="H24" s="121"/>
      <c r="I24" s="121"/>
    </row>
    <row r="25" spans="1:36" ht="14.4">
      <c r="A25" s="333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9421</v>
      </c>
      <c r="D32" s="1641" t="s">
        <v>3550</v>
      </c>
      <c r="E32" s="121"/>
      <c r="F32" s="121"/>
      <c r="G32" s="121"/>
      <c r="H32" s="121"/>
      <c r="I32" s="121"/>
    </row>
    <row r="33" spans="1:15" ht="14.4">
      <c r="A33" s="740" t="s">
        <v>1306</v>
      </c>
      <c r="B33" s="123"/>
      <c r="C33" s="1642" t="s">
        <v>3551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1" t="s">
        <v>1312</v>
      </c>
      <c r="B36" s="1652" t="s">
        <v>1313</v>
      </c>
      <c r="C36" s="137"/>
      <c r="D36" s="1653"/>
      <c r="E36" s="1567"/>
      <c r="F36" s="1654"/>
      <c r="G36" s="121"/>
      <c r="H36" s="121"/>
      <c r="I36" s="121"/>
    </row>
    <row r="37" spans="1:15" ht="15" thickBot="1">
      <c r="A37" s="3312"/>
      <c r="B37" s="1555" t="s">
        <v>1314</v>
      </c>
      <c r="C37" s="139"/>
      <c r="D37" s="1071"/>
      <c r="E37" s="1071"/>
      <c r="F37" s="1654"/>
      <c r="G37" s="121"/>
      <c r="H37" s="121"/>
      <c r="I37" s="121"/>
    </row>
    <row r="38" spans="1:15" ht="15" thickBot="1">
      <c r="A38" s="331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1" t="s">
        <v>1326</v>
      </c>
      <c r="B45" s="3332"/>
      <c r="C45" s="3333"/>
      <c r="D45" s="147">
        <f ca="1">ROUND(H101*F45,0)</f>
        <v>171</v>
      </c>
      <c r="E45" s="148" t="s">
        <v>1327</v>
      </c>
      <c r="F45" s="149">
        <v>1</v>
      </c>
      <c r="G45" s="150" t="s">
        <v>1328</v>
      </c>
      <c r="H45" s="121"/>
      <c r="I45" s="121"/>
      <c r="J45" s="3251" t="s">
        <v>1329</v>
      </c>
      <c r="K45" s="3251"/>
      <c r="L45" s="3251"/>
      <c r="M45" s="3251"/>
      <c r="N45" s="3251"/>
      <c r="O45" s="3251"/>
    </row>
    <row r="46" spans="1:15" ht="14.25" customHeight="1">
      <c r="A46" s="3328" t="s">
        <v>1330</v>
      </c>
      <c r="B46" s="3329"/>
      <c r="C46" s="3329"/>
      <c r="D46" s="3329"/>
      <c r="E46" s="3329"/>
      <c r="F46" s="3329"/>
      <c r="G46" s="3330"/>
      <c r="H46" s="1668"/>
      <c r="I46" s="151"/>
      <c r="J46" s="2310">
        <v>1</v>
      </c>
      <c r="K46" s="3252" t="s">
        <v>1331</v>
      </c>
      <c r="L46" s="3252"/>
      <c r="M46" s="3253"/>
      <c r="N46" s="3253"/>
      <c r="O46" s="3253"/>
    </row>
    <row r="47" spans="1:15" ht="12" customHeight="1">
      <c r="A47" s="152" t="s">
        <v>1332</v>
      </c>
      <c r="B47" s="153"/>
      <c r="C47" s="154"/>
      <c r="D47" s="1024" t="s">
        <v>1333</v>
      </c>
      <c r="E47" s="294" t="s">
        <v>1334</v>
      </c>
      <c r="F47" s="155" t="s">
        <v>1335</v>
      </c>
      <c r="G47" s="2333" t="s">
        <v>1336</v>
      </c>
      <c r="H47" s="2334"/>
      <c r="I47" s="151"/>
      <c r="J47" s="2310">
        <v>2</v>
      </c>
      <c r="K47" s="3252" t="s">
        <v>1337</v>
      </c>
      <c r="L47" s="3252"/>
      <c r="M47" s="3254">
        <f>'数据-取费表'!B2</f>
        <v>45841</v>
      </c>
      <c r="N47" s="3254"/>
      <c r="O47" s="3254"/>
    </row>
    <row r="48" spans="1:15" ht="26.4">
      <c r="A48" s="3314" t="s">
        <v>1338</v>
      </c>
      <c r="B48" s="3315"/>
      <c r="C48" s="331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2" t="s">
        <v>1340</v>
      </c>
      <c r="L48" s="3252"/>
      <c r="M48" s="3255">
        <f ca="1">H101</f>
        <v>171</v>
      </c>
      <c r="N48" s="3255"/>
      <c r="O48" s="3255"/>
    </row>
    <row r="49" spans="1:35" ht="25.5" customHeight="1">
      <c r="A49" s="2152" t="s">
        <v>1341</v>
      </c>
      <c r="B49" s="3300" t="s">
        <v>1342</v>
      </c>
      <c r="C49" s="3300"/>
      <c r="D49" s="1478">
        <v>0</v>
      </c>
      <c r="E49" s="316" t="s">
        <v>1343</v>
      </c>
      <c r="F49" s="2233" t="s">
        <v>28</v>
      </c>
      <c r="G49" s="3283"/>
      <c r="H49" s="2134" t="s">
        <v>2133</v>
      </c>
      <c r="I49" s="2135"/>
      <c r="J49" s="2310">
        <v>4</v>
      </c>
      <c r="K49" s="3252" t="str">
        <f>IF(项目基本情况!E8="房地产抵押价值","房地产抵押价值","抵押担保权已注销时的房地产抵押价值")</f>
        <v>房地产抵押价值</v>
      </c>
      <c r="L49" s="3252"/>
      <c r="M49" s="3255">
        <f ca="1">IF(项目基本情况!E8="房地产抵押价值",H107,H109)</f>
        <v>171</v>
      </c>
      <c r="N49" s="3255"/>
      <c r="O49" s="3255"/>
    </row>
    <row r="50" spans="1:35" ht="25.5" customHeight="1">
      <c r="A50" s="2338"/>
      <c r="B50" s="3300" t="s">
        <v>1344</v>
      </c>
      <c r="C50" s="3300"/>
      <c r="D50" s="2189"/>
      <c r="E50" s="323"/>
      <c r="F50" s="2233"/>
      <c r="G50" s="3284"/>
      <c r="H50" s="2136" t="s">
        <v>2134</v>
      </c>
      <c r="I50" s="2135"/>
      <c r="J50" s="3251" t="s">
        <v>1345</v>
      </c>
      <c r="K50" s="3251"/>
      <c r="L50" s="3251"/>
      <c r="M50" s="3251"/>
      <c r="N50" s="3251"/>
      <c r="O50" s="3251"/>
    </row>
    <row r="51" spans="1:35" ht="20.399999999999999" customHeight="1">
      <c r="A51" s="2339"/>
      <c r="B51" s="3300" t="s">
        <v>1346</v>
      </c>
      <c r="C51" s="3300"/>
      <c r="D51" s="1024"/>
      <c r="E51" s="319"/>
      <c r="F51" s="2233"/>
      <c r="G51" s="3285"/>
      <c r="H51" s="2136" t="s">
        <v>2135</v>
      </c>
      <c r="I51" s="2135"/>
      <c r="J51" s="2311" t="s">
        <v>1347</v>
      </c>
      <c r="K51" s="3252" t="s">
        <v>1348</v>
      </c>
      <c r="L51" s="3252"/>
      <c r="M51" s="2311" t="s">
        <v>1349</v>
      </c>
      <c r="N51" s="2311" t="s">
        <v>1350</v>
      </c>
      <c r="O51" s="2311" t="s">
        <v>1351</v>
      </c>
    </row>
    <row r="52" spans="1:35" ht="24" customHeight="1">
      <c r="A52" s="2153" t="s">
        <v>1352</v>
      </c>
      <c r="B52" s="3300" t="s">
        <v>1353</v>
      </c>
      <c r="C52" s="3300"/>
      <c r="D52" s="1024">
        <f ca="1">ROUND(D45*'数据-取费表'!B41/(1+'数据-取费表'!C42),0)</f>
        <v>9</v>
      </c>
      <c r="E52" s="1256" t="s">
        <v>1354</v>
      </c>
      <c r="F52" s="2340">
        <f>'数据-取费表'!B41</f>
        <v>5.6000000000000001E-2</v>
      </c>
      <c r="G52" s="2341"/>
      <c r="H52" s="2331"/>
      <c r="I52" s="1669"/>
      <c r="J52" s="2310">
        <v>1</v>
      </c>
      <c r="K52" s="3277" t="s">
        <v>1355</v>
      </c>
      <c r="L52" s="3277"/>
      <c r="M52" s="2312" t="b">
        <f>D48</f>
        <v>0</v>
      </c>
      <c r="N52" s="2310" t="str">
        <f>E48</f>
        <v>销售额×税（费）率</v>
      </c>
      <c r="O52" s="2313">
        <f>F48</f>
        <v>5.6000000000000001E-2</v>
      </c>
    </row>
    <row r="53" spans="1:35" ht="12" customHeight="1">
      <c r="A53" s="2153" t="s">
        <v>1356</v>
      </c>
      <c r="B53" s="3301" t="s">
        <v>2290</v>
      </c>
      <c r="C53" s="3302"/>
      <c r="D53" s="1024">
        <f ca="1">ROUND(D45*'数据-取费表'!B41/(1+'数据-取费表'!C42),0)</f>
        <v>9</v>
      </c>
      <c r="E53" s="1256" t="s">
        <v>1354</v>
      </c>
      <c r="F53" s="2340">
        <f>'数据-取费表'!B41</f>
        <v>5.6000000000000001E-2</v>
      </c>
      <c r="G53" s="2341"/>
      <c r="H53" s="2331"/>
      <c r="I53" s="1669"/>
      <c r="J53" s="2310">
        <v>2</v>
      </c>
      <c r="K53" s="3277" t="s">
        <v>1357</v>
      </c>
      <c r="L53" s="3277"/>
      <c r="M53" s="2312">
        <f t="shared" ref="M53:O54" ca="1" si="0">D55</f>
        <v>0</v>
      </c>
      <c r="N53" s="2310" t="str">
        <f t="shared" si="0"/>
        <v>销售额×税（费）率</v>
      </c>
      <c r="O53" s="2313" t="str">
        <f t="shared" si="0"/>
        <v>免征</v>
      </c>
    </row>
    <row r="54" spans="1:35" ht="12" customHeight="1">
      <c r="A54" s="2153" t="s">
        <v>1358</v>
      </c>
      <c r="B54" s="3301" t="s">
        <v>2291</v>
      </c>
      <c r="C54" s="3302"/>
      <c r="D54" s="1024">
        <f ca="1">C68</f>
        <v>9</v>
      </c>
      <c r="E54" s="319" t="s">
        <v>1359</v>
      </c>
      <c r="F54" s="2340">
        <f>'数据-取费表'!B41</f>
        <v>5.6000000000000001E-2</v>
      </c>
      <c r="G54" s="2341"/>
      <c r="H54" s="2342"/>
      <c r="I54" s="1669"/>
      <c r="J54" s="2310">
        <v>3</v>
      </c>
      <c r="K54" s="3277" t="s">
        <v>1360</v>
      </c>
      <c r="L54" s="3277"/>
      <c r="M54" s="2312">
        <f t="shared" ca="1" si="0"/>
        <v>97</v>
      </c>
      <c r="N54" s="2310" t="str">
        <f t="shared" si="0"/>
        <v>增值额×税（费）率</v>
      </c>
      <c r="O54" s="2314" t="str">
        <f t="shared" si="0"/>
        <v>免征</v>
      </c>
    </row>
    <row r="55" spans="1:35" ht="24" customHeight="1">
      <c r="A55" s="3337" t="s">
        <v>1361</v>
      </c>
      <c r="B55" s="3315"/>
      <c r="C55" s="3315"/>
      <c r="D55" s="12">
        <f ca="1">IF(H55="个人住宅",0,ROUND(D45*I55,0))</f>
        <v>0</v>
      </c>
      <c r="E55" s="1256" t="s">
        <v>1362</v>
      </c>
      <c r="F55" s="2340" t="str">
        <f>IF(H55="正常",I55,"免征")</f>
        <v>免征</v>
      </c>
      <c r="G55" s="2341"/>
      <c r="H55" s="2337"/>
      <c r="I55" s="157">
        <f>'数据-取费表'!B49</f>
        <v>5.0000000000000001E-4</v>
      </c>
      <c r="J55" s="2310">
        <f>IF(H59="非个人房产","",4)</f>
        <v>4</v>
      </c>
      <c r="K55" s="3277" t="str">
        <f>IF(H59="非个人房产","——","个人所得税")</f>
        <v>个人所得税</v>
      </c>
      <c r="L55" s="3277"/>
      <c r="M55" s="2315">
        <f ca="1">D59</f>
        <v>2</v>
      </c>
      <c r="N55" s="1883" t="str">
        <f>E59</f>
        <v>差额计税</v>
      </c>
      <c r="O55" s="2316">
        <f>F59</f>
        <v>0.01</v>
      </c>
    </row>
    <row r="56" spans="1:35" ht="25.2">
      <c r="A56" s="3337" t="s">
        <v>1363</v>
      </c>
      <c r="B56" s="3315"/>
      <c r="C56" s="3315"/>
      <c r="D56" s="12">
        <f ca="1">IF(H56="个人住宅",D57,D58)</f>
        <v>97</v>
      </c>
      <c r="E56" s="1256" t="s">
        <v>1364</v>
      </c>
      <c r="F56" s="2340" t="str">
        <f>IF(H56="正常",F58,"免征")</f>
        <v>免征</v>
      </c>
      <c r="G56" s="2343" t="s">
        <v>1365</v>
      </c>
      <c r="H56" s="2344"/>
      <c r="I56" s="1670"/>
      <c r="J56" s="2310" t="str">
        <f>IF(项目基本情况!K6="上海银行",IF(J55="",4,J55+1),"")</f>
        <v/>
      </c>
      <c r="K56" s="3258" t="str">
        <f>IF(项目基本情况!K6="上海银行","其他处置费用","")</f>
        <v/>
      </c>
      <c r="L56" s="3259"/>
      <c r="M56" s="2312" t="str">
        <f>IF(项目基本情况!K6="上海银行",M69,"")</f>
        <v/>
      </c>
      <c r="N56" s="3258" t="str">
        <f>IF(项目基本情况!K6="上海银行","包含处置中涉及的律师、诉讼、拍卖、评估等费用","")</f>
        <v/>
      </c>
      <c r="O56" s="3261"/>
    </row>
    <row r="57" spans="1:35" ht="13.2">
      <c r="A57" s="2153" t="s">
        <v>1341</v>
      </c>
      <c r="B57" s="3301" t="s">
        <v>1366</v>
      </c>
      <c r="C57" s="3302"/>
      <c r="D57" s="1478">
        <v>0</v>
      </c>
      <c r="E57" s="316" t="s">
        <v>1343</v>
      </c>
      <c r="F57" s="294"/>
      <c r="G57" s="2341"/>
      <c r="H57" s="2345"/>
      <c r="I57" s="1670"/>
      <c r="J57" s="3277">
        <f>IF(AND(J55="",J56=""),4,IF(项目基本情况!K6="上海银行",结果表!J56+1,结果表!J55+1))</f>
        <v>5</v>
      </c>
      <c r="K57" s="3277" t="s">
        <v>1367</v>
      </c>
      <c r="L57" s="2317" t="s">
        <v>1368</v>
      </c>
      <c r="M57" s="2318"/>
      <c r="N57" s="2319">
        <f ca="1">SUMIF(M52:M56,"&lt;9e307")</f>
        <v>99</v>
      </c>
      <c r="O57" s="2320"/>
      <c r="P57" s="2464">
        <f ca="1">N57/M49</f>
        <v>0.57894736842105265</v>
      </c>
    </row>
    <row r="58" spans="1:35" ht="25.2">
      <c r="A58" s="2153" t="s">
        <v>1352</v>
      </c>
      <c r="B58" s="3301" t="s">
        <v>1369</v>
      </c>
      <c r="C58" s="3300"/>
      <c r="D58" s="12">
        <f ca="1">IF(H58="转让取得",C81,C97)</f>
        <v>97</v>
      </c>
      <c r="E58" s="1256" t="s">
        <v>1364</v>
      </c>
      <c r="F58" s="294" t="s">
        <v>28</v>
      </c>
      <c r="G58" s="2341"/>
      <c r="H58" s="2344"/>
      <c r="I58" s="1670"/>
      <c r="J58" s="3277"/>
      <c r="K58" s="3277"/>
      <c r="L58" s="2317" t="s">
        <v>1370</v>
      </c>
      <c r="M58" s="2321"/>
      <c r="N58" s="2322" t="str">
        <f ca="1">NUMBERSTRING(INT(N57*10000),2)&amp;"元整"</f>
        <v>玖拾玖万元整</v>
      </c>
      <c r="O58" s="2323"/>
    </row>
    <row r="59" spans="1:35" ht="24.6" thickBot="1">
      <c r="A59" s="3281" t="s">
        <v>1371</v>
      </c>
      <c r="B59" s="3282"/>
      <c r="C59" s="3282"/>
      <c r="D59" s="2346">
        <f ca="1">IF(H59="非个人房产","——",IF(H59="个人住宅（满五唯一有凭证）",0,IF(H59="个人其他（无凭证）",ROUND(D45*F59,0),ROUND(C67*F59,0))))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79">
        <f>J57+1</f>
        <v>6</v>
      </c>
      <c r="K59" s="3277" t="s">
        <v>1372</v>
      </c>
      <c r="L59" s="2310" t="s">
        <v>1368</v>
      </c>
      <c r="M59" s="2324"/>
      <c r="N59" s="2325">
        <f ca="1">M49-N57</f>
        <v>72</v>
      </c>
      <c r="O59" s="2326"/>
    </row>
    <row r="60" spans="1:35" ht="12" customHeight="1">
      <c r="A60" s="1671"/>
      <c r="B60" s="646"/>
      <c r="C60" s="646"/>
      <c r="D60" s="646"/>
      <c r="E60" s="1466"/>
      <c r="F60" s="1670"/>
      <c r="G60" s="1670"/>
      <c r="H60" s="151"/>
      <c r="I60" s="121"/>
      <c r="J60" s="3280"/>
      <c r="K60" s="3277"/>
      <c r="L60" s="2317" t="s">
        <v>1370</v>
      </c>
      <c r="M60" s="2321"/>
      <c r="N60" s="2322" t="str">
        <f ca="1">NUMBERSTRING(INT(N59*10000),2)&amp;"元整"</f>
        <v>柒拾贰万元整</v>
      </c>
      <c r="O60" s="2323"/>
    </row>
    <row r="61" spans="1:35" ht="13.8" thickBot="1">
      <c r="A61" s="3336" t="s">
        <v>1373</v>
      </c>
      <c r="B61" s="3336"/>
      <c r="C61" s="3336"/>
      <c r="D61" s="3336"/>
      <c r="E61" s="3336"/>
      <c r="F61" s="1670"/>
      <c r="G61" s="1670"/>
      <c r="H61" s="151"/>
      <c r="I61" s="121"/>
      <c r="J61" s="2310">
        <f>J59+1</f>
        <v>7</v>
      </c>
      <c r="K61" s="3277" t="s">
        <v>1374</v>
      </c>
      <c r="L61" s="3277"/>
      <c r="M61" s="2327"/>
      <c r="N61" s="2328">
        <f ca="1">ROUND(N59*10000/'数据-汇总表'!E3,0)</f>
        <v>3958</v>
      </c>
      <c r="O61" s="2329"/>
    </row>
    <row r="62" spans="1:35" ht="13.2">
      <c r="A62" s="3296" t="s">
        <v>1375</v>
      </c>
      <c r="B62" s="3297"/>
      <c r="C62" s="1865"/>
      <c r="D62" s="1865" t="s">
        <v>1376</v>
      </c>
      <c r="E62" s="158" t="s">
        <v>1377</v>
      </c>
      <c r="F62" s="1670"/>
      <c r="G62" s="1670"/>
      <c r="H62" s="151"/>
      <c r="I62" s="121"/>
    </row>
    <row r="63" spans="1:35" ht="13.2">
      <c r="A63" s="165" t="s">
        <v>330</v>
      </c>
      <c r="B63" s="159" t="s">
        <v>1378</v>
      </c>
      <c r="C63" s="2350">
        <f ca="1">ROUND((C64+C65)/(1+'数据-取费表'!C42),0)</f>
        <v>163</v>
      </c>
      <c r="D63" s="159"/>
      <c r="E63" s="160"/>
      <c r="F63" s="1670"/>
      <c r="G63" s="1670"/>
      <c r="H63" s="151"/>
      <c r="I63" s="121"/>
      <c r="J63" s="3260" t="s">
        <v>1379</v>
      </c>
      <c r="K63" s="1245" t="s">
        <v>1380</v>
      </c>
      <c r="L63" s="1245">
        <f ca="1">IF(M49&gt;10000,M49*0.5%,IF(AND(M49&gt;1000,M49&lt;=10000),M49*1%,IF(AND(M49&gt;100,M49&lt;=1000),M49*3%,IF(AND(M49&gt;10,M49&lt;=100),M49*5%,M49*8%))))</f>
        <v>5.13</v>
      </c>
      <c r="M63" s="294">
        <f ca="1">ROUND(L63,1)</f>
        <v>5.0999999999999996</v>
      </c>
      <c r="N63" s="2330"/>
      <c r="Z63" s="1623"/>
      <c r="AI63" s="1561"/>
    </row>
    <row r="64" spans="1:35" ht="14.25" customHeight="1">
      <c r="A64" s="161" t="s">
        <v>325</v>
      </c>
      <c r="B64" s="162" t="s">
        <v>1381</v>
      </c>
      <c r="C64" s="2351">
        <f ca="1">D45</f>
        <v>171</v>
      </c>
      <c r="D64" s="162" t="s">
        <v>26</v>
      </c>
      <c r="E64" s="164"/>
      <c r="F64" s="1670"/>
      <c r="G64" s="1670"/>
      <c r="H64" s="151"/>
      <c r="I64" s="121"/>
      <c r="J64" s="3260"/>
      <c r="K64" s="1245" t="s">
        <v>1382</v>
      </c>
      <c r="L64" s="1245">
        <f ca="1">IF(M49&gt;2000,M49*0.5%,IF(AND(M49&gt;1000,M49&lt;=2000),M49*0.6%,IF(AND(M49&gt;500,M49&lt;=1000),M49*0.7%,IF(AND(M49&gt;200,M49&lt;=500),M49*0.8%,IF(AND(M49&gt;100,M49&lt;=200),M49*0.9%,IF(AND(M49&gt;50,M49&lt;=100),M49*1%,IF(AND(M49&gt;20,M49&lt;=50),M49*1.5%,IF(AND(M49&gt;10,M49&lt;=20),M49*2%,IF(AND(M49&gt;1,M49&lt;=10),M49*2.5%)))))))))</f>
        <v>1.5390000000000001</v>
      </c>
      <c r="M64" s="294">
        <f t="shared" ref="M64:M65" ca="1" si="1">ROUND(L64,1)</f>
        <v>1.5</v>
      </c>
      <c r="N64" s="2331" t="s">
        <v>1383</v>
      </c>
      <c r="Z64" s="1623"/>
      <c r="AI64" s="1561"/>
    </row>
    <row r="65" spans="1:35" ht="14.25" customHeight="1">
      <c r="A65" s="161" t="s">
        <v>326</v>
      </c>
      <c r="B65" s="162" t="s">
        <v>1384</v>
      </c>
      <c r="C65" s="2352"/>
      <c r="D65" s="162"/>
      <c r="E65" s="164"/>
      <c r="F65" s="1670"/>
      <c r="G65" s="1670"/>
      <c r="H65" s="151"/>
      <c r="I65" s="121"/>
      <c r="J65" s="3260"/>
      <c r="K65" s="1245" t="s">
        <v>1385</v>
      </c>
      <c r="L65" s="1245">
        <f ca="1">IF(M49&gt;1000,M49*0.1%,IF(AND(M49&gt;500,M49&lt;=1000),M49*0.5%,IF(AND(M49&gt;50,M49&lt;=500),M49*1%,IF(AND(M49&gt;1,M49&lt;=50),M49*1.5%))))</f>
        <v>1.71</v>
      </c>
      <c r="M65" s="294">
        <f t="shared" ca="1" si="1"/>
        <v>1.7</v>
      </c>
      <c r="N65" s="2331" t="s">
        <v>1383</v>
      </c>
      <c r="Z65" s="1623"/>
      <c r="AI65" s="1561"/>
    </row>
    <row r="66" spans="1:35" ht="14.25" customHeight="1">
      <c r="A66" s="165" t="s">
        <v>327</v>
      </c>
      <c r="B66" s="166" t="s">
        <v>1386</v>
      </c>
      <c r="C66" s="2353"/>
      <c r="D66" s="166" t="s">
        <v>26</v>
      </c>
      <c r="E66" s="1251" t="s">
        <v>671</v>
      </c>
      <c r="F66" s="1670"/>
      <c r="G66" s="1670"/>
      <c r="H66" s="151"/>
      <c r="I66" s="121"/>
      <c r="J66" s="3260"/>
      <c r="K66" s="1245" t="s">
        <v>1387</v>
      </c>
      <c r="L66" s="1245">
        <f ca="1">M49*0.5%</f>
        <v>0.85499999999999998</v>
      </c>
      <c r="M66" s="294">
        <f ca="1">IF(L66&gt;0.5,0.5,ROUND(L66,0))</f>
        <v>0.5</v>
      </c>
      <c r="N66" s="2331" t="s">
        <v>1388</v>
      </c>
      <c r="Z66" s="1623"/>
      <c r="AI66" s="1561"/>
    </row>
    <row r="67" spans="1:35" ht="14.25" customHeight="1">
      <c r="A67" s="165" t="s">
        <v>328</v>
      </c>
      <c r="B67" s="166" t="s">
        <v>1389</v>
      </c>
      <c r="C67" s="2354">
        <f ca="1">C63-C66</f>
        <v>163</v>
      </c>
      <c r="D67" s="162" t="s">
        <v>26</v>
      </c>
      <c r="E67" s="164"/>
      <c r="F67" s="1670"/>
      <c r="G67" s="1670"/>
      <c r="H67" s="151"/>
      <c r="I67" s="121"/>
      <c r="J67" s="3260"/>
      <c r="K67" s="1245" t="s">
        <v>1390</v>
      </c>
      <c r="L67" s="1245">
        <f ca="1">IF(M49&gt;=10000,(8.25+(M49-10000)*0.01%),IF(AND(M49&gt;=8000,M49&lt;10000),(7.85+(M49-8000)*0.02%),IF(AND(M49&gt;=5000,M49&lt;8000),(6.65+(M49-5000)*0.04%),IF(AND(M49&gt;=2000,M49&lt;5000),(4.25+(PM49-2000)*0.08%),IF(AND(M49&gt;=1000,M49&lt;2000),(2.75+(M49-1000)*0.15%),IF(AND(M49&gt;=100,M49&lt;1000),(0.5+(M49-100)*0.25%),IF(AND(M49&gt;0,M49&lt;100),M49*0.5%)))))))</f>
        <v>0.67749999999999999</v>
      </c>
      <c r="M67" s="294">
        <f ca="1">ROUND(L67*0.9,1)</f>
        <v>0.6</v>
      </c>
      <c r="N67" s="2330"/>
      <c r="Z67" s="1623"/>
      <c r="AI67" s="1561"/>
    </row>
    <row r="68" spans="1:35" ht="14.25" customHeight="1" thickBot="1">
      <c r="A68" s="168" t="s">
        <v>329</v>
      </c>
      <c r="B68" s="169" t="s">
        <v>1391</v>
      </c>
      <c r="C68" s="2355">
        <f ca="1">IF(C67&lt;=0,0,ROUND(C67*D68,0))</f>
        <v>9</v>
      </c>
      <c r="D68" s="2356">
        <f>'数据-取费表'!B41</f>
        <v>5.6000000000000001E-2</v>
      </c>
      <c r="E68" s="170"/>
      <c r="F68" s="1670"/>
      <c r="G68" s="1670"/>
      <c r="H68" s="151"/>
      <c r="I68" s="121"/>
      <c r="J68" s="3260"/>
      <c r="K68" s="1245" t="s">
        <v>1392</v>
      </c>
      <c r="L68" s="1245">
        <f ca="1">IF(M49&gt;10000,M49*0.5%,IF(AND(M49&gt;5000,M49&lt;=10000),M49*1%,IF(AND(M49&gt;1000,M49&lt;=5000),M49*2%,IF(AND(M49&gt;200,M49&lt;=1000),M49*3%,M49*5%))))</f>
        <v>8.5500000000000007</v>
      </c>
      <c r="M68" s="294">
        <f ca="1">ROUND(L68,1)</f>
        <v>8.6</v>
      </c>
      <c r="N68" s="2330"/>
      <c r="Z68" s="1623"/>
      <c r="AI68" s="1561"/>
    </row>
    <row r="69" spans="1:35" ht="16.5" customHeight="1">
      <c r="A69" s="1672"/>
      <c r="B69" s="1673"/>
      <c r="C69" s="1674"/>
      <c r="D69" s="1675"/>
      <c r="E69" s="1676"/>
      <c r="F69" s="1466"/>
      <c r="G69" s="1466"/>
      <c r="H69" s="1467"/>
      <c r="I69" s="646"/>
      <c r="J69" s="3260"/>
      <c r="K69" s="1245" t="s">
        <v>1393</v>
      </c>
      <c r="L69" s="1245"/>
      <c r="M69" s="294">
        <f ca="1">ROUND(SUM(M63:M68),0)</f>
        <v>18</v>
      </c>
      <c r="N69" s="2332">
        <f ca="1">M69/M49</f>
        <v>0.10526315789473684</v>
      </c>
      <c r="Z69" s="1623"/>
      <c r="AI69" s="1561"/>
    </row>
    <row r="70" spans="1:35" s="642" customFormat="1" ht="14.4"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6" t="s">
        <v>1375</v>
      </c>
      <c r="B71" s="329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163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1" t="s">
        <v>1402</v>
      </c>
      <c r="F76" s="3300"/>
      <c r="G76" s="3300"/>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293" t="s">
        <v>1406</v>
      </c>
      <c r="F78" s="3294"/>
      <c r="G78" s="3294"/>
      <c r="H78" s="329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162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97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6" t="s">
        <v>1375</v>
      </c>
      <c r="B84" s="329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163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62" t="s">
        <v>2128</v>
      </c>
      <c r="H90" s="3263"/>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3" t="s">
        <v>1419</v>
      </c>
      <c r="F91" s="3294"/>
      <c r="G91" s="329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3" t="s">
        <v>1422</v>
      </c>
      <c r="F92" s="3294"/>
      <c r="G92" s="3294"/>
      <c r="H92" s="3295"/>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293" t="s">
        <v>1406</v>
      </c>
      <c r="F93" s="3294"/>
      <c r="G93" s="3294"/>
      <c r="H93" s="329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8" t="s">
        <v>1426</v>
      </c>
      <c r="F94" s="3339"/>
      <c r="G94" s="3339"/>
      <c r="H94" s="334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162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97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78"/>
      <c r="E100" s="3244" t="s">
        <v>1429</v>
      </c>
      <c r="F100" s="3244"/>
      <c r="G100" s="3244"/>
      <c r="H100" s="3278"/>
      <c r="I100" s="121"/>
    </row>
    <row r="101" spans="1:35" ht="18.75" customHeight="1">
      <c r="A101" s="3286" t="s">
        <v>1430</v>
      </c>
      <c r="B101" s="3287"/>
      <c r="C101" s="2371" t="str">
        <f>C4</f>
        <v>成本法 (元)</v>
      </c>
      <c r="D101" s="2372" t="str">
        <f>D4</f>
        <v>收益法 (元)</v>
      </c>
      <c r="E101" s="3256" t="s">
        <v>1431</v>
      </c>
      <c r="F101" s="3257"/>
      <c r="G101" s="1687" t="s">
        <v>1432</v>
      </c>
      <c r="H101" s="2381">
        <f ca="1">H118</f>
        <v>171</v>
      </c>
      <c r="I101" s="121"/>
    </row>
    <row r="102" spans="1:35" ht="18.75" customHeight="1">
      <c r="A102" s="3288" t="s">
        <v>1433</v>
      </c>
      <c r="B102" s="2370" t="s">
        <v>1432</v>
      </c>
      <c r="C102" s="2371">
        <f ca="1">IF(D32="楼面单价",ROUND(C19,0),C19)</f>
        <v>215</v>
      </c>
      <c r="D102" s="2372">
        <f ca="1">IF(D32="楼面单价",ROUND(D19,0),D19)</f>
        <v>142</v>
      </c>
      <c r="E102" s="3256"/>
      <c r="F102" s="3257"/>
      <c r="G102" s="1687" t="s">
        <v>1434</v>
      </c>
      <c r="H102" s="2341">
        <f ca="1">I118</f>
        <v>9421</v>
      </c>
      <c r="I102" s="121"/>
    </row>
    <row r="103" spans="1:35" ht="42.75" customHeight="1">
      <c r="A103" s="3288"/>
      <c r="B103" s="2370" t="s">
        <v>1434</v>
      </c>
      <c r="C103" s="2373">
        <f ca="1">C20</f>
        <v>11817</v>
      </c>
      <c r="D103" s="2374">
        <f ca="1">D20</f>
        <v>7823</v>
      </c>
      <c r="E103" s="3249" t="s">
        <v>1435</v>
      </c>
      <c r="F103" s="3250"/>
      <c r="G103" s="1688" t="s">
        <v>1436</v>
      </c>
      <c r="H103" s="2381">
        <f>IF(D36="正常操作",H104+H105+H106,H105+H106)</f>
        <v>0</v>
      </c>
      <c r="I103" s="121"/>
    </row>
    <row r="104" spans="1:35" ht="18.75" customHeight="1">
      <c r="A104" s="3288" t="s">
        <v>1437</v>
      </c>
      <c r="B104" s="2375" t="s">
        <v>1432</v>
      </c>
      <c r="C104" s="2376">
        <f ca="1">H118</f>
        <v>171</v>
      </c>
      <c r="D104" s="2377"/>
      <c r="E104" s="1555" t="s">
        <v>1438</v>
      </c>
      <c r="F104" s="1548"/>
      <c r="G104" s="1688" t="s">
        <v>1436</v>
      </c>
      <c r="H104" s="2382">
        <f>IF(D36="同一抵押权人同一抵押物续贷",C36&amp;"（续贷，未扣减，详见特别提示）",C36)</f>
        <v>0</v>
      </c>
      <c r="I104" s="121"/>
    </row>
    <row r="105" spans="1:35" ht="18.75" customHeight="1" thickBot="1">
      <c r="A105" s="3298"/>
      <c r="B105" s="2378" t="s">
        <v>1434</v>
      </c>
      <c r="C105" s="2379">
        <f ca="1">I118</f>
        <v>9421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9" t="str">
        <f>IF(项目基本情况!E8="已注销","——","3.房地产抵押价值")</f>
        <v>3.房地产抵押价值</v>
      </c>
      <c r="F107" s="3257"/>
      <c r="G107" s="1687" t="s">
        <v>1432</v>
      </c>
      <c r="H107" s="2381">
        <f ca="1">IF(E107="——","——",H101-H103)</f>
        <v>171</v>
      </c>
      <c r="I107" s="121"/>
    </row>
    <row r="108" spans="1:35" ht="18.75" customHeight="1">
      <c r="A108" s="121"/>
      <c r="B108" s="121"/>
      <c r="C108" s="121"/>
      <c r="D108" s="121"/>
      <c r="E108" s="3289"/>
      <c r="F108" s="3257"/>
      <c r="G108" s="1687" t="s">
        <v>1434</v>
      </c>
      <c r="H108" s="2341">
        <f ca="1">IF(H107=H101,H102,ROUND(H107*10000/'数据-汇总表'!E3,0))</f>
        <v>9421</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57"/>
      <c r="G109" s="1687" t="s">
        <v>1432</v>
      </c>
      <c r="H109" s="2384" t="str">
        <f>IF(E109="——","——",H101-H105-H106)</f>
        <v>——</v>
      </c>
      <c r="I109" s="121"/>
    </row>
    <row r="110" spans="1:35" ht="18.75" customHeight="1">
      <c r="A110" s="121"/>
      <c r="B110" s="121"/>
      <c r="C110" s="121"/>
      <c r="D110" s="121"/>
      <c r="E110" s="3289"/>
      <c r="F110" s="3257"/>
      <c r="G110" s="1687" t="s">
        <v>1434</v>
      </c>
      <c r="H110" s="2341" t="str">
        <f>IF(H109="——","——",ROUND(H109*10000/'数据-汇总表'!E3,0))</f>
        <v>——</v>
      </c>
      <c r="I110" s="121"/>
    </row>
    <row r="111" spans="1:35" ht="18.75" customHeight="1">
      <c r="A111" s="121"/>
      <c r="B111" s="121"/>
      <c r="C111" s="121"/>
      <c r="D111" s="121"/>
      <c r="E111" s="3290" t="str">
        <f>IF(项目基本情况!E9="抵押净值",IF(OR(项目基本情况!E8="已注销",项目基本情况!E8="房地产抵押价值"),"4.抵押净值","5.抵押净值"),"——")</f>
        <v>——</v>
      </c>
      <c r="F111" s="3276"/>
      <c r="G111" s="1687" t="s">
        <v>1432</v>
      </c>
      <c r="H111" s="2381" t="str">
        <f>IF(E111="——","——",N59)</f>
        <v>——</v>
      </c>
      <c r="I111" s="121"/>
    </row>
    <row r="112" spans="1:35" ht="18.75" customHeight="1" thickBot="1">
      <c r="A112" s="121"/>
      <c r="B112" s="121"/>
      <c r="C112" s="121"/>
      <c r="D112" s="121"/>
      <c r="E112" s="3291"/>
      <c r="F112" s="3292"/>
      <c r="G112" s="1690" t="s">
        <v>1434</v>
      </c>
      <c r="H112" s="2385"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4" t="s">
        <v>1443</v>
      </c>
      <c r="B116" s="3268" t="s">
        <v>1444</v>
      </c>
      <c r="C116" s="3268" t="s">
        <v>1445</v>
      </c>
      <c r="D116" s="3274" t="s">
        <v>1446</v>
      </c>
      <c r="E116" s="3275"/>
      <c r="F116" s="3306" t="s">
        <v>1447</v>
      </c>
      <c r="G116" s="3306"/>
      <c r="H116" s="3264" t="s">
        <v>1448</v>
      </c>
      <c r="I116" s="3264"/>
    </row>
    <row r="117" spans="1:27" ht="18.75" customHeight="1">
      <c r="A117" s="3264"/>
      <c r="B117" s="3269"/>
      <c r="C117" s="3269"/>
      <c r="D117" s="2150" t="s">
        <v>1449</v>
      </c>
      <c r="E117" s="2150" t="s">
        <v>1450</v>
      </c>
      <c r="F117" s="2150" t="s">
        <v>1449</v>
      </c>
      <c r="G117" s="2150" t="s">
        <v>1451</v>
      </c>
      <c r="H117" s="2150" t="s">
        <v>1449</v>
      </c>
      <c r="I117" s="2150" t="s">
        <v>1451</v>
      </c>
    </row>
    <row r="118" spans="1:27" ht="24.75" customHeight="1">
      <c r="A118" s="2386" t="str">
        <f>项目基本情况!S2</f>
        <v>北京市密云区滨河路178号院3号楼房地产</v>
      </c>
      <c r="B118" s="2150">
        <f>M18</f>
        <v>181.93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171</v>
      </c>
      <c r="I118" s="2150">
        <f ca="1">ROUND(IF(D32="楼面单价",C32,H118*10000/B118),0)</f>
        <v>9421</v>
      </c>
    </row>
    <row r="119" spans="1:27" ht="18.75" customHeight="1">
      <c r="A119" s="3264" t="s">
        <v>1452</v>
      </c>
      <c r="B119" s="3264"/>
      <c r="C119" s="3264"/>
      <c r="D119" s="3270" t="str">
        <f>NUMBERSTRING(INT(D118*10000),2)&amp;"元整"</f>
        <v>零元整</v>
      </c>
      <c r="E119" s="3271"/>
      <c r="F119" s="3270" t="str">
        <f>NUMBERSTRING(INT(F118*10000),2)&amp;"元整"</f>
        <v>零元整</v>
      </c>
      <c r="G119" s="3271"/>
      <c r="H119" s="3270" t="str">
        <f ca="1">NUMBERSTRING(INT(H118*10000),2)&amp;"元整"</f>
        <v>壹佰柒拾壹万元整</v>
      </c>
      <c r="I119" s="3271"/>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0" t="s">
        <v>1452</v>
      </c>
      <c r="B121" s="3272"/>
      <c r="C121" s="3271"/>
      <c r="D121" s="3270" t="str">
        <f>IF(D120=0,"零元整",NUMBERSTRING(INT(D120*10000),2)&amp;"元整")</f>
        <v>零元整</v>
      </c>
      <c r="E121" s="3272"/>
      <c r="F121" s="3272"/>
      <c r="G121" s="3272"/>
      <c r="H121" s="3272"/>
      <c r="I121" s="3271"/>
      <c r="AA121" s="684"/>
    </row>
    <row r="122" spans="1:27" ht="18.75" customHeight="1">
      <c r="A122" s="3276" t="str">
        <f>IF(项目基本情况!B9="房地产市场价值","",MID(E107,3,LEN(E107)-2))</f>
        <v>房地产抵押价值</v>
      </c>
      <c r="B122" s="3276"/>
      <c r="C122" s="3276"/>
      <c r="D122" s="3265">
        <f ca="1">H107</f>
        <v>171</v>
      </c>
      <c r="E122" s="3266"/>
      <c r="F122" s="3266"/>
      <c r="G122" s="3266"/>
      <c r="H122" s="3266"/>
      <c r="I122" s="3267"/>
      <c r="AA122" s="684"/>
    </row>
    <row r="123" spans="1:27" ht="18.75" customHeight="1">
      <c r="A123" s="3264" t="s">
        <v>1452</v>
      </c>
      <c r="B123" s="3264"/>
      <c r="C123" s="3264"/>
      <c r="D123" s="3270" t="str">
        <f ca="1">NUMBERSTRING(INT(D122*10000),2)&amp;"元整"</f>
        <v>壹佰柒拾壹万元整</v>
      </c>
      <c r="E123" s="3272"/>
      <c r="F123" s="3272"/>
      <c r="G123" s="3272"/>
      <c r="H123" s="3272"/>
      <c r="I123" s="3271"/>
      <c r="AA123" s="684"/>
    </row>
    <row r="124" spans="1:27" ht="18.75" customHeight="1">
      <c r="A124" s="3276" t="str">
        <f>IF(项目基本情况!B9="房地产市场价值","",MID(E109,3,LEN(E109)-2))</f>
        <v/>
      </c>
      <c r="B124" s="3276"/>
      <c r="C124" s="3276"/>
      <c r="D124" s="3265" t="str">
        <f>H109</f>
        <v>——</v>
      </c>
      <c r="E124" s="3266"/>
      <c r="F124" s="3266"/>
      <c r="G124" s="3266"/>
      <c r="H124" s="3266"/>
      <c r="I124" s="3267"/>
      <c r="AA124" s="684"/>
    </row>
    <row r="125" spans="1:27" ht="18.75" customHeight="1">
      <c r="A125" s="3264" t="s">
        <v>1452</v>
      </c>
      <c r="B125" s="3264"/>
      <c r="C125" s="3264"/>
      <c r="D125" s="3270" t="e">
        <f>NUMBERSTRING(INT(D124*10000),2)&amp;"元整"</f>
        <v>#VALUE!</v>
      </c>
      <c r="E125" s="3272"/>
      <c r="F125" s="3272"/>
      <c r="G125" s="3272"/>
      <c r="H125" s="3272"/>
      <c r="I125" s="3271"/>
      <c r="AA125" s="684"/>
    </row>
    <row r="126" spans="1:27" ht="18.75" customHeight="1">
      <c r="A126" s="3276" t="str">
        <f>IF(项目基本情况!B9="房地产市场价值","",MID(E111,3,LEN(E111)-2))</f>
        <v/>
      </c>
      <c r="B126" s="3276"/>
      <c r="C126" s="3276"/>
      <c r="D126" s="3265" t="str">
        <f>H111</f>
        <v>——</v>
      </c>
      <c r="E126" s="3266"/>
      <c r="F126" s="3266"/>
      <c r="G126" s="3266"/>
      <c r="H126" s="3266"/>
      <c r="I126" s="3267"/>
      <c r="AA126" s="684"/>
    </row>
    <row r="127" spans="1:27" ht="18.75" customHeight="1">
      <c r="A127" s="3264" t="s">
        <v>1452</v>
      </c>
      <c r="B127" s="3264"/>
      <c r="C127" s="3264"/>
      <c r="D127" s="3270" t="e">
        <f>NUMBERSTRING(INT(D126*10000),2)&amp;"元整"</f>
        <v>#VALUE!</v>
      </c>
      <c r="E127" s="3272"/>
      <c r="F127" s="3272"/>
      <c r="G127" s="3272"/>
      <c r="H127" s="3272"/>
      <c r="I127" s="3271"/>
      <c r="AA127" s="684"/>
    </row>
    <row r="128" spans="1:27" ht="21.75" customHeight="1">
      <c r="A128" s="3273" t="s">
        <v>1453</v>
      </c>
      <c r="B128" s="3273"/>
      <c r="C128" s="3273"/>
      <c r="D128" s="3273"/>
      <c r="E128" s="3273"/>
      <c r="F128" s="3273"/>
      <c r="G128" s="3273"/>
      <c r="H128" s="3273"/>
      <c r="I128" s="327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99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5442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181.93</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181.93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73</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181.93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43" t="s">
        <v>1544</v>
      </c>
    </row>
    <row r="43" spans="1:7" ht="13.5" customHeight="1">
      <c r="A43" s="734" t="s">
        <v>347</v>
      </c>
      <c r="B43" s="207" t="s">
        <v>1545</v>
      </c>
      <c r="C43" s="230">
        <f ca="1">ROUND(IF('数据-取费表'!B22&lt;=1,C39*F22*'数据-取费表'!B21/2,C39*(POWER((1+F22),'数据-取费表'!B21/2)-1)),0)</f>
        <v>0</v>
      </c>
      <c r="D43" s="230"/>
      <c r="E43" s="230"/>
      <c r="F43" s="231"/>
      <c r="G43" s="3344"/>
    </row>
    <row r="44" spans="1:7" ht="13.5" customHeight="1">
      <c r="A44" s="734" t="s">
        <v>348</v>
      </c>
      <c r="B44" s="207" t="s">
        <v>1546</v>
      </c>
      <c r="C44" s="230">
        <f ca="1">ROUND(IF('数据-取费表'!B22&lt;=1,C40*F22*'数据-取费表'!B21/2,C40*(POWER((1+F22),'数据-取费表'!B21/2)-1)),4)</f>
        <v>5.9999999999999995E-4</v>
      </c>
      <c r="D44" s="230"/>
      <c r="E44" s="230"/>
      <c r="F44" s="231"/>
      <c r="G44" s="3345"/>
    </row>
    <row r="45" spans="1:7" s="206" customFormat="1" ht="13.5" customHeight="1">
      <c r="A45" s="247" t="s">
        <v>1547</v>
      </c>
      <c r="B45" s="236" t="s">
        <v>1513</v>
      </c>
      <c r="C45" s="237">
        <f ca="1">C46</f>
        <v>13</v>
      </c>
      <c r="D45" s="227">
        <f ca="1">C47</f>
        <v>3.0000000000000001E-3</v>
      </c>
      <c r="E45" s="228" t="s">
        <v>1539</v>
      </c>
      <c r="F45" s="238">
        <f ca="1">F27</f>
        <v>0.15</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107</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94</v>
      </c>
      <c r="D51" s="224"/>
      <c r="E51" s="224"/>
      <c r="F51" s="256"/>
      <c r="G51" s="226" t="s">
        <v>1560</v>
      </c>
    </row>
    <row r="52" spans="1:7" s="200" customFormat="1" ht="16.8" thickBot="1">
      <c r="A52" s="257" t="s">
        <v>1561</v>
      </c>
      <c r="B52" s="258"/>
      <c r="C52" s="259">
        <f ca="1">C31+C51</f>
        <v>99</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北京市密云区滨河路178号院3号楼房地产抵押价值预评估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-165</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181.93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181.93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181.93</v>
      </c>
      <c r="E20" s="21">
        <f>'数据-取费表'!B28</f>
        <v>190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2108</v>
      </c>
      <c r="E6" s="294" t="s">
        <v>696</v>
      </c>
      <c r="F6" s="295">
        <f ca="1">INDIRECT("'数据-取费表'!u"&amp;$G$1)</f>
        <v>0</v>
      </c>
      <c r="G6" s="1292"/>
      <c r="H6" s="1006" t="s">
        <v>398</v>
      </c>
      <c r="I6" s="3348" t="s">
        <v>694</v>
      </c>
      <c r="J6" s="293">
        <f ca="1">ROUND(M6*M8*M7*(1-M9)/10000,0)</f>
        <v>0</v>
      </c>
      <c r="K6" s="147"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2" customHeight="1">
      <c r="A2" s="1293" t="s">
        <v>2314</v>
      </c>
      <c r="B2" s="2594" t="e">
        <f>IF(D2="——",C40,C40+E2)</f>
        <v>#DIV/0!</v>
      </c>
      <c r="C2" s="2595" t="s">
        <v>2315</v>
      </c>
      <c r="D2" s="3138" t="s">
        <v>3357</v>
      </c>
      <c r="E2" s="3139"/>
      <c r="F2" s="2597"/>
      <c r="G2" s="2598"/>
      <c r="H2" s="2599"/>
      <c r="I2" s="2600"/>
      <c r="J2" s="3351" t="s">
        <v>2316</v>
      </c>
      <c r="K2" s="3352"/>
      <c r="L2" s="2601" t="s">
        <v>2317</v>
      </c>
      <c r="M2" s="2601" t="s">
        <v>2318</v>
      </c>
      <c r="N2" s="2601" t="s">
        <v>2319</v>
      </c>
      <c r="O2" s="2601" t="s">
        <v>2320</v>
      </c>
      <c r="P2" s="2601" t="s">
        <v>2321</v>
      </c>
      <c r="Q2" s="2602" t="s">
        <v>2322</v>
      </c>
      <c r="R2" s="2603" t="s">
        <v>2323</v>
      </c>
      <c r="S2" s="2592"/>
      <c r="T2" s="2592"/>
      <c r="U2" s="2592"/>
      <c r="V2" s="2600"/>
    </row>
    <row r="3" spans="1:22" s="2604" customFormat="1" ht="13.2" customHeight="1">
      <c r="A3" s="2605" t="s">
        <v>2324</v>
      </c>
      <c r="B3" s="2606" t="e">
        <f>ROUND(B2*10000/B4,0)</f>
        <v>#DIV/0!</v>
      </c>
      <c r="C3" s="2595" t="s">
        <v>2325</v>
      </c>
      <c r="D3" s="2595"/>
      <c r="E3" s="2596"/>
      <c r="F3" s="2597"/>
      <c r="G3" s="2598"/>
      <c r="H3" s="2599"/>
      <c r="I3" s="2600"/>
      <c r="J3" s="3353" t="s">
        <v>2326</v>
      </c>
      <c r="K3" s="3354"/>
      <c r="L3" s="2607"/>
      <c r="M3" s="2607"/>
      <c r="N3" s="2607"/>
      <c r="O3" s="2607"/>
      <c r="P3" s="2607"/>
      <c r="Q3" s="2608"/>
      <c r="R3" s="2609">
        <f>SUM(L3:Q3)</f>
        <v>0</v>
      </c>
      <c r="S3" s="2592"/>
      <c r="T3" s="2592"/>
      <c r="U3" s="2592"/>
      <c r="V3" s="2600"/>
    </row>
    <row r="4" spans="1:22" s="2604" customFormat="1" ht="13.2" customHeight="1">
      <c r="A4" s="2610" t="s">
        <v>2327</v>
      </c>
      <c r="B4" s="2611"/>
      <c r="C4" s="2595"/>
      <c r="D4" s="2595"/>
      <c r="E4" s="2596"/>
      <c r="F4" s="2597"/>
      <c r="G4" s="2598"/>
      <c r="H4" s="2599"/>
      <c r="I4" s="2600"/>
      <c r="J4" s="3353" t="s">
        <v>2328</v>
      </c>
      <c r="K4" s="3354"/>
      <c r="L4" s="2612"/>
      <c r="M4" s="2612"/>
      <c r="N4" s="2612"/>
      <c r="O4" s="2612"/>
      <c r="P4" s="2612"/>
      <c r="Q4" s="2613"/>
      <c r="R4" s="2614">
        <f>SUM(L4:Q4)</f>
        <v>0</v>
      </c>
      <c r="S4" s="2592"/>
      <c r="T4" s="2592"/>
      <c r="U4" s="2592"/>
      <c r="V4" s="2600"/>
    </row>
    <row r="5" spans="1:22" s="2604" customFormat="1" ht="13.2"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2" customHeight="1" thickBot="1">
      <c r="A6" s="3355" t="s">
        <v>2332</v>
      </c>
      <c r="B6" s="3356"/>
      <c r="C6" s="3357"/>
      <c r="D6" s="2621"/>
      <c r="E6" s="2622"/>
      <c r="F6" s="2623"/>
      <c r="G6" s="2624"/>
      <c r="H6" s="2599"/>
      <c r="I6" s="2600"/>
      <c r="J6" s="3358">
        <v>1</v>
      </c>
      <c r="K6" s="3359"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2" customHeight="1">
      <c r="A7" s="2627" t="s">
        <v>2342</v>
      </c>
      <c r="B7" s="2628"/>
      <c r="C7" s="2629"/>
      <c r="D7" s="2630">
        <f>SUM(D9,D10,D11,D17,0)</f>
        <v>0</v>
      </c>
      <c r="E7" s="2631" t="e">
        <f>E9+E10+E11+E17</f>
        <v>#DIV/0!</v>
      </c>
      <c r="F7" s="2632"/>
      <c r="G7" s="2633"/>
      <c r="H7" s="2599"/>
      <c r="I7" s="2600"/>
      <c r="J7" s="3358"/>
      <c r="K7" s="3360"/>
      <c r="L7" s="2634" t="s">
        <v>2343</v>
      </c>
      <c r="M7" s="2635"/>
      <c r="N7" s="2611"/>
      <c r="O7" s="2636"/>
      <c r="P7" s="2636"/>
      <c r="Q7" s="2637">
        <v>365</v>
      </c>
      <c r="R7" s="2638">
        <f>ROUND(M7*N7*O7*P7*Q7/10000,0)</f>
        <v>0</v>
      </c>
      <c r="S7" s="2592"/>
      <c r="T7" s="2592" t="s">
        <v>2344</v>
      </c>
      <c r="U7" s="2592"/>
      <c r="V7" s="2600"/>
    </row>
    <row r="8" spans="1:22" s="2604" customFormat="1" ht="13.2" customHeight="1">
      <c r="A8" s="2639" t="s">
        <v>2345</v>
      </c>
      <c r="B8" s="3362" t="s">
        <v>2346</v>
      </c>
      <c r="C8" s="3363"/>
      <c r="D8" s="2640" t="s">
        <v>2347</v>
      </c>
      <c r="E8" s="2641" t="s">
        <v>2348</v>
      </c>
      <c r="F8" s="2642" t="s">
        <v>2349</v>
      </c>
      <c r="G8" s="2643"/>
      <c r="H8" s="2599"/>
      <c r="I8" s="2600"/>
      <c r="J8" s="3358"/>
      <c r="K8" s="3360"/>
      <c r="L8" s="2634" t="s">
        <v>2350</v>
      </c>
      <c r="M8" s="2635"/>
      <c r="N8" s="2611"/>
      <c r="O8" s="2636"/>
      <c r="P8" s="2636"/>
      <c r="Q8" s="2637">
        <v>365</v>
      </c>
      <c r="R8" s="2638">
        <f t="shared" ref="R8:R13" si="0">ROUND(M8*N8*O8*P8*Q8/10000,0)</f>
        <v>0</v>
      </c>
      <c r="S8" s="2592"/>
      <c r="T8" s="2592" t="s">
        <v>2351</v>
      </c>
      <c r="U8" s="2592"/>
      <c r="V8" s="2600"/>
    </row>
    <row r="9" spans="1:22" s="2604" customFormat="1" ht="13.2" customHeight="1">
      <c r="A9" s="2639">
        <v>1</v>
      </c>
      <c r="B9" s="3362" t="s">
        <v>2352</v>
      </c>
      <c r="C9" s="3363"/>
      <c r="D9" s="2640">
        <f>ROUND(D6*E9,0)</f>
        <v>0</v>
      </c>
      <c r="E9" s="2644"/>
      <c r="F9" s="2645" t="s">
        <v>2353</v>
      </c>
      <c r="G9" s="2624"/>
      <c r="H9" s="2599"/>
      <c r="I9" s="2600"/>
      <c r="J9" s="3358"/>
      <c r="K9" s="3360"/>
      <c r="L9" s="2634" t="s">
        <v>2354</v>
      </c>
      <c r="M9" s="2635"/>
      <c r="N9" s="2611"/>
      <c r="O9" s="2636"/>
      <c r="P9" s="2636"/>
      <c r="Q9" s="2637">
        <v>365</v>
      </c>
      <c r="R9" s="2638">
        <f t="shared" si="0"/>
        <v>0</v>
      </c>
      <c r="S9" s="2592"/>
      <c r="T9" s="2592"/>
      <c r="U9" s="2592"/>
      <c r="V9" s="2600"/>
    </row>
    <row r="10" spans="1:22" s="2604" customFormat="1" ht="13.2" customHeight="1">
      <c r="A10" s="2639">
        <v>2</v>
      </c>
      <c r="B10" s="3362" t="s">
        <v>2355</v>
      </c>
      <c r="C10" s="3363"/>
      <c r="D10" s="2640">
        <f>ROUND(D6*E10,0)</f>
        <v>0</v>
      </c>
      <c r="E10" s="2644"/>
      <c r="F10" s="2645" t="s">
        <v>2356</v>
      </c>
      <c r="G10" s="2624"/>
      <c r="H10" s="2599"/>
      <c r="I10" s="2600"/>
      <c r="J10" s="3358"/>
      <c r="K10" s="3360"/>
      <c r="L10" s="2634" t="s">
        <v>2357</v>
      </c>
      <c r="M10" s="2635"/>
      <c r="N10" s="2611"/>
      <c r="O10" s="2636"/>
      <c r="P10" s="2636"/>
      <c r="Q10" s="2637">
        <v>365</v>
      </c>
      <c r="R10" s="2638">
        <f t="shared" si="0"/>
        <v>0</v>
      </c>
      <c r="S10" s="2592"/>
      <c r="T10" s="2592"/>
      <c r="U10" s="2592"/>
      <c r="V10" s="2600"/>
    </row>
    <row r="11" spans="1:22" s="2604" customFormat="1" ht="13.2" customHeight="1">
      <c r="A11" s="2639">
        <v>3</v>
      </c>
      <c r="B11" s="3362" t="s">
        <v>2358</v>
      </c>
      <c r="C11" s="3363"/>
      <c r="D11" s="2640">
        <f>D12+D14+D15+D16</f>
        <v>0</v>
      </c>
      <c r="E11" s="2646" t="e">
        <f>D11/D6</f>
        <v>#DIV/0!</v>
      </c>
      <c r="F11" s="2642"/>
      <c r="G11" s="2643"/>
      <c r="H11" s="2599"/>
      <c r="I11" s="2600"/>
      <c r="J11" s="3358"/>
      <c r="K11" s="3360"/>
      <c r="L11" s="2634" t="s">
        <v>2359</v>
      </c>
      <c r="M11" s="2635"/>
      <c r="N11" s="2611"/>
      <c r="O11" s="2636"/>
      <c r="P11" s="2636"/>
      <c r="Q11" s="2637">
        <v>365</v>
      </c>
      <c r="R11" s="2638">
        <f t="shared" si="0"/>
        <v>0</v>
      </c>
      <c r="S11" s="2592"/>
      <c r="T11" s="2592"/>
      <c r="U11" s="2592"/>
      <c r="V11" s="2600"/>
    </row>
    <row r="12" spans="1:22" s="2604" customFormat="1" ht="13.2" customHeight="1">
      <c r="A12" s="2647" t="s">
        <v>2360</v>
      </c>
      <c r="B12" s="3364" t="s">
        <v>2361</v>
      </c>
      <c r="C12" s="3365"/>
      <c r="D12" s="2648">
        <f>ROUND(D13*1.2%*(1-30%),0)</f>
        <v>0</v>
      </c>
      <c r="E12" s="2649">
        <v>1.2E-2</v>
      </c>
      <c r="F12" s="2642" t="s">
        <v>2362</v>
      </c>
      <c r="G12" s="2643"/>
      <c r="H12" s="2599"/>
      <c r="I12" s="2600"/>
      <c r="J12" s="3358"/>
      <c r="K12" s="3360"/>
      <c r="L12" s="2634" t="s">
        <v>2363</v>
      </c>
      <c r="M12" s="2635"/>
      <c r="N12" s="2611"/>
      <c r="O12" s="2636"/>
      <c r="P12" s="2636"/>
      <c r="Q12" s="2637">
        <v>365</v>
      </c>
      <c r="R12" s="2638">
        <f t="shared" si="0"/>
        <v>0</v>
      </c>
      <c r="S12" s="2592"/>
      <c r="T12" s="2592"/>
      <c r="U12" s="2592"/>
      <c r="V12" s="2600"/>
    </row>
    <row r="13" spans="1:22" s="2604" customFormat="1" ht="13.2" customHeight="1">
      <c r="A13" s="2647"/>
      <c r="B13" s="2650"/>
      <c r="C13" s="2651" t="s">
        <v>2364</v>
      </c>
      <c r="D13" s="2652"/>
      <c r="E13" s="2653"/>
      <c r="F13" s="2642"/>
      <c r="G13" s="2643"/>
      <c r="H13" s="2599"/>
      <c r="I13" s="2600"/>
      <c r="J13" s="3358"/>
      <c r="K13" s="3360"/>
      <c r="L13" s="2634" t="s">
        <v>2365</v>
      </c>
      <c r="M13" s="2635"/>
      <c r="N13" s="2611"/>
      <c r="O13" s="2636"/>
      <c r="P13" s="2636"/>
      <c r="Q13" s="2637">
        <v>365</v>
      </c>
      <c r="R13" s="2638">
        <f t="shared" si="0"/>
        <v>0</v>
      </c>
      <c r="S13" s="2592"/>
      <c r="T13" s="2592"/>
      <c r="U13" s="2592"/>
      <c r="V13" s="2600"/>
    </row>
    <row r="14" spans="1:22" s="2604" customFormat="1" ht="13.2" customHeight="1">
      <c r="A14" s="2647" t="s">
        <v>2366</v>
      </c>
      <c r="B14" s="3364" t="s">
        <v>2367</v>
      </c>
      <c r="C14" s="3365"/>
      <c r="D14" s="2648">
        <f>ROUND(E14*B5/10000,0)</f>
        <v>0</v>
      </c>
      <c r="E14" s="2637"/>
      <c r="F14" s="2642" t="s">
        <v>2368</v>
      </c>
      <c r="G14" s="2643"/>
      <c r="H14" s="2599"/>
      <c r="I14" s="2600"/>
      <c r="J14" s="3358"/>
      <c r="K14" s="3361"/>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2370</v>
      </c>
      <c r="B15" s="3364" t="s">
        <v>2371</v>
      </c>
      <c r="C15" s="3365"/>
      <c r="D15" s="2648">
        <f>ROUND(D6*E15,0)</f>
        <v>0</v>
      </c>
      <c r="E15" s="2649">
        <v>5.5E-2</v>
      </c>
      <c r="F15" s="2642" t="s">
        <v>2372</v>
      </c>
      <c r="G15" s="2624"/>
      <c r="H15" s="2599"/>
      <c r="I15" s="2600"/>
      <c r="J15" s="3358">
        <v>2</v>
      </c>
      <c r="K15" s="3359"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2" customHeight="1">
      <c r="A16" s="2647" t="s">
        <v>2379</v>
      </c>
      <c r="B16" s="3364" t="s">
        <v>2380</v>
      </c>
      <c r="C16" s="3365"/>
      <c r="D16" s="2659">
        <f>D6*E16</f>
        <v>0</v>
      </c>
      <c r="E16" s="2660"/>
      <c r="F16" s="2645" t="s">
        <v>2381</v>
      </c>
      <c r="G16" s="2624"/>
      <c r="H16" s="2599"/>
      <c r="I16" s="2600"/>
      <c r="J16" s="3358"/>
      <c r="K16" s="3360"/>
      <c r="L16" s="2634" t="s">
        <v>2382</v>
      </c>
      <c r="M16" s="2635"/>
      <c r="N16" s="2635"/>
      <c r="O16" s="2636"/>
      <c r="P16" s="2637">
        <v>365</v>
      </c>
      <c r="Q16" s="2611"/>
      <c r="R16" s="2658">
        <f>ROUND(M16*N16*O16*P16/10000,0)</f>
        <v>0</v>
      </c>
      <c r="S16" s="2592"/>
      <c r="T16" s="2592"/>
      <c r="U16" s="2592"/>
      <c r="V16" s="2600"/>
    </row>
    <row r="17" spans="1:22" s="2604" customFormat="1" ht="13.2" customHeight="1" thickBot="1">
      <c r="A17" s="2661">
        <v>4</v>
      </c>
      <c r="B17" s="3366" t="s">
        <v>2383</v>
      </c>
      <c r="C17" s="3367"/>
      <c r="D17" s="2662">
        <f>ROUND(D6*E17,0)</f>
        <v>0</v>
      </c>
      <c r="E17" s="2663"/>
      <c r="F17" s="2664" t="s">
        <v>2384</v>
      </c>
      <c r="G17" s="2624"/>
      <c r="H17" s="2599"/>
      <c r="I17" s="2600"/>
      <c r="J17" s="3358"/>
      <c r="K17" s="3360"/>
      <c r="L17" s="2634" t="s">
        <v>2385</v>
      </c>
      <c r="M17" s="2635"/>
      <c r="N17" s="2635"/>
      <c r="O17" s="2636"/>
      <c r="P17" s="2637">
        <v>365</v>
      </c>
      <c r="Q17" s="2611"/>
      <c r="R17" s="2658">
        <f>ROUND(M17*N17*O17*P17/10000,0)</f>
        <v>0</v>
      </c>
      <c r="S17" s="2592"/>
      <c r="T17" s="2592"/>
      <c r="U17" s="2592"/>
      <c r="V17" s="2600"/>
    </row>
    <row r="18" spans="1:22" s="2604" customFormat="1" ht="13.2" customHeight="1" thickBot="1">
      <c r="A18" s="2627" t="s">
        <v>2386</v>
      </c>
      <c r="B18" s="2628"/>
      <c r="C18" s="2628"/>
      <c r="D18" s="2665">
        <f>ROUND(D6*E18,0)</f>
        <v>0</v>
      </c>
      <c r="E18" s="2666"/>
      <c r="F18" s="2667" t="s">
        <v>2387</v>
      </c>
      <c r="G18" s="2624"/>
      <c r="H18" s="2599"/>
      <c r="I18" s="2600"/>
      <c r="J18" s="3358"/>
      <c r="K18" s="3360"/>
      <c r="L18" s="2634" t="s">
        <v>2388</v>
      </c>
      <c r="M18" s="2635"/>
      <c r="N18" s="2635"/>
      <c r="O18" s="2636"/>
      <c r="P18" s="2637">
        <v>365</v>
      </c>
      <c r="Q18" s="2611"/>
      <c r="R18" s="2658">
        <f>ROUND(M18*N18*O18*P18/10000,0)</f>
        <v>0</v>
      </c>
      <c r="S18" s="2592"/>
      <c r="T18" s="2592"/>
      <c r="U18" s="2592"/>
      <c r="V18" s="2600"/>
    </row>
    <row r="19" spans="1:22" s="2604" customFormat="1" ht="13.2" customHeight="1" thickBot="1">
      <c r="A19" s="2668" t="s">
        <v>2389</v>
      </c>
      <c r="B19" s="2622"/>
      <c r="C19" s="2622"/>
      <c r="D19" s="2622"/>
      <c r="E19" s="2622"/>
      <c r="F19" s="2623"/>
      <c r="G19" s="2643"/>
      <c r="H19" s="2599"/>
      <c r="I19" s="2600"/>
      <c r="J19" s="3358"/>
      <c r="K19" s="3361"/>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8">
        <v>3</v>
      </c>
      <c r="K20" s="3359"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2" customHeight="1">
      <c r="A21" s="2627"/>
      <c r="B21" s="2628"/>
      <c r="C21" s="2673" t="s">
        <v>2398</v>
      </c>
      <c r="D21" s="2674" t="s">
        <v>2399</v>
      </c>
      <c r="E21" s="2675" t="s">
        <v>2400</v>
      </c>
      <c r="F21" s="2671"/>
      <c r="G21" s="2643"/>
      <c r="H21" s="2599"/>
      <c r="I21" s="2600"/>
      <c r="J21" s="3358"/>
      <c r="K21" s="3360"/>
      <c r="L21" s="2634" t="s">
        <v>2401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2402</v>
      </c>
      <c r="D22" s="2678" t="s">
        <v>2403</v>
      </c>
      <c r="E22" s="2679" t="s">
        <v>2404</v>
      </c>
      <c r="F22" s="2671"/>
      <c r="G22" s="2592"/>
      <c r="H22" s="2599"/>
      <c r="I22" s="2600"/>
      <c r="J22" s="3358"/>
      <c r="K22" s="3360"/>
      <c r="L22" s="2634" t="s">
        <v>2405</v>
      </c>
      <c r="M22" s="2635"/>
      <c r="N22" s="2635"/>
      <c r="O22" s="2636"/>
      <c r="P22" s="2637">
        <v>365</v>
      </c>
      <c r="Q22" s="2611"/>
      <c r="R22" s="2676">
        <f>ROUND(M22*N22*O22*P22/10000,0)</f>
        <v>0</v>
      </c>
      <c r="S22" s="2592"/>
      <c r="T22" s="2592"/>
      <c r="U22" s="2592"/>
      <c r="V22" s="2600"/>
    </row>
    <row r="23" spans="1:22" s="2604" customFormat="1" ht="13.2" customHeight="1">
      <c r="A23" s="2680">
        <v>1</v>
      </c>
      <c r="B23" s="2681" t="s">
        <v>2406</v>
      </c>
      <c r="C23" s="2682">
        <f>D6</f>
        <v>0</v>
      </c>
      <c r="D23" s="2683">
        <f>C23*(1+D24)</f>
        <v>0</v>
      </c>
      <c r="E23" s="2684">
        <f>D23*(1+E24)</f>
        <v>0</v>
      </c>
      <c r="F23" s="2685"/>
      <c r="G23" s="2686"/>
      <c r="H23" s="2599"/>
      <c r="I23" s="2600"/>
      <c r="J23" s="3358"/>
      <c r="K23" s="3360"/>
      <c r="L23" s="2634" t="s">
        <v>2407</v>
      </c>
      <c r="M23" s="2635"/>
      <c r="N23" s="2635"/>
      <c r="O23" s="2636"/>
      <c r="P23" s="2637">
        <v>365</v>
      </c>
      <c r="Q23" s="2611"/>
      <c r="R23" s="2676">
        <f>ROUND(M23*N23*O23*P23/10000,0)</f>
        <v>0</v>
      </c>
      <c r="S23" s="2592"/>
      <c r="T23" s="2592"/>
      <c r="U23" s="2592"/>
      <c r="V23" s="2600"/>
    </row>
    <row r="24" spans="1:22" s="2604" customFormat="1" ht="13.2" customHeight="1">
      <c r="A24" s="2687"/>
      <c r="B24" s="2688" t="s">
        <v>2408</v>
      </c>
      <c r="C24" s="2689"/>
      <c r="D24" s="2690"/>
      <c r="E24" s="2691"/>
      <c r="F24" s="2692"/>
      <c r="G24" s="2686"/>
      <c r="H24" s="2599"/>
      <c r="I24" s="2600"/>
      <c r="J24" s="3358"/>
      <c r="K24" s="3361"/>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2" customHeight="1">
      <c r="A26" s="2680">
        <v>2</v>
      </c>
      <c r="B26" s="2681" t="s">
        <v>2410</v>
      </c>
      <c r="C26" s="2682">
        <f>D7</f>
        <v>0</v>
      </c>
      <c r="D26" s="2683">
        <f>D23*D27</f>
        <v>0</v>
      </c>
      <c r="E26" s="2684">
        <f>E23*E27</f>
        <v>0</v>
      </c>
      <c r="F26" s="2685"/>
      <c r="G26" s="2686"/>
      <c r="H26" s="2599"/>
      <c r="I26" s="2600"/>
      <c r="J26" s="3368">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2" customHeight="1">
      <c r="A27" s="2687"/>
      <c r="B27" s="2688" t="s">
        <v>2416</v>
      </c>
      <c r="C27" s="2705" t="e">
        <f>E7</f>
        <v>#DIV/0!</v>
      </c>
      <c r="D27" s="2690"/>
      <c r="E27" s="2691"/>
      <c r="F27" s="2692"/>
      <c r="G27" s="2686"/>
      <c r="H27" s="2706"/>
      <c r="I27" s="2698"/>
      <c r="J27" s="3369"/>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2"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2" customHeight="1">
      <c r="A32" s="2680">
        <v>4</v>
      </c>
      <c r="B32" s="2681" t="s">
        <v>2424</v>
      </c>
      <c r="C32" s="2682">
        <f>C23-C26-C29</f>
        <v>0</v>
      </c>
      <c r="D32" s="2683">
        <f>D23-D26-D29</f>
        <v>0</v>
      </c>
      <c r="E32" s="2684">
        <f>E23-E26-E29</f>
        <v>0</v>
      </c>
      <c r="F32" s="2685"/>
      <c r="G32" s="2592"/>
      <c r="H32" s="2599"/>
      <c r="I32" s="2600"/>
      <c r="J32" s="3351" t="s">
        <v>2316</v>
      </c>
      <c r="K32" s="3352"/>
      <c r="L32" s="2601" t="s">
        <v>2317</v>
      </c>
      <c r="M32" s="2601" t="s">
        <v>2318</v>
      </c>
      <c r="N32" s="2601" t="s">
        <v>2319</v>
      </c>
      <c r="O32" s="2601" t="s">
        <v>2320</v>
      </c>
      <c r="P32" s="2601" t="s">
        <v>2321</v>
      </c>
      <c r="Q32" s="2602" t="s">
        <v>2322</v>
      </c>
      <c r="R32" s="2721" t="s">
        <v>2323</v>
      </c>
      <c r="S32" s="2592"/>
      <c r="T32" s="2592"/>
      <c r="U32" s="2592"/>
      <c r="V32" s="2698"/>
    </row>
    <row r="33" spans="1:23" s="2604" customFormat="1" ht="13.2" customHeight="1">
      <c r="A33" s="2680"/>
      <c r="B33" s="2681"/>
      <c r="C33" s="2682"/>
      <c r="D33" s="2722"/>
      <c r="E33" s="2723"/>
      <c r="F33" s="2685"/>
      <c r="G33" s="2592"/>
      <c r="H33" s="2706"/>
      <c r="I33" s="2698"/>
      <c r="J33" s="3353" t="s">
        <v>2326</v>
      </c>
      <c r="K33" s="3354"/>
      <c r="L33" s="2607"/>
      <c r="M33" s="2607"/>
      <c r="N33" s="2607"/>
      <c r="O33" s="2607"/>
      <c r="P33" s="2607"/>
      <c r="Q33" s="2608"/>
      <c r="R33" s="2724">
        <f>SUM(L33:Q33)</f>
        <v>0</v>
      </c>
      <c r="S33" s="2592"/>
      <c r="T33" s="2592"/>
      <c r="U33" s="2592"/>
      <c r="V33" s="2600"/>
    </row>
    <row r="34" spans="1:23" s="2604" customFormat="1" ht="13.2" customHeight="1">
      <c r="A34" s="2680">
        <v>5</v>
      </c>
      <c r="B34" s="2681" t="s">
        <v>2425</v>
      </c>
      <c r="C34" s="2725"/>
      <c r="D34" s="2726"/>
      <c r="E34" s="2727"/>
      <c r="F34" s="2685"/>
      <c r="G34" s="2592"/>
      <c r="H34" s="2706"/>
      <c r="I34" s="2698"/>
      <c r="J34" s="3353" t="s">
        <v>2328</v>
      </c>
      <c r="K34" s="335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2" customHeight="1" thickBot="1">
      <c r="A36" s="2680">
        <v>7</v>
      </c>
      <c r="B36" s="2734" t="s">
        <v>2427</v>
      </c>
      <c r="C36" s="2735"/>
      <c r="D36" s="2736"/>
      <c r="E36" s="2737"/>
      <c r="F36" s="2738">
        <f>C36+D36+E36</f>
        <v>0</v>
      </c>
      <c r="G36" s="2592"/>
      <c r="H36" s="2599"/>
      <c r="I36" s="2600"/>
      <c r="J36" s="3358">
        <v>1</v>
      </c>
      <c r="K36" s="3359" t="s">
        <v>2428</v>
      </c>
      <c r="L36" s="2625"/>
      <c r="M36" s="2626"/>
      <c r="N36" s="2626"/>
      <c r="O36" s="2626"/>
      <c r="P36" s="2626"/>
      <c r="Q36" s="2626"/>
      <c r="R36" s="2609" t="s">
        <v>2340</v>
      </c>
      <c r="S36" s="2592"/>
      <c r="T36" s="2592" t="s">
        <v>2341</v>
      </c>
      <c r="U36" s="2592"/>
      <c r="V36" s="2600"/>
    </row>
    <row r="37" spans="1:23" s="2604" customFormat="1" ht="13.2" customHeight="1">
      <c r="A37" s="2680"/>
      <c r="B37" s="2681"/>
      <c r="C37" s="2681"/>
      <c r="D37" s="2681"/>
      <c r="E37" s="2681"/>
      <c r="F37" s="2685"/>
      <c r="G37" s="2592"/>
      <c r="H37" s="2599"/>
      <c r="I37" s="2600"/>
      <c r="J37" s="3358"/>
      <c r="K37" s="3360"/>
      <c r="L37" s="2634"/>
      <c r="M37" s="2635"/>
      <c r="N37" s="2611"/>
      <c r="O37" s="2636"/>
      <c r="P37" s="2636"/>
      <c r="Q37" s="2637"/>
      <c r="R37" s="2638"/>
      <c r="S37" s="2592"/>
      <c r="T37" s="2592" t="s">
        <v>2344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8"/>
      <c r="K38" s="3360"/>
      <c r="L38" s="2634"/>
      <c r="M38" s="2635"/>
      <c r="N38" s="2611"/>
      <c r="O38" s="2636"/>
      <c r="P38" s="2636"/>
      <c r="Q38" s="2637"/>
      <c r="R38" s="2638"/>
      <c r="S38" s="2592"/>
      <c r="T38" s="2592" t="s">
        <v>2351</v>
      </c>
      <c r="U38" s="2592"/>
      <c r="V38" s="2600"/>
    </row>
    <row r="39" spans="1:23" s="2604" customFormat="1" ht="13.2" customHeight="1">
      <c r="A39" s="2680">
        <v>9</v>
      </c>
      <c r="B39" s="2681" t="s">
        <v>2429</v>
      </c>
      <c r="C39" s="2648" t="e">
        <f>C38</f>
        <v>#DIV/0!</v>
      </c>
      <c r="D39" s="2681">
        <f>D38/(1+D34)^C36</f>
        <v>0</v>
      </c>
      <c r="E39" s="2681">
        <f>E38/(1+E34)^(C36+D36)</f>
        <v>0</v>
      </c>
      <c r="F39" s="2685"/>
      <c r="G39" s="2600"/>
      <c r="H39" s="2599"/>
      <c r="I39" s="2600"/>
      <c r="J39" s="3358"/>
      <c r="K39" s="3360"/>
      <c r="L39" s="2634"/>
      <c r="M39" s="2635"/>
      <c r="N39" s="2611"/>
      <c r="O39" s="2636"/>
      <c r="P39" s="2636"/>
      <c r="Q39" s="2637"/>
      <c r="R39" s="2638"/>
      <c r="S39" s="2592"/>
      <c r="T39" s="2592"/>
      <c r="U39" s="2592"/>
      <c r="V39" s="2600"/>
    </row>
    <row r="40" spans="1:23" s="2604" customFormat="1" ht="13.2" customHeight="1">
      <c r="A40" s="2739">
        <v>10</v>
      </c>
      <c r="B40" s="2681" t="s">
        <v>2430</v>
      </c>
      <c r="C40" s="2740" t="e">
        <f>C39+D39+E39</f>
        <v>#DIV/0!</v>
      </c>
      <c r="D40" s="2741"/>
      <c r="E40" s="2741"/>
      <c r="F40" s="2742"/>
      <c r="G40" s="2592"/>
      <c r="H40" s="2599"/>
      <c r="I40" s="2600"/>
      <c r="J40" s="3358"/>
      <c r="K40" s="3361"/>
      <c r="L40" s="2654" t="s">
        <v>2369</v>
      </c>
      <c r="M40" s="2655"/>
      <c r="N40" s="2655"/>
      <c r="O40" s="2656"/>
      <c r="P40" s="2656"/>
      <c r="Q40" s="2657"/>
      <c r="R40" s="2603">
        <f>SUM(R37:R39)</f>
        <v>0</v>
      </c>
      <c r="S40" s="2592"/>
      <c r="T40" s="2592"/>
      <c r="U40" s="2592"/>
      <c r="V40" s="2600"/>
    </row>
    <row r="41" spans="1:23" s="2604" customFormat="1" ht="13.2"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2" customHeight="1">
      <c r="G42" s="2599"/>
      <c r="H42" s="2599"/>
      <c r="I42" s="2600"/>
      <c r="J42" s="3368">
        <v>3</v>
      </c>
      <c r="K42" s="2700" t="s">
        <v>2411</v>
      </c>
      <c r="L42" s="2701"/>
      <c r="M42" s="2702"/>
      <c r="N42" s="2703" t="s">
        <v>2412</v>
      </c>
      <c r="O42" s="2703" t="s">
        <v>2413</v>
      </c>
      <c r="P42" s="2704" t="s">
        <v>2414</v>
      </c>
      <c r="Q42" s="2704" t="s">
        <v>2415</v>
      </c>
      <c r="R42" s="2609" t="s">
        <v>2340</v>
      </c>
      <c r="S42" s="2643"/>
      <c r="T42" s="2643"/>
      <c r="U42" s="2592"/>
      <c r="V42" s="2600"/>
    </row>
    <row r="43" spans="1:23" ht="13.2" customHeight="1">
      <c r="A43" s="2604"/>
      <c r="B43" s="2604"/>
      <c r="C43" s="2604"/>
      <c r="D43" s="2604"/>
      <c r="E43" s="2604"/>
      <c r="F43" s="2604"/>
      <c r="I43" s="2587"/>
      <c r="J43" s="3369"/>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142.31989999999999</v>
      </c>
      <c r="C2" s="1729" t="s">
        <v>1651</v>
      </c>
      <c r="D2" s="1730" t="s">
        <v>1652</v>
      </c>
      <c r="E2" s="2393">
        <f>SUM(E6:E13)</f>
        <v>181.93</v>
      </c>
      <c r="F2" s="2479"/>
      <c r="G2" s="459"/>
      <c r="H2" s="459"/>
      <c r="I2" s="459"/>
      <c r="J2" s="459"/>
      <c r="K2" s="459"/>
      <c r="L2" s="459"/>
      <c r="M2" s="459"/>
      <c r="N2" s="459"/>
      <c r="O2" s="459"/>
      <c r="P2" s="459"/>
      <c r="Q2" s="459"/>
      <c r="R2" s="459"/>
      <c r="S2" s="459"/>
    </row>
    <row r="3" spans="1:22" ht="15.6">
      <c r="A3" s="1728" t="s">
        <v>686</v>
      </c>
      <c r="B3" s="2387">
        <f ca="1">ROUND(B2*10000/E2,0)</f>
        <v>7823</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70" t="s">
        <v>1654</v>
      </c>
      <c r="C5" s="3371"/>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142.31989999999999</v>
      </c>
      <c r="C6" s="1729" t="s">
        <v>1651</v>
      </c>
      <c r="D6" s="2479"/>
      <c r="E6" s="2392">
        <f>IF(OR(A6=0,F6="否"),0,'数据-取费表'!K6+'数据-取费表'!S6)</f>
        <v>181.93</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181.93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6"/>
      <c r="M4" s="2487"/>
      <c r="N4" s="2487"/>
      <c r="O4" s="2487"/>
      <c r="P4" s="3394" t="s">
        <v>1672</v>
      </c>
      <c r="Q4" s="3395"/>
      <c r="R4" s="3377" t="s">
        <v>1668</v>
      </c>
      <c r="S4" s="3378"/>
      <c r="T4" s="3377" t="s">
        <v>1669</v>
      </c>
      <c r="U4" s="3378"/>
      <c r="V4" s="3402" t="s">
        <v>1670</v>
      </c>
      <c r="W4" s="3402"/>
      <c r="X4" s="1265"/>
      <c r="Y4" s="3377" t="s">
        <v>1672</v>
      </c>
      <c r="Z4" s="3378"/>
      <c r="AA4" s="3372" t="s">
        <v>1668</v>
      </c>
      <c r="AB4" s="3372" t="s">
        <v>1669</v>
      </c>
      <c r="AC4" s="3372" t="s">
        <v>1670</v>
      </c>
    </row>
    <row r="5" spans="1:29">
      <c r="A5" s="348"/>
      <c r="B5" s="349"/>
      <c r="C5" s="3383" t="s">
        <v>1673</v>
      </c>
      <c r="D5" s="3384"/>
      <c r="E5" s="3381" t="s">
        <v>1674</v>
      </c>
      <c r="F5" s="3382"/>
      <c r="G5" s="3383" t="s">
        <v>1675</v>
      </c>
      <c r="H5" s="3384"/>
      <c r="I5" s="3383" t="s">
        <v>1676</v>
      </c>
      <c r="J5" s="3384"/>
      <c r="K5" s="1745"/>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1745"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45841</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75" t="s">
        <v>1680</v>
      </c>
      <c r="Q7" s="3403"/>
      <c r="R7" s="664" t="s">
        <v>20</v>
      </c>
      <c r="S7" s="665">
        <f t="shared" ref="S7:S15" si="0">F7</f>
        <v>0</v>
      </c>
      <c r="T7" s="664" t="s">
        <v>20</v>
      </c>
      <c r="U7" s="665">
        <f t="shared" ref="U7:U15" si="1">H7</f>
        <v>0</v>
      </c>
      <c r="V7" s="664" t="s">
        <v>20</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75" t="s">
        <v>1683</v>
      </c>
      <c r="Q8" s="3376"/>
      <c r="R8" s="664" t="s">
        <v>20</v>
      </c>
      <c r="S8" s="665">
        <f t="shared" si="0"/>
        <v>100</v>
      </c>
      <c r="T8" s="664" t="s">
        <v>20</v>
      </c>
      <c r="U8" s="665">
        <f t="shared" si="1"/>
        <v>100</v>
      </c>
      <c r="V8" s="664" t="s">
        <v>20</v>
      </c>
      <c r="W8" s="665">
        <f t="shared" si="2"/>
        <v>100</v>
      </c>
      <c r="X8" s="666"/>
      <c r="Y8" s="3375" t="s">
        <v>1683</v>
      </c>
      <c r="Z8" s="337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9"/>
      <c r="Q11" s="530" t="str">
        <f t="shared" si="6"/>
        <v>容积率</v>
      </c>
      <c r="R11" s="664" t="s">
        <v>18</v>
      </c>
      <c r="S11" s="665" t="e">
        <f t="shared" si="0"/>
        <v>#N/A</v>
      </c>
      <c r="T11" s="664" t="s">
        <v>18</v>
      </c>
      <c r="U11" s="665" t="e">
        <f t="shared" si="1"/>
        <v>#N/A</v>
      </c>
      <c r="V11" s="664" t="s">
        <v>18</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89"/>
      <c r="Q12" s="530">
        <f t="shared" si="6"/>
        <v>111</v>
      </c>
      <c r="R12" s="664" t="s">
        <v>18</v>
      </c>
      <c r="S12" s="665">
        <f t="shared" si="0"/>
        <v>100</v>
      </c>
      <c r="T12" s="664" t="s">
        <v>18</v>
      </c>
      <c r="U12" s="665">
        <f t="shared" si="1"/>
        <v>100</v>
      </c>
      <c r="V12" s="664" t="s">
        <v>18</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89"/>
      <c r="Q13" s="530">
        <f t="shared" si="6"/>
        <v>111</v>
      </c>
      <c r="R13" s="664" t="s">
        <v>18</v>
      </c>
      <c r="S13" s="665">
        <f t="shared" si="0"/>
        <v>100</v>
      </c>
      <c r="T13" s="664" t="s">
        <v>18</v>
      </c>
      <c r="U13" s="665">
        <f t="shared" si="1"/>
        <v>100</v>
      </c>
      <c r="V13" s="664" t="s">
        <v>18</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89"/>
      <c r="Q14" s="530">
        <f t="shared" si="6"/>
        <v>111</v>
      </c>
      <c r="R14" s="664" t="s">
        <v>18</v>
      </c>
      <c r="S14" s="665">
        <f t="shared" si="0"/>
        <v>100</v>
      </c>
      <c r="T14" s="664" t="s">
        <v>18</v>
      </c>
      <c r="U14" s="665">
        <f t="shared" si="1"/>
        <v>100</v>
      </c>
      <c r="V14" s="664" t="s">
        <v>18</v>
      </c>
      <c r="W14" s="665">
        <f t="shared" si="2"/>
        <v>100</v>
      </c>
      <c r="X14" s="666"/>
      <c r="Y14" s="331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5"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16"/>
      <c r="Q16" s="1263"/>
      <c r="R16" s="667"/>
      <c r="S16" s="668"/>
      <c r="T16" s="667"/>
      <c r="U16" s="668"/>
      <c r="V16" s="667"/>
      <c r="W16" s="668"/>
      <c r="X16" s="1265"/>
      <c r="Y16" s="340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6"/>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16"/>
      <c r="Q18" s="1263"/>
      <c r="R18" s="667"/>
      <c r="S18" s="668"/>
      <c r="T18" s="667"/>
      <c r="U18" s="668"/>
      <c r="V18" s="667"/>
      <c r="W18" s="668"/>
      <c r="X18" s="1265"/>
      <c r="Y18" s="340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6"/>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16"/>
      <c r="Q20" s="1263"/>
      <c r="R20" s="667"/>
      <c r="S20" s="668"/>
      <c r="T20" s="667"/>
      <c r="U20" s="668"/>
      <c r="V20" s="667"/>
      <c r="W20" s="668"/>
      <c r="X20" s="1265"/>
      <c r="Y20" s="340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16"/>
      <c r="Q22" s="1263"/>
      <c r="R22" s="667"/>
      <c r="S22" s="668"/>
      <c r="T22" s="667"/>
      <c r="U22" s="668"/>
      <c r="V22" s="667"/>
      <c r="W22" s="668"/>
      <c r="X22" s="1265"/>
      <c r="Y22" s="340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6"/>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16"/>
      <c r="Q24" s="1263"/>
      <c r="R24" s="667"/>
      <c r="S24" s="668"/>
      <c r="T24" s="667"/>
      <c r="U24" s="668"/>
      <c r="V24" s="667"/>
      <c r="W24" s="668"/>
      <c r="X24" s="1265"/>
      <c r="Y24" s="340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16"/>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16"/>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16"/>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16"/>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16"/>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16"/>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407" t="str">
        <f>A47</f>
        <v>成交单价（元/平方米）</v>
      </c>
      <c r="Q47" s="3407"/>
      <c r="R47" s="3402">
        <f>E47</f>
        <v>0</v>
      </c>
      <c r="S47" s="3402"/>
      <c r="T47" s="3402">
        <f>G47</f>
        <v>0</v>
      </c>
      <c r="U47" s="3402"/>
      <c r="V47" s="3402">
        <f>I47</f>
        <v>0</v>
      </c>
      <c r="W47" s="3402"/>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4"/>
      <c r="M48" s="2487"/>
      <c r="N48" s="2487"/>
      <c r="O48" s="2487"/>
      <c r="P48" s="3407" t="str">
        <f>A48</f>
        <v>比较价值（元/平方米）</v>
      </c>
      <c r="Q48" s="34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181.93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402"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402"/>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402"/>
      <c r="AC6" s="3374"/>
    </row>
    <row r="7" spans="1:29" s="102" customFormat="1" ht="15" thickBot="1">
      <c r="A7" s="352" t="s">
        <v>1679</v>
      </c>
      <c r="B7" s="353"/>
      <c r="C7" s="354">
        <f>'数据-取费表'!B2</f>
        <v>45841</v>
      </c>
      <c r="D7" s="355">
        <v>100</v>
      </c>
      <c r="E7" s="356"/>
      <c r="F7" s="357">
        <f>SUMIF(58:58,YEAR(E7)&amp;"-"&amp;MONTH(E7),59:59)</f>
        <v>0</v>
      </c>
      <c r="G7" s="356"/>
      <c r="H7" s="355">
        <f>SUMIF(58:58,YEAR(G7)&amp;"-"&amp;MONTH(G7),59:59)</f>
        <v>0</v>
      </c>
      <c r="I7" s="356"/>
      <c r="J7" s="355">
        <f>SUMIF(58:58,YEAR(I7)&amp;"-"&amp;MONTH(I7),59:59)</f>
        <v>0</v>
      </c>
      <c r="K7" s="38"/>
      <c r="L7" s="2488"/>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9"/>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89"/>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9"/>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9"/>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5"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6"/>
      <c r="Q16" s="1263"/>
      <c r="R16" s="667"/>
      <c r="S16" s="668"/>
      <c r="T16" s="667"/>
      <c r="U16" s="668"/>
      <c r="V16" s="667"/>
      <c r="W16" s="668"/>
      <c r="X16" s="1265"/>
      <c r="Y16" s="340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16"/>
      <c r="Q18" s="1263"/>
      <c r="R18" s="667"/>
      <c r="S18" s="668"/>
      <c r="T18" s="667"/>
      <c r="U18" s="668"/>
      <c r="V18" s="667"/>
      <c r="W18" s="668"/>
      <c r="X18" s="1265"/>
      <c r="Y18" s="340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16"/>
      <c r="Q20" s="1263"/>
      <c r="R20" s="667"/>
      <c r="S20" s="668"/>
      <c r="T20" s="667"/>
      <c r="U20" s="668"/>
      <c r="V20" s="667"/>
      <c r="W20" s="668"/>
      <c r="X20" s="1265"/>
      <c r="Y20" s="340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16"/>
      <c r="Q22" s="1263"/>
      <c r="R22" s="667"/>
      <c r="S22" s="668"/>
      <c r="T22" s="667"/>
      <c r="U22" s="668"/>
      <c r="V22" s="667"/>
      <c r="W22" s="668"/>
      <c r="X22" s="1265"/>
      <c r="Y22" s="340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6"/>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16"/>
      <c r="Q24" s="1263"/>
      <c r="R24" s="667"/>
      <c r="S24" s="668"/>
      <c r="T24" s="667"/>
      <c r="U24" s="668"/>
      <c r="V24" s="667"/>
      <c r="W24" s="668"/>
      <c r="X24" s="1265"/>
      <c r="Y24" s="340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6"/>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6"/>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16"/>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6"/>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07" t="str">
        <f>A47</f>
        <v>成交单价（元/平方米）</v>
      </c>
      <c r="Q47" s="3407"/>
      <c r="R47" s="3402">
        <f>E47</f>
        <v>0</v>
      </c>
      <c r="S47" s="3402"/>
      <c r="T47" s="3402">
        <f>G47</f>
        <v>0</v>
      </c>
      <c r="U47" s="3402"/>
      <c r="V47" s="3402">
        <f>I47</f>
        <v>0</v>
      </c>
      <c r="W47" s="3402"/>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4"/>
      <c r="M48" s="2487"/>
      <c r="N48" s="2487"/>
      <c r="O48" s="2487"/>
      <c r="P48" s="3407" t="str">
        <f>A48</f>
        <v>比较价值（元/平方米）</v>
      </c>
      <c r="Q48" s="34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181.93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860"/>
      <c r="M5" s="861"/>
      <c r="N5" s="861"/>
      <c r="O5" s="861"/>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860"/>
      <c r="M6" s="861"/>
      <c r="N6" s="861"/>
      <c r="O6" s="861"/>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45841</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6"/>
      <c r="R8" s="664" t="s">
        <v>14</v>
      </c>
      <c r="S8" s="665">
        <f t="shared" si="0"/>
        <v>100</v>
      </c>
      <c r="T8" s="664" t="s">
        <v>14</v>
      </c>
      <c r="U8" s="665">
        <f t="shared" si="1"/>
        <v>100</v>
      </c>
      <c r="V8" s="664" t="s">
        <v>14</v>
      </c>
      <c r="W8" s="665">
        <f t="shared" si="2"/>
        <v>100</v>
      </c>
      <c r="X8" s="666"/>
      <c r="Y8" s="3375" t="s">
        <v>1683</v>
      </c>
      <c r="Z8" s="337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7"/>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2"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7" t="str">
        <f>A41</f>
        <v>成交单价（元/平方米）</v>
      </c>
      <c r="Q41" s="3407"/>
      <c r="R41" s="3402">
        <f>E41</f>
        <v>0</v>
      </c>
      <c r="S41" s="3402"/>
      <c r="T41" s="3402">
        <f>G41</f>
        <v>0</v>
      </c>
      <c r="U41" s="3402"/>
      <c r="V41" s="3402">
        <f>I41</f>
        <v>0</v>
      </c>
      <c r="W41" s="3402"/>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7" t="str">
        <f>A42</f>
        <v>比较价值（元/平方米）</v>
      </c>
      <c r="Q42" s="340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45841</v>
      </c>
      <c r="D7" s="355">
        <v>100</v>
      </c>
      <c r="E7" s="356"/>
      <c r="F7" s="357">
        <f>SUMIF(48:48,YEAR(E7)&amp;"-"&amp;MONTH(E7),49:49)</f>
        <v>0</v>
      </c>
      <c r="G7" s="356"/>
      <c r="H7" s="355">
        <f>SUMIF(48:48,YEAR(G7)&amp;"-"&amp;MONTH(G7),49:49)</f>
        <v>0</v>
      </c>
      <c r="I7" s="356"/>
      <c r="J7" s="355">
        <f>SUMIF(48:48,YEAR(I7)&amp;"-"&amp;MONTH(I7),49:49)</f>
        <v>0</v>
      </c>
      <c r="K7" s="38"/>
      <c r="L7" s="2488"/>
      <c r="M7" s="2440"/>
      <c r="N7" s="2440"/>
      <c r="O7" s="2440"/>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07"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7"/>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9"/>
      <c r="Q15" s="1263"/>
      <c r="R15" s="667"/>
      <c r="S15" s="668"/>
      <c r="T15" s="667"/>
      <c r="U15" s="668"/>
      <c r="V15" s="667"/>
      <c r="W15" s="668"/>
      <c r="X15" s="1265"/>
      <c r="Y15" s="340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09"/>
      <c r="Q17" s="1263"/>
      <c r="R17" s="667"/>
      <c r="S17" s="668"/>
      <c r="T17" s="667"/>
      <c r="U17" s="668"/>
      <c r="V17" s="667"/>
      <c r="W17" s="668"/>
      <c r="X17" s="1265"/>
      <c r="Y17" s="340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09"/>
      <c r="Q19" s="1263"/>
      <c r="R19" s="667"/>
      <c r="S19" s="668"/>
      <c r="T19" s="667"/>
      <c r="U19" s="668"/>
      <c r="V19" s="667"/>
      <c r="W19" s="668"/>
      <c r="X19" s="1265"/>
      <c r="Y19" s="340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9"/>
      <c r="Q21" s="1263"/>
      <c r="R21" s="667"/>
      <c r="S21" s="668"/>
      <c r="T21" s="667"/>
      <c r="U21" s="668"/>
      <c r="V21" s="667"/>
      <c r="W21" s="668"/>
      <c r="X21" s="1265"/>
      <c r="Y21" s="340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4"/>
      <c r="M37" s="2487"/>
      <c r="N37" s="2487"/>
      <c r="O37" s="2487"/>
      <c r="P37" s="3407" t="str">
        <f>A37</f>
        <v>成交单价</v>
      </c>
      <c r="Q37" s="3407"/>
      <c r="R37" s="3402">
        <f>E37</f>
        <v>0</v>
      </c>
      <c r="S37" s="3402"/>
      <c r="T37" s="3402">
        <f>G37</f>
        <v>0</v>
      </c>
      <c r="U37" s="3402"/>
      <c r="V37" s="3402">
        <f>I37</f>
        <v>0</v>
      </c>
      <c r="W37" s="3402"/>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4"/>
      <c r="M38" s="2487"/>
      <c r="N38" s="2487"/>
      <c r="O38" s="2487"/>
      <c r="P38" s="3407" t="str">
        <f>A38</f>
        <v>比较价值（元/平方米）</v>
      </c>
      <c r="Q38" s="3407"/>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04" t="str">
        <f>A39</f>
        <v>估价对象XX用房的比较价值（楼面单价，元/平方米）</v>
      </c>
      <c r="Q39" s="3405"/>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45841</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75" t="s">
        <v>1680</v>
      </c>
      <c r="Q7" s="3403"/>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75" t="s">
        <v>1683</v>
      </c>
      <c r="Q8" s="3376"/>
      <c r="R8" s="664" t="s">
        <v>14</v>
      </c>
      <c r="S8" s="665">
        <f t="shared" si="0"/>
        <v>100</v>
      </c>
      <c r="T8" s="664" t="s">
        <v>14</v>
      </c>
      <c r="U8" s="665">
        <f t="shared" si="1"/>
        <v>100</v>
      </c>
      <c r="V8" s="664" t="s">
        <v>14</v>
      </c>
      <c r="W8" s="665">
        <f t="shared" si="2"/>
        <v>100</v>
      </c>
      <c r="X8" s="666"/>
      <c r="Y8" s="3375" t="s">
        <v>1683</v>
      </c>
      <c r="Z8" s="337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07" t="s">
        <v>1686</v>
      </c>
      <c r="Q9" s="530" t="str">
        <f t="shared" ref="Q9:Q14" si="6">B9</f>
        <v>用途</v>
      </c>
      <c r="R9" s="664" t="s">
        <v>14</v>
      </c>
      <c r="S9" s="665">
        <f t="shared" si="0"/>
        <v>100</v>
      </c>
      <c r="T9" s="664" t="s">
        <v>14</v>
      </c>
      <c r="U9" s="665">
        <f t="shared" si="1"/>
        <v>100</v>
      </c>
      <c r="V9" s="664" t="s">
        <v>14</v>
      </c>
      <c r="W9" s="665">
        <f t="shared" si="2"/>
        <v>100</v>
      </c>
      <c r="X9" s="666"/>
      <c r="Y9" s="3319"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7"/>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7"/>
      <c r="Q11" s="530">
        <f t="shared" si="6"/>
        <v>111</v>
      </c>
      <c r="R11" s="664" t="s">
        <v>14</v>
      </c>
      <c r="S11" s="665">
        <f t="shared" si="0"/>
        <v>100</v>
      </c>
      <c r="T11" s="664" t="s">
        <v>14</v>
      </c>
      <c r="U11" s="665">
        <f t="shared" si="1"/>
        <v>100</v>
      </c>
      <c r="V11" s="664" t="s">
        <v>14</v>
      </c>
      <c r="W11" s="665">
        <f t="shared" si="2"/>
        <v>100</v>
      </c>
      <c r="X11" s="666"/>
      <c r="Y11" s="331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9"/>
      <c r="Q15" s="1263"/>
      <c r="R15" s="667"/>
      <c r="S15" s="668"/>
      <c r="T15" s="667"/>
      <c r="U15" s="668"/>
      <c r="V15" s="667"/>
      <c r="W15" s="668"/>
      <c r="X15" s="1265"/>
      <c r="Y15" s="340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09"/>
      <c r="Q17" s="1263"/>
      <c r="R17" s="667"/>
      <c r="S17" s="668"/>
      <c r="T17" s="667"/>
      <c r="U17" s="668"/>
      <c r="V17" s="667"/>
      <c r="W17" s="668"/>
      <c r="X17" s="1265"/>
      <c r="Y17" s="340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09"/>
      <c r="Q19" s="1263"/>
      <c r="R19" s="667"/>
      <c r="S19" s="668"/>
      <c r="T19" s="667"/>
      <c r="U19" s="668"/>
      <c r="V19" s="667"/>
      <c r="W19" s="668"/>
      <c r="X19" s="1265"/>
      <c r="Y19" s="340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9"/>
      <c r="Q21" s="1263"/>
      <c r="R21" s="667"/>
      <c r="S21" s="668"/>
      <c r="T21" s="667"/>
      <c r="U21" s="668"/>
      <c r="V21" s="667"/>
      <c r="W21" s="668"/>
      <c r="X21" s="1265"/>
      <c r="Y21" s="340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07" t="str">
        <f>A35</f>
        <v>成交单价（元/平方米）</v>
      </c>
      <c r="Q35" s="3407"/>
      <c r="R35" s="3402">
        <f>E35</f>
        <v>0</v>
      </c>
      <c r="S35" s="3402"/>
      <c r="T35" s="3402">
        <f>G35</f>
        <v>0</v>
      </c>
      <c r="U35" s="3402"/>
      <c r="V35" s="3402">
        <f>I35</f>
        <v>0</v>
      </c>
      <c r="W35" s="3402"/>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4"/>
      <c r="M36" s="2487"/>
      <c r="N36" s="2487"/>
      <c r="O36" s="2487"/>
      <c r="P36" s="3407" t="str">
        <f>A36</f>
        <v>比较价值（元/平方米）</v>
      </c>
      <c r="Q36" s="340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04" t="str">
        <f>A37</f>
        <v>估价对象XX用房的比较价值（楼面单价，元/平方米）</v>
      </c>
      <c r="Q37" s="3405"/>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45841</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109</v>
      </c>
      <c r="G10" s="402"/>
      <c r="H10" s="119">
        <f>ROUND(100/'数据-取费表'!G16,0)</f>
        <v>109</v>
      </c>
      <c r="I10" s="402"/>
      <c r="J10" s="119">
        <f>ROUND(100/'数据-取费表'!G16,0)</f>
        <v>109</v>
      </c>
      <c r="K10" s="592"/>
      <c r="L10" s="2489"/>
      <c r="M10" s="2490"/>
      <c r="N10" s="2490"/>
      <c r="O10" s="2541"/>
      <c r="P10" s="3407"/>
      <c r="Q10" s="530" t="str">
        <f t="shared" si="6"/>
        <v>土地使用年限（年）</v>
      </c>
      <c r="R10" s="664" t="s">
        <v>14</v>
      </c>
      <c r="S10" s="665">
        <f t="shared" si="0"/>
        <v>109</v>
      </c>
      <c r="T10" s="664" t="s">
        <v>14</v>
      </c>
      <c r="U10" s="665">
        <f t="shared" si="1"/>
        <v>109</v>
      </c>
      <c r="V10" s="664" t="s">
        <v>14</v>
      </c>
      <c r="W10" s="665">
        <f t="shared" si="2"/>
        <v>109</v>
      </c>
      <c r="X10" s="666"/>
      <c r="Y10" s="3319"/>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07"/>
      <c r="Q12" s="530" t="str">
        <f t="shared" si="6"/>
        <v>配建</v>
      </c>
      <c r="R12" s="664" t="s">
        <v>14</v>
      </c>
      <c r="S12" s="665">
        <f t="shared" si="0"/>
        <v>100</v>
      </c>
      <c r="T12" s="664" t="s">
        <v>14</v>
      </c>
      <c r="U12" s="665">
        <f t="shared" si="1"/>
        <v>100</v>
      </c>
      <c r="V12" s="664" t="s">
        <v>14</v>
      </c>
      <c r="W12" s="665">
        <f t="shared" si="2"/>
        <v>100</v>
      </c>
      <c r="X12" s="666"/>
      <c r="Y12" s="331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09"/>
      <c r="Q16" s="1263"/>
      <c r="R16" s="667"/>
      <c r="S16" s="668"/>
      <c r="T16" s="667"/>
      <c r="U16" s="668"/>
      <c r="V16" s="667"/>
      <c r="W16" s="668"/>
      <c r="X16" s="1265"/>
      <c r="Y16" s="340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09"/>
      <c r="Q18" s="1263"/>
      <c r="R18" s="667"/>
      <c r="S18" s="668"/>
      <c r="T18" s="667"/>
      <c r="U18" s="668"/>
      <c r="V18" s="667"/>
      <c r="W18" s="668"/>
      <c r="X18" s="1265"/>
      <c r="Y18" s="340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09"/>
      <c r="Q20" s="1263"/>
      <c r="R20" s="667"/>
      <c r="S20" s="668"/>
      <c r="T20" s="667"/>
      <c r="U20" s="668"/>
      <c r="V20" s="667"/>
      <c r="W20" s="668"/>
      <c r="X20" s="1265"/>
      <c r="Y20" s="340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09"/>
      <c r="Q22" s="1263"/>
      <c r="R22" s="667"/>
      <c r="S22" s="668"/>
      <c r="T22" s="667"/>
      <c r="U22" s="668"/>
      <c r="V22" s="667"/>
      <c r="W22" s="668"/>
      <c r="X22" s="1265"/>
      <c r="Y22" s="340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09"/>
      <c r="Q24" s="1263"/>
      <c r="R24" s="667"/>
      <c r="S24" s="668"/>
      <c r="T24" s="667"/>
      <c r="U24" s="668"/>
      <c r="V24" s="667"/>
      <c r="W24" s="668"/>
      <c r="X24" s="1265"/>
      <c r="Y24" s="340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09"/>
      <c r="Q26" s="1263"/>
      <c r="R26" s="667"/>
      <c r="S26" s="668"/>
      <c r="T26" s="667"/>
      <c r="U26" s="668"/>
      <c r="V26" s="667"/>
      <c r="W26" s="668"/>
      <c r="X26" s="1265"/>
      <c r="Y26" s="340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409"/>
      <c r="Q28" s="530"/>
      <c r="R28" s="664"/>
      <c r="S28" s="665"/>
      <c r="T28" s="664"/>
      <c r="U28" s="665"/>
      <c r="V28" s="664"/>
      <c r="W28" s="665"/>
      <c r="X28" s="666"/>
      <c r="Y28" s="340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409"/>
      <c r="Q30" s="530"/>
      <c r="R30" s="664"/>
      <c r="S30" s="665"/>
      <c r="T30" s="664"/>
      <c r="U30" s="665"/>
      <c r="V30" s="664"/>
      <c r="W30" s="665"/>
      <c r="X30" s="666"/>
      <c r="Y30" s="340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09"/>
      <c r="Q33" s="1263"/>
      <c r="R33" s="667"/>
      <c r="S33" s="668"/>
      <c r="T33" s="667"/>
      <c r="U33" s="668"/>
      <c r="V33" s="667"/>
      <c r="W33" s="668"/>
      <c r="X33" s="1265"/>
      <c r="Y33" s="340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2"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07" t="str">
        <f>A46</f>
        <v>成交单价</v>
      </c>
      <c r="Q46" s="3407"/>
      <c r="R46" s="3402">
        <f>E46</f>
        <v>0</v>
      </c>
      <c r="S46" s="3402"/>
      <c r="T46" s="3402">
        <f>G46</f>
        <v>0</v>
      </c>
      <c r="U46" s="3402"/>
      <c r="V46" s="3402">
        <f>I46</f>
        <v>0</v>
      </c>
      <c r="W46" s="3402"/>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4"/>
      <c r="M47" s="2487"/>
      <c r="N47" s="2487"/>
      <c r="O47" s="2487"/>
      <c r="P47" s="3407" t="str">
        <f>A47</f>
        <v>比较价值（元/平方米）</v>
      </c>
      <c r="Q47" s="3407"/>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04" t="str">
        <f>A48</f>
        <v>估价对象XX用房的比较价值（楼面单价，元/平方米）</v>
      </c>
      <c r="Q48" s="3405"/>
      <c r="R48" s="3435" t="e">
        <f>ROUND(IF(D47="简单平均",AVERAGE(R47:W47),R47*F47+T47*H47+V47*J47),0)</f>
        <v>#DIV/0!</v>
      </c>
      <c r="S48" s="3435"/>
      <c r="T48" s="3435"/>
      <c r="U48" s="3435"/>
      <c r="V48" s="3435"/>
      <c r="W48" s="343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0" t="s">
        <v>1887</v>
      </c>
      <c r="H55" s="343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181.93</v>
      </c>
      <c r="F56" s="833" t="e">
        <f t="shared" ref="F56:F64" si="15">ROUND(B56*E56/10000,0)</f>
        <v>#DIV/0!</v>
      </c>
      <c r="G56" s="3389"/>
      <c r="H56" s="340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SUMIF(修正!A57:A68,H60,修正!E57:E68)</f>
        <v>0.2</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SUMIF(修正!A57:A68,H61,修正!F57:F68)</f>
        <v>0.2</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SUMIF(修正!A57:A68,H64,修正!G57:G68)</f>
        <v>0.1</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181.93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受贵公司委托，我公司对北京市密云区滨河路178号院3号楼房地产抵押价值进行了预评估。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估价对象为北京市密云区滨河路178号院3号楼房地产，为所有。根据《国有土地使用证》[]，估价对象（分摊）出让国有建设用地使用权面积为0平方米，建筑面积为181.93平方米。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滨河路178号院3号楼房地产,属开发建设的办公项目，该项目尚在开发建设中。根据《国有土地使用证》[]，估价对象（分摊）出让国有建设用地使用权面积为0平方米，规划建筑面积为181.93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密云区滨河路178号院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2025年7月3日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394" t="s">
        <v>1775</v>
      </c>
      <c r="Q4" s="3395"/>
      <c r="R4" s="3377" t="s">
        <v>1771</v>
      </c>
      <c r="S4" s="3378"/>
      <c r="T4" s="3377" t="s">
        <v>1772</v>
      </c>
      <c r="U4" s="3378"/>
      <c r="V4" s="3402" t="s">
        <v>1773</v>
      </c>
      <c r="W4" s="3402"/>
      <c r="X4" s="1265"/>
      <c r="Y4" s="3377" t="s">
        <v>1775</v>
      </c>
      <c r="Z4" s="3378"/>
      <c r="AA4" s="3372" t="s">
        <v>1771</v>
      </c>
      <c r="AB4" s="3373" t="s">
        <v>1772</v>
      </c>
      <c r="AC4" s="3372" t="s">
        <v>1773</v>
      </c>
    </row>
    <row r="5" spans="1:29">
      <c r="A5" s="348"/>
      <c r="B5" s="349"/>
      <c r="C5" s="3383" t="s">
        <v>1673</v>
      </c>
      <c r="D5" s="3384"/>
      <c r="E5" s="3381" t="s">
        <v>1674</v>
      </c>
      <c r="F5" s="3382"/>
      <c r="G5" s="3383" t="s">
        <v>1675</v>
      </c>
      <c r="H5" s="3384"/>
      <c r="I5" s="3383" t="s">
        <v>1676</v>
      </c>
      <c r="J5" s="3384"/>
      <c r="K5" s="537"/>
      <c r="L5" s="2486"/>
      <c r="M5" s="2487"/>
      <c r="N5" s="2487"/>
      <c r="O5" s="2487"/>
      <c r="P5" s="3396"/>
      <c r="Q5" s="3397"/>
      <c r="R5" s="3379"/>
      <c r="S5" s="3380"/>
      <c r="T5" s="3379"/>
      <c r="U5" s="3380"/>
      <c r="V5" s="3402"/>
      <c r="W5" s="3402"/>
      <c r="X5" s="1265"/>
      <c r="Y5" s="3379"/>
      <c r="Z5" s="3380"/>
      <c r="AA5" s="3373"/>
      <c r="AB5" s="3373"/>
      <c r="AC5" s="3373"/>
    </row>
    <row r="6" spans="1:29" ht="15" thickBot="1">
      <c r="A6" s="350"/>
      <c r="B6" s="351"/>
      <c r="C6" s="3437" t="s">
        <v>1919</v>
      </c>
      <c r="D6" s="3438"/>
      <c r="E6" s="3439" t="s">
        <v>1919</v>
      </c>
      <c r="F6" s="3440"/>
      <c r="G6" s="3437" t="s">
        <v>1919</v>
      </c>
      <c r="H6" s="3438"/>
      <c r="I6" s="3437" t="s">
        <v>1919</v>
      </c>
      <c r="J6" s="3438"/>
      <c r="K6" s="537" t="s">
        <v>1678</v>
      </c>
      <c r="L6" s="2486"/>
      <c r="M6" s="2487"/>
      <c r="N6" s="2487"/>
      <c r="O6" s="2487"/>
      <c r="P6" s="3398"/>
      <c r="Q6" s="3399"/>
      <c r="R6" s="3379"/>
      <c r="S6" s="3380"/>
      <c r="T6" s="3400"/>
      <c r="U6" s="3401"/>
      <c r="V6" s="3402"/>
      <c r="W6" s="3402"/>
      <c r="X6" s="1265"/>
      <c r="Y6" s="3400"/>
      <c r="Z6" s="3401"/>
      <c r="AA6" s="3374"/>
      <c r="AB6" s="3374"/>
      <c r="AC6" s="3374"/>
    </row>
    <row r="7" spans="1:29" s="102" customFormat="1" ht="15" thickBot="1">
      <c r="A7" s="352" t="s">
        <v>1679</v>
      </c>
      <c r="B7" s="353"/>
      <c r="C7" s="354">
        <f>'数据-取费表'!B2</f>
        <v>45841</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75"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75" t="s">
        <v>1683</v>
      </c>
      <c r="Q8" s="3376"/>
      <c r="R8" s="664" t="s">
        <v>14</v>
      </c>
      <c r="S8" s="665">
        <f t="shared" si="0"/>
        <v>0</v>
      </c>
      <c r="T8" s="664" t="s">
        <v>14</v>
      </c>
      <c r="U8" s="665">
        <f t="shared" si="1"/>
        <v>0</v>
      </c>
      <c r="V8" s="664" t="s">
        <v>14</v>
      </c>
      <c r="W8" s="665">
        <f t="shared" si="2"/>
        <v>0</v>
      </c>
      <c r="X8" s="666"/>
      <c r="Y8" s="3375" t="s">
        <v>1683</v>
      </c>
      <c r="Z8" s="337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07"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109</v>
      </c>
      <c r="G10" s="371"/>
      <c r="H10" s="119">
        <f>ROUND(100/'数据-取费表'!G16,0)</f>
        <v>109</v>
      </c>
      <c r="I10" s="371"/>
      <c r="J10" s="119">
        <f>ROUND(100/'数据-取费表'!G16,0)</f>
        <v>109</v>
      </c>
      <c r="K10" s="592"/>
      <c r="L10" s="2489"/>
      <c r="M10" s="2490"/>
      <c r="N10" s="2490"/>
      <c r="O10" s="2541"/>
      <c r="P10" s="3407"/>
      <c r="Q10" s="530" t="str">
        <f t="shared" si="6"/>
        <v>土地使用年限（年）</v>
      </c>
      <c r="R10" s="664" t="s">
        <v>14</v>
      </c>
      <c r="S10" s="665">
        <f t="shared" si="0"/>
        <v>109</v>
      </c>
      <c r="T10" s="664" t="s">
        <v>14</v>
      </c>
      <c r="U10" s="665">
        <f t="shared" si="1"/>
        <v>109</v>
      </c>
      <c r="V10" s="664" t="s">
        <v>14</v>
      </c>
      <c r="W10" s="665">
        <f t="shared" si="2"/>
        <v>109</v>
      </c>
      <c r="X10" s="666"/>
      <c r="Y10" s="3319"/>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7"/>
      <c r="Q11" s="530" t="str">
        <f t="shared" si="6"/>
        <v>容积率</v>
      </c>
      <c r="R11" s="664" t="s">
        <v>14</v>
      </c>
      <c r="S11" s="665" t="e">
        <f t="shared" si="0"/>
        <v>#N/A</v>
      </c>
      <c r="T11" s="664" t="s">
        <v>14</v>
      </c>
      <c r="U11" s="665" t="e">
        <f t="shared" si="1"/>
        <v>#N/A</v>
      </c>
      <c r="V11" s="664" t="s">
        <v>14</v>
      </c>
      <c r="W11" s="665" t="e">
        <f t="shared" si="2"/>
        <v>#N/A</v>
      </c>
      <c r="X11" s="666"/>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07"/>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7"/>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7"/>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09"/>
      <c r="Q16" s="1263"/>
      <c r="R16" s="667"/>
      <c r="S16" s="668"/>
      <c r="T16" s="667"/>
      <c r="U16" s="668"/>
      <c r="V16" s="667"/>
      <c r="W16" s="668"/>
      <c r="X16" s="1265"/>
      <c r="Y16" s="340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09"/>
      <c r="Q18" s="1263"/>
      <c r="R18" s="667"/>
      <c r="S18" s="668"/>
      <c r="T18" s="667"/>
      <c r="U18" s="668"/>
      <c r="V18" s="667"/>
      <c r="W18" s="668"/>
      <c r="X18" s="1265"/>
      <c r="Y18" s="340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09"/>
      <c r="Q20" s="1263"/>
      <c r="R20" s="667"/>
      <c r="S20" s="668"/>
      <c r="T20" s="667"/>
      <c r="U20" s="668"/>
      <c r="V20" s="667"/>
      <c r="W20" s="668"/>
      <c r="X20" s="1265"/>
      <c r="Y20" s="340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09"/>
      <c r="Q22" s="1263"/>
      <c r="R22" s="667"/>
      <c r="S22" s="668"/>
      <c r="T22" s="667"/>
      <c r="U22" s="668"/>
      <c r="V22" s="667"/>
      <c r="W22" s="668"/>
      <c r="X22" s="1265"/>
      <c r="Y22" s="340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409"/>
      <c r="Q24" s="530"/>
      <c r="R24" s="664"/>
      <c r="S24" s="665"/>
      <c r="T24" s="664"/>
      <c r="U24" s="665"/>
      <c r="V24" s="664"/>
      <c r="W24" s="665"/>
      <c r="X24" s="666"/>
      <c r="Y24" s="340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409"/>
      <c r="Q26" s="530"/>
      <c r="R26" s="664"/>
      <c r="S26" s="665"/>
      <c r="T26" s="664"/>
      <c r="U26" s="665"/>
      <c r="V26" s="664"/>
      <c r="W26" s="665"/>
      <c r="X26" s="666"/>
      <c r="Y26" s="340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09"/>
      <c r="Q29" s="1263"/>
      <c r="R29" s="667"/>
      <c r="S29" s="668"/>
      <c r="T29" s="667"/>
      <c r="U29" s="668"/>
      <c r="V29" s="667"/>
      <c r="W29" s="668"/>
      <c r="X29" s="1265"/>
      <c r="Y29" s="340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2"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07" t="str">
        <f>A41</f>
        <v>成交单价</v>
      </c>
      <c r="Q41" s="3407"/>
      <c r="R41" s="3402">
        <f>E41</f>
        <v>0</v>
      </c>
      <c r="S41" s="3402"/>
      <c r="T41" s="3402">
        <f>G41</f>
        <v>0</v>
      </c>
      <c r="U41" s="3402"/>
      <c r="V41" s="3402">
        <f>I41</f>
        <v>0</v>
      </c>
      <c r="W41" s="3402"/>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4"/>
      <c r="M42" s="2487"/>
      <c r="N42" s="2487"/>
      <c r="O42" s="2487"/>
      <c r="P42" s="3407" t="str">
        <f>A42</f>
        <v>比较价值（元/平方米）</v>
      </c>
      <c r="Q42" s="3407"/>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04" t="str">
        <f>A43</f>
        <v>估价对象XX用房的比较价值（楼面单价，元/平方米）</v>
      </c>
      <c r="Q43" s="3405"/>
      <c r="R43" s="3435" t="e">
        <f>ROUND(IF(D42="简单平均",AVERAGE(R42:W42),R42*F42+T42*H42+V42*J42),0)</f>
        <v>#DIV/0!</v>
      </c>
      <c r="S43" s="3435"/>
      <c r="T43" s="3435"/>
      <c r="U43" s="3435"/>
      <c r="V43" s="3435"/>
      <c r="W43" s="343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0" t="s">
        <v>1887</v>
      </c>
      <c r="H50" s="343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181.93</v>
      </c>
      <c r="F51" s="611" t="e">
        <f t="shared" ref="F51:F60" si="15">ROUND(B51*E51/10000,0)</f>
        <v>#DIV/0!</v>
      </c>
      <c r="G51" s="3389"/>
      <c r="H51" s="340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SUMIF(修正!A57:A68,H56,修正!E57:E68)</f>
        <v>0.2</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SUMIF(修正!A57:A68,H57,修正!F57:F68)</f>
        <v>0.2</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SUMIF(修正!A57:A68,H60,修正!G57:G68)</f>
        <v>0.1</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f ca="1">SUMIF(B6:B13,"&lt;&gt;#ref!",B6:B13)</f>
        <v>85</v>
      </c>
      <c r="C2" s="1984" t="s">
        <v>2074</v>
      </c>
      <c r="D2" s="1984" t="s">
        <v>2075</v>
      </c>
      <c r="E2" s="2398">
        <f ca="1">SUMIF(E6:E13,"&lt;&gt;#ref!",E6:E13)</f>
        <v>181.93</v>
      </c>
      <c r="F2" s="2544"/>
      <c r="G2" s="2544"/>
      <c r="H2" s="2544"/>
      <c r="I2" s="2544"/>
      <c r="J2" s="2544"/>
      <c r="K2" s="2544"/>
      <c r="L2" s="2544"/>
      <c r="M2" s="2544"/>
      <c r="N2" s="2544"/>
      <c r="O2" s="2544"/>
      <c r="P2" s="2544"/>
    </row>
    <row r="3" spans="1:16" ht="15.6">
      <c r="A3" s="1984" t="s">
        <v>2076</v>
      </c>
      <c r="B3" s="2388">
        <f ca="1">ROUND(B2*10000/E2,0)</f>
        <v>4672</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f ca="1">SUMIF(INDIRECT("'"&amp;A6&amp;"'"&amp;"!A:A"),"总价",INDIRECT("'"&amp;A6&amp;"'"&amp;"!B:B"))</f>
        <v>85</v>
      </c>
      <c r="C6" s="1984" t="s">
        <v>2074</v>
      </c>
      <c r="D6" s="2544"/>
      <c r="E6" s="2398">
        <f ca="1">SUMIF(INDIRECT("'"&amp;A6&amp;"'"&amp;"!C:C"),"建筑面积",INDIRECT("'"&amp;A6&amp;"'"&amp;"!D:D"))</f>
        <v>181.93</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201</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214.9786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11817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908219</v>
      </c>
      <c r="D5" s="203" t="s">
        <v>1469</v>
      </c>
      <c r="E5" s="204" t="s">
        <v>1470</v>
      </c>
      <c r="F5" s="204" t="s">
        <v>1471</v>
      </c>
      <c r="G5" s="205"/>
    </row>
    <row r="6" spans="1:8" s="206" customFormat="1" ht="13.5" customHeight="1">
      <c r="A6" s="732" t="s">
        <v>1472</v>
      </c>
      <c r="B6" s="207" t="s">
        <v>1473</v>
      </c>
      <c r="C6" s="208">
        <f>ROUND(基准地价修正!D33*基准地价修正!C33,0)</f>
        <v>847794</v>
      </c>
      <c r="D6" s="209"/>
      <c r="E6" s="210"/>
      <c r="F6" s="210"/>
      <c r="G6" s="211"/>
    </row>
    <row r="7" spans="1:8" s="206" customFormat="1" ht="13.5" customHeight="1">
      <c r="A7" s="732" t="s">
        <v>1474</v>
      </c>
      <c r="B7" s="207" t="s">
        <v>1475</v>
      </c>
      <c r="C7" s="212">
        <f>ROUND(C6*F7,0)</f>
        <v>25858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34567</v>
      </c>
      <c r="D8" s="214"/>
      <c r="E8" s="212"/>
      <c r="F8" s="213"/>
      <c r="G8" s="1714" t="s">
        <v>3543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34567</v>
      </c>
      <c r="D10" s="795">
        <f ca="1">IF(B1="",'数据-汇总表'!E6,IF(INDIRECT("'数据-取费表'!c"&amp;$G$1)="住宅",INDIRECT("'数据-取费表'!s"&amp;$G$1),INDIRECT("'数据-取费表'!k"&amp;$G$1)+INDIRECT("'数据-取费表'!s"&amp;$G$1)))</f>
        <v>181.93</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181.93</v>
      </c>
      <c r="E19" s="203">
        <f>'数据-取费表'!B31</f>
        <v>200</v>
      </c>
      <c r="F19" s="223"/>
      <c r="G19" s="1714" t="s">
        <v>3544</v>
      </c>
    </row>
    <row r="20" spans="1:7" s="206" customFormat="1" ht="13.5" customHeight="1">
      <c r="A20" s="247" t="s">
        <v>1574</v>
      </c>
      <c r="B20" s="202" t="s">
        <v>1575</v>
      </c>
      <c r="C20" s="224">
        <f ca="1">ROUND((C5+C19)*F20,0)</f>
        <v>18164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55856</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55311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545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138957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138957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1214599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815046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727720</v>
      </c>
      <c r="D34" s="209"/>
      <c r="E34" s="212"/>
      <c r="F34" s="249"/>
      <c r="G34" s="211"/>
    </row>
    <row r="35" spans="1:7" ht="13.5" customHeight="1">
      <c r="A35" s="734" t="s">
        <v>351</v>
      </c>
      <c r="B35" s="207" t="s">
        <v>1527</v>
      </c>
      <c r="C35" s="212">
        <f ca="1">ROUND(C34*F35,0)</f>
        <v>36386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36386</v>
      </c>
      <c r="D37" s="209">
        <f ca="1">D19</f>
        <v>181.93</v>
      </c>
      <c r="E37" s="241">
        <f>'数据-取费表'!B35</f>
        <v>200</v>
      </c>
      <c r="F37" s="251"/>
      <c r="G37" s="253"/>
    </row>
    <row r="38" spans="1:7" ht="13.5" customHeight="1">
      <c r="A38" s="734" t="s">
        <v>354</v>
      </c>
      <c r="B38" s="207" t="s">
        <v>1533</v>
      </c>
      <c r="C38" s="212">
        <f ca="1">ROUND(C34*F38,0)</f>
        <v>14554</v>
      </c>
      <c r="D38" s="212"/>
      <c r="E38" s="212"/>
      <c r="F38" s="251">
        <f>'数据-取费表'!B36</f>
        <v>0.02</v>
      </c>
      <c r="G38" s="211" t="s">
        <v>1528</v>
      </c>
    </row>
    <row r="39" spans="1:7" s="206" customFormat="1" ht="13.5" customHeight="1">
      <c r="A39" s="247" t="s">
        <v>1534</v>
      </c>
      <c r="B39" s="202" t="s">
        <v>1535</v>
      </c>
      <c r="C39" s="224">
        <f ca="1">ROUND(C33*F20,0)</f>
        <v>16301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24940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24451</v>
      </c>
      <c r="D42" s="230"/>
      <c r="E42" s="230"/>
      <c r="F42" s="231"/>
      <c r="G42" s="3343" t="s">
        <v>1591</v>
      </c>
    </row>
    <row r="43" spans="1:7" ht="13.5" customHeight="1">
      <c r="A43" s="734" t="s">
        <v>347</v>
      </c>
      <c r="B43" s="207" t="s">
        <v>1545</v>
      </c>
      <c r="C43" s="230">
        <f ca="1">ROUND(IF('数据-取费表'!B22&lt;=1,C39*F22*'数据-取费表'!B20/2,C39*(POWER((1+F22),'数据-取费表'!B20/2)-1)),0)</f>
        <v>489</v>
      </c>
      <c r="D43" s="230"/>
      <c r="E43" s="230"/>
      <c r="F43" s="231"/>
      <c r="G43" s="3344"/>
    </row>
    <row r="44" spans="1:7" ht="13.5" customHeight="1">
      <c r="A44" s="734" t="s">
        <v>348</v>
      </c>
      <c r="B44" s="207" t="s">
        <v>1546</v>
      </c>
      <c r="C44" s="230">
        <f ca="1">ROUND(IF('数据-取费表'!B22&lt;=1,C40*F22*'数据-取费表'!B20/2,C40*(POWER((1+F22),'数据-取费表'!B20/2)-1)),4)</f>
        <v>5.9999999999999995E-4</v>
      </c>
      <c r="D44" s="230"/>
      <c r="E44" s="230"/>
      <c r="F44" s="231"/>
      <c r="G44" s="3345"/>
    </row>
    <row r="45" spans="1:7" s="206" customFormat="1" ht="13.5" customHeight="1">
      <c r="A45" s="247" t="s">
        <v>1547</v>
      </c>
      <c r="B45" s="236" t="s">
        <v>1513</v>
      </c>
      <c r="C45" s="237">
        <f ca="1">C46</f>
        <v>124702</v>
      </c>
      <c r="D45" s="227">
        <f ca="1">C47</f>
        <v>3.0000000000000001E-3</v>
      </c>
      <c r="E45" s="228" t="s">
        <v>1539</v>
      </c>
      <c r="F45" s="238">
        <f ca="1">F27</f>
        <v>0.15</v>
      </c>
      <c r="G45" s="239" t="s">
        <v>1548</v>
      </c>
    </row>
    <row r="46" spans="1:7" s="206" customFormat="1" ht="13.5" customHeight="1">
      <c r="A46" s="734" t="s">
        <v>346</v>
      </c>
      <c r="B46" s="240" t="s">
        <v>1549</v>
      </c>
      <c r="C46" s="241">
        <f ca="1">ROUND((C33+C39)*F27,0)</f>
        <v>124702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1062712</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935187</v>
      </c>
      <c r="D51" s="224"/>
      <c r="E51" s="224"/>
      <c r="F51" s="256"/>
      <c r="G51" s="226" t="s">
        <v>1560</v>
      </c>
    </row>
    <row r="52" spans="1:7" s="200" customFormat="1" ht="16.8" thickBot="1">
      <c r="A52" s="257" t="s">
        <v>1561</v>
      </c>
      <c r="B52" s="258"/>
      <c r="C52" s="259">
        <f ca="1">C31+C51</f>
        <v>2149786</v>
      </c>
      <c r="D52" s="258"/>
      <c r="E52" s="258"/>
      <c r="F52" s="258"/>
      <c r="G52" s="260"/>
    </row>
    <row r="55" spans="1:7" ht="15">
      <c r="B55" s="262" t="s">
        <v>1562</v>
      </c>
      <c r="C55" s="263"/>
    </row>
    <row r="56" spans="1:7">
      <c r="B56" s="265" t="s">
        <v>802</v>
      </c>
      <c r="C56" s="267">
        <f ca="1">1-C57</f>
        <v>0.56499999999999995</v>
      </c>
    </row>
    <row r="57" spans="1:7">
      <c r="B57" s="265" t="s">
        <v>803</v>
      </c>
      <c r="C57" s="266">
        <f ca="1">ROUND(C51/C52,3)</f>
        <v>0.435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181.93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85</v>
      </c>
      <c r="C2" s="1846" t="s">
        <v>1935</v>
      </c>
      <c r="D2" s="162" t="s">
        <v>1936</v>
      </c>
      <c r="E2" s="3120"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7849</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4672</v>
      </c>
      <c r="C3" s="1846" t="s">
        <v>1941</v>
      </c>
      <c r="D3" s="162" t="s">
        <v>1942</v>
      </c>
      <c r="E3" s="3118" t="s">
        <v>3536</v>
      </c>
      <c r="F3" s="1848" t="s">
        <v>3537</v>
      </c>
      <c r="G3" s="708">
        <f>IF(F3="宗地容积率",'数据-汇总表'!I4,IF(F3="估价对象容积率",'数据-汇总表'!I6,'数据-汇总表'!I7))</f>
        <v>2.6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6050</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454"/>
      <c r="B4" s="3455"/>
      <c r="C4" s="3455"/>
      <c r="D4" s="3456"/>
      <c r="E4" s="3456"/>
      <c r="F4" s="3456"/>
      <c r="G4" s="3456"/>
      <c r="H4" s="3456"/>
      <c r="I4" s="3456"/>
      <c r="J4" s="34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4935</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5580</v>
      </c>
      <c r="D5" s="1252">
        <f>ROUND(C6*C17+C20,0)</f>
        <v>5580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4190</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5580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3817</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九级</v>
      </c>
      <c r="Y7" s="1131" t="s">
        <v>1956</v>
      </c>
      <c r="Z7" s="1132">
        <f>G3</f>
        <v>2.6</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51" t="s">
        <v>1960</v>
      </c>
      <c r="X8" s="34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5580</v>
      </c>
      <c r="N9" s="813">
        <f>SUMPRODUCT((因素修正幅度!B277:B326=I2)*(因素修正幅度!C3:G3=E2)*(因素修正幅度!C277:G326))</f>
        <v>0.15</v>
      </c>
      <c r="O9" s="1056"/>
      <c r="P9" s="1056"/>
      <c r="Q9" s="1056"/>
      <c r="R9" s="1129">
        <v>8</v>
      </c>
      <c r="S9" s="1130"/>
      <c r="T9" s="3063">
        <f t="shared" si="0"/>
        <v>0</v>
      </c>
      <c r="U9" s="1130"/>
      <c r="V9" s="3063">
        <f t="shared" si="1"/>
        <v>0</v>
      </c>
      <c r="W9" s="3453"/>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5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3237</v>
      </c>
      <c r="B12" s="3013" t="s">
        <v>3238</v>
      </c>
      <c r="C12" s="3014">
        <v>1</v>
      </c>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3241</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3247</v>
      </c>
      <c r="E18" s="2357"/>
      <c r="F18" s="3030" t="s">
        <v>3250</v>
      </c>
      <c r="G18" s="3034">
        <f>ROUND(1-(1/(POWER(1+G24,E18))),4)</f>
        <v>0</v>
      </c>
      <c r="H18" s="3030" t="s">
        <v>3252</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58" t="s">
        <v>3253</v>
      </c>
      <c r="B20" s="159" t="s">
        <v>1994</v>
      </c>
      <c r="C20" s="3031">
        <f>ROUND(IF(F21="与级别开发程度一致",0,(G21-E21)/C21),0)</f>
        <v>0</v>
      </c>
      <c r="D20" s="3046" t="s">
        <v>1998</v>
      </c>
      <c r="E20" s="3047"/>
      <c r="F20" s="3464" t="s">
        <v>1995</v>
      </c>
      <c r="G20" s="346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45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3538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896" t="s">
        <v>2002</v>
      </c>
      <c r="E23" s="717">
        <v>44197</v>
      </c>
      <c r="F23" s="1896" t="s">
        <v>2003</v>
      </c>
      <c r="G23" s="718">
        <f>'数据-取费表'!B2</f>
        <v>45841</v>
      </c>
      <c r="H23" s="3048" t="s">
        <v>3254</v>
      </c>
      <c r="I23" s="3049" t="str">
        <f>IF(H23="季度增幅（自定义）",SUMIF(N25:N28,E2,O25:O28),"")</f>
        <v/>
      </c>
      <c r="J23" s="3141" t="s">
        <v>3539</v>
      </c>
      <c r="K23" s="1061"/>
      <c r="L23" s="1897" t="s">
        <v>2004</v>
      </c>
      <c r="M23" s="1241">
        <f>ROUND(SUMIF(地价!B2:G2,E2,地价!B16:G16),0)</f>
        <v>350</v>
      </c>
      <c r="N23" s="1898" t="s">
        <v>2005</v>
      </c>
      <c r="O23" s="719">
        <f>ROUNDDOWN(DATEDIF(E23,G23,"M")/3,0)</f>
        <v>18</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0.92949999999999999</v>
      </c>
      <c r="D24" s="1902" t="s">
        <v>2007</v>
      </c>
      <c r="E24" s="1248">
        <f>存贷款利率!E28/100</f>
        <v>4.3499999999999997E-2</v>
      </c>
      <c r="F24" s="1902" t="s">
        <v>1999</v>
      </c>
      <c r="G24" s="724">
        <f>SUMIF(M30:Q30,E2,M33:Q33)</f>
        <v>5.5E-2</v>
      </c>
      <c r="H24" s="1902" t="s">
        <v>2008</v>
      </c>
      <c r="I24" s="725">
        <f>SUMIF('数据-取费表'!C6:C15,E2,'数据-取费表'!F6:F15)/COUNTIF('数据-取费表'!C6:C15,E2)</f>
        <v>37.479999999999997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3333</v>
      </c>
      <c r="C25" s="461">
        <f>IF(B25="容积率修正",IF(G3&lt;10,D26,J26),C27)</f>
        <v>0.91539999999999999</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0.91539999999999999</v>
      </c>
      <c r="E26" s="708">
        <f>ROUNDDOWN(G3,1)</f>
        <v>2.6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0.91539999999999999</v>
      </c>
      <c r="G26" s="708">
        <f>ROUNDUP(G3,1)</f>
        <v>2.6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0.91539999999999999</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0.97450000000000003</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85</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4660</v>
      </c>
      <c r="D33" s="1940">
        <f>'数据-汇总表'!E19</f>
        <v>181.93</v>
      </c>
      <c r="E33" s="727">
        <f>ROUND(C33*D33/10000,0)</f>
        <v>85</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1165</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2"/>
      <c r="B37" s="1955" t="s">
        <v>2036</v>
      </c>
      <c r="C37" s="167">
        <f>ROUND(D5*C22*C23*C24*C28*F37,0)</f>
        <v>2545</v>
      </c>
      <c r="D37" s="1940"/>
      <c r="E37" s="163">
        <f>ROUND(C37*D37/10000,0)</f>
        <v>0</v>
      </c>
      <c r="F37" s="163">
        <f>SUMIF(修正!A57:A68,G2,修正!B57:B68)</f>
        <v>0.5</v>
      </c>
      <c r="G37" s="163">
        <f>ROUND(IF(E2="工业",C37*$M$42,C37*$M$41),0)</f>
        <v>636</v>
      </c>
      <c r="H37" s="163">
        <f>D37</f>
        <v>0</v>
      </c>
      <c r="I37" s="163">
        <f>ROUND(G37*H37/10000,0)</f>
        <v>0</v>
      </c>
      <c r="J37" s="2754"/>
      <c r="K37" s="3061"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2037</v>
      </c>
      <c r="C38" s="167">
        <f>ROUND(D5*C22*C23*C24*C28*F38,0)</f>
        <v>1018</v>
      </c>
      <c r="D38" s="1940"/>
      <c r="E38" s="163">
        <f t="shared" ref="E38:E42" si="4">ROUND(C38*D38/10000,0)</f>
        <v>0</v>
      </c>
      <c r="F38" s="163">
        <f>SUMIF(修正!A57:A68,G2,修正!C57:C68)</f>
        <v>0.2</v>
      </c>
      <c r="G38" s="163">
        <f>ROUND(IF(E2="工业",C38*$M$42,C38*$M$41),0)</f>
        <v>255</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3"/>
      <c r="B39" s="1884" t="s">
        <v>3257</v>
      </c>
      <c r="C39" s="167">
        <f>ROUND(D5*C22*C23*C24*C28*F39,0)</f>
        <v>1018</v>
      </c>
      <c r="D39" s="1940"/>
      <c r="E39" s="163">
        <f t="shared" si="4"/>
        <v>0</v>
      </c>
      <c r="F39" s="163">
        <f>SUMIF(修正!A57:A68,G2,修正!D57:D68)</f>
        <v>0.2</v>
      </c>
      <c r="G39" s="163">
        <f>ROUND(IF(E2="工业",C39*$M$42,C39*$M$41),0)</f>
        <v>255</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1018</v>
      </c>
      <c r="D40" s="1940"/>
      <c r="E40" s="163">
        <f t="shared" si="4"/>
        <v>0</v>
      </c>
      <c r="F40" s="167">
        <f>SUMIF(修正!A57:A68,G2,修正!E57:E68)</f>
        <v>0.2</v>
      </c>
      <c r="G40" s="163">
        <f>ROUND(IF(E2="工业",C40*$M$42,C40*$M$41),0)</f>
        <v>255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0.97450000000000003</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3540</v>
      </c>
      <c r="D61" s="1002">
        <f t="shared" ref="D61:D69" si="12">SUMIF($J$60:$N$60,C61,J61:N61)</f>
        <v>-1.8700000000000001E-2</v>
      </c>
      <c r="E61" s="702">
        <f>ROUND(SUM(D61:D69),4)</f>
        <v>-2.5499999999999998E-2</v>
      </c>
      <c r="F61" s="1675">
        <f>IF(E2="办公",SUMIF(L1:L12,G2,N1:N12),"——")</f>
        <v>0.15</v>
      </c>
      <c r="G61" s="1000">
        <v>1.8700000000000001E-2</v>
      </c>
      <c r="H61" s="1003">
        <f t="shared" ref="H61:H69" si="13">IFERROR(ROUNDDOWN($F$61*I61/2,4),"——")</f>
        <v>1.8700000000000001E-2</v>
      </c>
      <c r="I61" s="3068">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3540</v>
      </c>
      <c r="D62" s="1002">
        <f t="shared" si="12"/>
        <v>-1.95E-2</v>
      </c>
      <c r="E62" s="703"/>
      <c r="F62" s="1675"/>
      <c r="G62" s="1000">
        <v>1.95E-2</v>
      </c>
      <c r="H62" s="1003">
        <f t="shared" si="13"/>
        <v>1.95E-2</v>
      </c>
      <c r="I62" s="3068">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48">
      <c r="A63" s="3070" t="s">
        <v>3267</v>
      </c>
      <c r="B63" s="1262">
        <f>估价对象房地状况!C19</f>
        <v>0</v>
      </c>
      <c r="C63" s="1887" t="s">
        <v>3541</v>
      </c>
      <c r="D63" s="1002">
        <f t="shared" si="12"/>
        <v>0</v>
      </c>
      <c r="E63" s="703"/>
      <c r="F63" s="1675"/>
      <c r="G63" s="1000">
        <v>8.2000000000000007E-3</v>
      </c>
      <c r="H63" s="1003">
        <f t="shared" si="13"/>
        <v>8.2000000000000007E-3</v>
      </c>
      <c r="I63" s="3068">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3541</v>
      </c>
      <c r="D64" s="1002">
        <f t="shared" si="12"/>
        <v>0</v>
      </c>
      <c r="E64" s="703"/>
      <c r="F64" s="1675"/>
      <c r="G64" s="1000">
        <v>3.7000000000000002E-3</v>
      </c>
      <c r="H64" s="1003">
        <f t="shared" si="13"/>
        <v>3.7000000000000002E-3</v>
      </c>
      <c r="I64" s="3068">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3540</v>
      </c>
      <c r="D65" s="1002">
        <f t="shared" si="12"/>
        <v>-3.7000000000000002E-3</v>
      </c>
      <c r="E65" s="703"/>
      <c r="F65" s="1675"/>
      <c r="G65" s="1000">
        <v>3.7000000000000002E-3</v>
      </c>
      <c r="H65" s="1003">
        <f t="shared" si="13"/>
        <v>3.7000000000000002E-3</v>
      </c>
      <c r="I65" s="3068">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3541</v>
      </c>
      <c r="D66" s="1002">
        <f t="shared" si="12"/>
        <v>0</v>
      </c>
      <c r="E66" s="703"/>
      <c r="F66" s="1675"/>
      <c r="G66" s="1000">
        <v>4.4999999999999997E-3</v>
      </c>
      <c r="H66" s="1003">
        <f t="shared" si="13"/>
        <v>4.4999999999999997E-3</v>
      </c>
      <c r="I66" s="3068">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3542</v>
      </c>
      <c r="D67" s="1002">
        <f t="shared" si="12"/>
        <v>4.4999999999999997E-3</v>
      </c>
      <c r="E67" s="703"/>
      <c r="F67" s="1675"/>
      <c r="G67" s="1000">
        <v>4.4999999999999997E-3</v>
      </c>
      <c r="H67" s="1003">
        <f t="shared" si="13"/>
        <v>4.4999999999999997E-3</v>
      </c>
      <c r="I67" s="3068">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3542</v>
      </c>
      <c r="D68" s="1002">
        <f t="shared" si="12"/>
        <v>6.7000000000000002E-3</v>
      </c>
      <c r="E68" s="703"/>
      <c r="F68" s="1675"/>
      <c r="G68" s="1000">
        <v>6.7000000000000002E-3</v>
      </c>
      <c r="H68" s="1003">
        <f t="shared" si="13"/>
        <v>6.7000000000000002E-3</v>
      </c>
      <c r="I68" s="3068">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3542</v>
      </c>
      <c r="D69" s="1002">
        <f t="shared" si="12"/>
        <v>5.1999999999999998E-3</v>
      </c>
      <c r="E69" s="704"/>
      <c r="F69" s="1675"/>
      <c r="G69" s="1000">
        <v>5.1999999999999998E-3</v>
      </c>
      <c r="H69" s="1003">
        <f t="shared" si="13"/>
        <v>5.1999999999999998E-3</v>
      </c>
      <c r="I69" s="3069">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2611</v>
      </c>
      <c r="B91" s="3079">
        <f>1+E93</f>
        <v>1</v>
      </c>
      <c r="C91" s="3072"/>
      <c r="D91" s="3073"/>
      <c r="E91" s="1675"/>
      <c r="F91" s="1675"/>
      <c r="G91" s="3074"/>
      <c r="H91" s="3075"/>
      <c r="I91" s="3076"/>
      <c r="J91" s="3077"/>
      <c r="K91" s="3077"/>
      <c r="L91" s="3077"/>
      <c r="M91" s="3077"/>
      <c r="N91" s="3077"/>
    </row>
    <row r="92" spans="1:37" ht="25.2">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4">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0" t="s">
        <v>3292</v>
      </c>
      <c r="B103" s="3460"/>
      <c r="C103" s="3460"/>
      <c r="D103" s="3460"/>
      <c r="E103" s="3460"/>
      <c r="F103" s="3460"/>
      <c r="G103" s="3460"/>
      <c r="H103" s="3460"/>
      <c r="I103" s="3460"/>
      <c r="J103" s="3460"/>
      <c r="K103" s="1667"/>
      <c r="L103" s="1667"/>
      <c r="M103" s="1667"/>
      <c r="N103" s="1667"/>
    </row>
    <row r="104" spans="1:14">
      <c r="A104" s="3461" t="s">
        <v>3293</v>
      </c>
      <c r="B104" s="3461" t="s">
        <v>3294</v>
      </c>
      <c r="C104" s="3090" t="s">
        <v>3295</v>
      </c>
      <c r="D104" s="3091"/>
      <c r="E104" s="3091"/>
      <c r="F104" s="3091"/>
      <c r="G104" s="3091"/>
      <c r="H104" s="3091"/>
      <c r="I104" s="3091"/>
      <c r="J104" s="3092"/>
      <c r="K104" s="3093"/>
      <c r="L104" s="3093"/>
      <c r="M104" s="3093"/>
      <c r="N104" s="3093"/>
    </row>
    <row r="105" spans="1:14">
      <c r="A105" s="3461"/>
      <c r="B105" s="3461"/>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47"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8"/>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0" t="s">
        <v>3309</v>
      </c>
      <c r="B113" s="3450"/>
      <c r="C113" s="3450"/>
      <c r="D113" s="3450"/>
      <c r="E113" s="3450"/>
      <c r="F113" s="3450"/>
      <c r="G113" s="3450"/>
      <c r="H113" s="3450"/>
      <c r="I113" s="3450"/>
      <c r="J113" s="345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3310</v>
      </c>
      <c r="B116" s="3114">
        <f>G3</f>
        <v>2.6</v>
      </c>
      <c r="C116" s="3099" t="s">
        <v>3311</v>
      </c>
      <c r="D116" s="3100">
        <f>SUMPRODUCT((A118:A122=F116)*(B117:M117=H116)*B118:M122)</f>
        <v>0.79069999999999996</v>
      </c>
      <c r="E116" s="162" t="s">
        <v>3312</v>
      </c>
      <c r="F116" s="3101" t="str">
        <f>E2</f>
        <v>办公</v>
      </c>
      <c r="G116" s="162" t="s">
        <v>3313</v>
      </c>
      <c r="H116" s="3101" t="str">
        <f>G2</f>
        <v>九级</v>
      </c>
      <c r="I116" s="162"/>
      <c r="J116" s="3102"/>
      <c r="K116" s="3102"/>
      <c r="L116" s="3102"/>
      <c r="M116" s="3102"/>
      <c r="N116" s="3097"/>
    </row>
    <row r="117" spans="1:14">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c r="A118" s="3057" t="s">
        <v>3326</v>
      </c>
      <c r="B118" s="3089">
        <f>ROUND(0.9968-0.011*B116,4)</f>
        <v>0.96819999999999995</v>
      </c>
      <c r="C118" s="3089">
        <f>B118</f>
        <v>0.96819999999999995</v>
      </c>
      <c r="D118" s="3089">
        <f>ROUND(0.949-0.014*B116,4)</f>
        <v>0.91259999999999997</v>
      </c>
      <c r="E118" s="3089">
        <f>D118</f>
        <v>0.91259999999999997</v>
      </c>
      <c r="F118" s="3089">
        <f>E118</f>
        <v>0.91259999999999997</v>
      </c>
      <c r="G118" s="3089">
        <f>F118</f>
        <v>0.91259999999999997</v>
      </c>
      <c r="H118" s="3089">
        <f>G118</f>
        <v>0.91259999999999997</v>
      </c>
      <c r="I118" s="3089">
        <f>ROUND(0.8486-0.018*B116,4)</f>
        <v>0.80179999999999996</v>
      </c>
      <c r="J118" s="3089">
        <f t="shared" ref="J118:M122" si="35">I118</f>
        <v>0.80179999999999996</v>
      </c>
      <c r="K118" s="3089">
        <f t="shared" si="35"/>
        <v>0.80179999999999996</v>
      </c>
      <c r="L118" s="3089">
        <f t="shared" si="35"/>
        <v>0.80179999999999996</v>
      </c>
      <c r="M118" s="3109">
        <f t="shared" si="35"/>
        <v>0.80179999999999996</v>
      </c>
      <c r="N118" s="3097"/>
    </row>
    <row r="119" spans="1:14">
      <c r="A119" s="3057" t="s">
        <v>3327</v>
      </c>
      <c r="B119" s="3089">
        <f>ROUND(0.993-0.0112*B116,4)</f>
        <v>0.96389999999999998</v>
      </c>
      <c r="C119" s="3089">
        <f>B119</f>
        <v>0.96389999999999998</v>
      </c>
      <c r="D119" s="3089">
        <f>ROUND(0.9415-0.0142*B116,4)</f>
        <v>0.90459999999999996</v>
      </c>
      <c r="E119" s="3089">
        <f t="shared" ref="E119:H120" si="36">D119</f>
        <v>0.90459999999999996</v>
      </c>
      <c r="F119" s="3089">
        <f t="shared" si="36"/>
        <v>0.90459999999999996</v>
      </c>
      <c r="G119" s="3089">
        <f t="shared" si="36"/>
        <v>0.90459999999999996</v>
      </c>
      <c r="H119" s="3089">
        <f t="shared" si="36"/>
        <v>0.90459999999999996</v>
      </c>
      <c r="I119" s="3089">
        <f>ROUND(0.838-0.0182*B116,4)</f>
        <v>0.79069999999999996</v>
      </c>
      <c r="J119" s="3089">
        <f t="shared" si="35"/>
        <v>0.79069999999999996</v>
      </c>
      <c r="K119" s="3089">
        <f t="shared" si="35"/>
        <v>0.79069999999999996</v>
      </c>
      <c r="L119" s="3089">
        <f t="shared" si="35"/>
        <v>0.79069999999999996</v>
      </c>
      <c r="M119" s="3109">
        <f t="shared" si="35"/>
        <v>0.79069999999999996</v>
      </c>
      <c r="N119" s="3097"/>
    </row>
    <row r="120" spans="1:14">
      <c r="A120" s="3057" t="s">
        <v>3328</v>
      </c>
      <c r="B120" s="3089">
        <f>ROUND(0.9448-0.0115*B116,4)</f>
        <v>0.91490000000000005</v>
      </c>
      <c r="C120" s="3089">
        <f>B120</f>
        <v>0.91490000000000005</v>
      </c>
      <c r="D120" s="3089">
        <f>ROUND(0.937-0.0145*B116,4)</f>
        <v>0.89929999999999999</v>
      </c>
      <c r="E120" s="3089">
        <f t="shared" si="36"/>
        <v>0.89929999999999999</v>
      </c>
      <c r="F120" s="3089">
        <f t="shared" si="36"/>
        <v>0.89929999999999999</v>
      </c>
      <c r="G120" s="3089">
        <f t="shared" si="36"/>
        <v>0.89929999999999999</v>
      </c>
      <c r="H120" s="3089">
        <f t="shared" si="36"/>
        <v>0.89929999999999999</v>
      </c>
      <c r="I120" s="3089">
        <f>ROUND(0.7965-0.0185*B116,4)</f>
        <v>0.74839999999999995</v>
      </c>
      <c r="J120" s="3089">
        <f t="shared" si="35"/>
        <v>0.74839999999999995</v>
      </c>
      <c r="K120" s="3089">
        <f t="shared" si="35"/>
        <v>0.74839999999999995</v>
      </c>
      <c r="L120" s="3089">
        <f t="shared" si="35"/>
        <v>0.74839999999999995</v>
      </c>
      <c r="M120" s="3109">
        <f t="shared" si="35"/>
        <v>0.74839999999999995</v>
      </c>
      <c r="N120" s="3097"/>
    </row>
    <row r="121" spans="1:14" ht="13.8" thickBot="1">
      <c r="A121" s="3110" t="s">
        <v>3329</v>
      </c>
      <c r="B121" s="3111">
        <f>ROUND(0.7836-0.012*B116,4)</f>
        <v>0.75239999999999996</v>
      </c>
      <c r="C121" s="3111">
        <f>B121</f>
        <v>0.75239999999999996</v>
      </c>
      <c r="D121" s="3111">
        <f>ROUND(0.753-0.015*B116,4)</f>
        <v>0.71399999999999997</v>
      </c>
      <c r="E121" s="3111">
        <f>D121</f>
        <v>0.71399999999999997</v>
      </c>
      <c r="F121" s="3111">
        <f>E121</f>
        <v>0.71399999999999997</v>
      </c>
      <c r="G121" s="3111">
        <f>ROUND(0.6612-0.018*B116,4)</f>
        <v>0.61439999999999995</v>
      </c>
      <c r="H121" s="3111">
        <f>G121</f>
        <v>0.61439999999999995</v>
      </c>
      <c r="I121" s="3111">
        <f>ROUND(0.5905-0.019*B116,4)</f>
        <v>0.54110000000000003</v>
      </c>
      <c r="J121" s="3111">
        <f t="shared" si="35"/>
        <v>0.54110000000000003</v>
      </c>
      <c r="K121" s="3111">
        <f t="shared" si="35"/>
        <v>0.54110000000000003</v>
      </c>
      <c r="L121" s="3111">
        <f t="shared" si="35"/>
        <v>0.54110000000000003</v>
      </c>
      <c r="M121" s="3112">
        <f t="shared" si="35"/>
        <v>0.54110000000000003</v>
      </c>
      <c r="N121" s="3097"/>
    </row>
    <row r="122" spans="1:14">
      <c r="A122" s="3113" t="s">
        <v>2611</v>
      </c>
      <c r="B122" s="3089">
        <f>ROUND(0.9404-0.0106*B116,4)</f>
        <v>0.91279999999999994</v>
      </c>
      <c r="C122" s="3089">
        <f>B122</f>
        <v>0.91279999999999994</v>
      </c>
      <c r="D122" s="3089">
        <f>ROUND(0.8955-0.0135*B116,4)</f>
        <v>0.86040000000000005</v>
      </c>
      <c r="E122" s="3089">
        <f t="shared" ref="E122:H122" si="37">D122</f>
        <v>0.86040000000000005</v>
      </c>
      <c r="F122" s="3089">
        <f t="shared" si="37"/>
        <v>0.86040000000000005</v>
      </c>
      <c r="G122" s="3089">
        <f t="shared" si="37"/>
        <v>0.86040000000000005</v>
      </c>
      <c r="H122" s="3089">
        <f t="shared" si="37"/>
        <v>0.86040000000000005</v>
      </c>
      <c r="I122" s="3089">
        <f>ROUND(0.7632-0.0166*B116,4)</f>
        <v>0.72</v>
      </c>
      <c r="J122" s="3089">
        <f t="shared" si="35"/>
        <v>0.72</v>
      </c>
      <c r="K122" s="3089">
        <f t="shared" si="35"/>
        <v>0.72</v>
      </c>
      <c r="L122" s="3089">
        <f t="shared" si="35"/>
        <v>0.72</v>
      </c>
      <c r="M122" s="3109">
        <f t="shared" si="35"/>
        <v>0.72</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3" sqref="H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201</v>
      </c>
      <c r="D1" s="1271" t="s">
        <v>43</v>
      </c>
      <c r="E1" s="1272" t="s">
        <v>678</v>
      </c>
      <c r="F1" s="999">
        <f ca="1">J53</f>
        <v>37.479999999999997</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142.31989999999999</v>
      </c>
      <c r="C2" s="1289" t="s">
        <v>879</v>
      </c>
      <c r="D2" s="1375">
        <f ca="1">C40+J29+L46</f>
        <v>1423199</v>
      </c>
      <c r="E2" s="1295" t="s">
        <v>880</v>
      </c>
      <c r="F2" s="1296"/>
      <c r="G2" s="2478"/>
      <c r="H2" s="2468"/>
      <c r="I2" s="2468"/>
      <c r="J2" s="2468"/>
      <c r="K2" s="2469"/>
      <c r="L2" s="2468"/>
      <c r="M2" s="2468"/>
    </row>
    <row r="3" spans="1:37" ht="18" customHeight="1" thickBot="1">
      <c r="A3" s="1297" t="s">
        <v>881</v>
      </c>
      <c r="B3" s="1298">
        <f ca="1">IF(ISERROR(D2/F43),0,ROUND(D2/F43,0))</f>
        <v>7823</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89758</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89646</v>
      </c>
      <c r="D6" s="147" t="s">
        <v>2105</v>
      </c>
      <c r="E6" s="294" t="s">
        <v>696</v>
      </c>
      <c r="F6" s="295">
        <f ca="1">INDIRECT("'数据-取费表'!u"&amp;$G$1)</f>
        <v>1.5</v>
      </c>
      <c r="G6" s="1292"/>
      <c r="H6" s="1006" t="s">
        <v>398</v>
      </c>
      <c r="I6" s="3348" t="s">
        <v>694</v>
      </c>
      <c r="J6" s="293">
        <f ca="1">ROUND(M6*M8*M7*(1-M9),0)</f>
        <v>0</v>
      </c>
      <c r="K6" s="1284" t="s">
        <v>2106</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181.93</v>
      </c>
      <c r="G7" s="1292"/>
      <c r="H7" s="296"/>
      <c r="I7" s="3349"/>
      <c r="J7" s="298"/>
      <c r="K7" s="299"/>
      <c r="L7" s="294" t="s">
        <v>697</v>
      </c>
      <c r="M7" s="295">
        <f ca="1">F7</f>
        <v>181.93</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112</v>
      </c>
      <c r="D10" s="150" t="s">
        <v>2115</v>
      </c>
      <c r="E10" s="305" t="s">
        <v>701</v>
      </c>
      <c r="F10" s="1053" t="s">
        <v>3545</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935187</v>
      </c>
      <c r="D13" s="1018" t="s">
        <v>705</v>
      </c>
      <c r="E13" s="1018" t="s">
        <v>706</v>
      </c>
      <c r="F13" s="1019">
        <f ca="1">INDIRECT("'数据-取费表'!y"&amp;$G$1)</f>
        <v>0.88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727720</v>
      </c>
      <c r="D14" s="1257" t="s">
        <v>708</v>
      </c>
      <c r="E14" s="1255"/>
      <c r="F14" s="311"/>
      <c r="G14" s="1292"/>
      <c r="H14" s="928" t="s">
        <v>398</v>
      </c>
      <c r="I14" s="294" t="s">
        <v>709</v>
      </c>
      <c r="J14" s="21">
        <f ca="1">C29</f>
        <v>1062712</v>
      </c>
      <c r="K14" s="12"/>
      <c r="L14" s="759"/>
      <c r="M14" s="760"/>
    </row>
    <row r="15" spans="1:37" s="1304" customFormat="1" ht="18" customHeight="1" thickBot="1">
      <c r="A15" s="928" t="s">
        <v>399</v>
      </c>
      <c r="B15" s="294" t="s">
        <v>710</v>
      </c>
      <c r="C15" s="21">
        <f ca="1">ROUND(C14*F15,0)</f>
        <v>36386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5314</v>
      </c>
      <c r="K16" s="1024" t="s">
        <v>715</v>
      </c>
      <c r="L16" s="1025"/>
      <c r="M16" s="1009"/>
    </row>
    <row r="17" spans="1:37" s="1304" customFormat="1" ht="18" customHeight="1">
      <c r="A17" s="928" t="s">
        <v>681</v>
      </c>
      <c r="B17" s="294" t="s">
        <v>716</v>
      </c>
      <c r="C17" s="21">
        <f ca="1">ROUND(F17*(F43+INDIRECT("'数据-取费表'!S"&amp;$G$1)),0)</f>
        <v>36386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14554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815046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16301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5314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24940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-5314</v>
      </c>
      <c r="K25" s="1032" t="s">
        <v>753</v>
      </c>
      <c r="L25" s="1033"/>
      <c r="M25" s="1034"/>
    </row>
    <row r="26" spans="1:37" ht="18" customHeight="1">
      <c r="A26" s="928" t="s">
        <v>397</v>
      </c>
      <c r="B26" s="294" t="s">
        <v>754</v>
      </c>
      <c r="C26" s="21">
        <f ca="1">ROUND((C19+C20)*F26,0)</f>
        <v>124702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1062712</v>
      </c>
      <c r="D29" s="1029"/>
      <c r="E29" s="1027"/>
      <c r="F29" s="1030"/>
      <c r="G29" s="1303"/>
      <c r="H29" s="325" t="s">
        <v>396</v>
      </c>
      <c r="I29" s="326" t="s">
        <v>768</v>
      </c>
      <c r="J29" s="327">
        <f ca="1">ROUND(J26/(1+F40)^F41,0)</f>
        <v>0</v>
      </c>
      <c r="K29" s="328" t="s">
        <v>769</v>
      </c>
      <c r="L29" s="329"/>
      <c r="M29" s="330">
        <f ca="1">INDIRECT("'数据-取费表'!k"&amp;$G$1)</f>
        <v>181.93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21724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15026</v>
      </c>
      <c r="D31" s="1257" t="s">
        <v>720</v>
      </c>
      <c r="E31" s="1256" t="s">
        <v>770</v>
      </c>
      <c r="F31" s="2139" t="str">
        <f>IF(项目基本情况!B11="企业","——",IF(M47="住宅",IF(F6*F7*F8/12/(1+'数据-取费表'!F30)&gt;100000,4%,2.5%),IF(F6*F7*F8/12/(1+'数据-取费表'!F30)&gt;100000,12%,7%)))</f>
        <v>——</v>
      </c>
      <c r="G31" s="1292"/>
      <c r="H31" s="2569" t="s">
        <v>2305</v>
      </c>
      <c r="I31" s="1305"/>
      <c r="J31" s="1306"/>
      <c r="K31" s="121"/>
      <c r="L31" s="2471"/>
      <c r="M31" s="2472"/>
    </row>
    <row r="32" spans="1:37" ht="18" customHeight="1">
      <c r="A32" s="928" t="s">
        <v>397</v>
      </c>
      <c r="B32" s="294" t="s">
        <v>723</v>
      </c>
      <c r="C32" s="21">
        <f ca="1">IF(项目基本情况!B11="自然人","——",ROUND(C6*F32/(1+'数据-取费表'!C42),0))</f>
        <v>4781</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10245</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5314</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935</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449</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68034</v>
      </c>
      <c r="D39" s="1032" t="s">
        <v>773</v>
      </c>
      <c r="E39" s="1033"/>
      <c r="F39" s="1034"/>
      <c r="G39" s="1292"/>
      <c r="H39" s="2473"/>
      <c r="I39" s="1305"/>
      <c r="J39" s="1306"/>
      <c r="K39" s="2471"/>
      <c r="L39" s="2473"/>
      <c r="M39" s="2473"/>
    </row>
    <row r="40" spans="1:18" ht="18" customHeight="1">
      <c r="A40" s="291" t="s">
        <v>395</v>
      </c>
      <c r="B40" s="292" t="s">
        <v>774</v>
      </c>
      <c r="C40" s="293">
        <f ca="1">ROUND(C39*(1-((1+F42)/(1+F40))^F41)/(F40-F42),0)</f>
        <v>1394932</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37.479999999999997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f ca="1">C39/C5</f>
        <v>0.75797143430112079</v>
      </c>
      <c r="I42" s="1305"/>
      <c r="J42" s="1306"/>
      <c r="K42" s="2331"/>
      <c r="L42" s="121"/>
      <c r="M42" s="121"/>
    </row>
    <row r="43" spans="1:18" ht="18" customHeight="1" thickBot="1">
      <c r="A43" s="325" t="s">
        <v>396</v>
      </c>
      <c r="B43" s="326" t="s">
        <v>776</v>
      </c>
      <c r="C43" s="327">
        <f ca="1">ROUND(C40/F43,0)</f>
        <v>7667</v>
      </c>
      <c r="D43" s="328" t="s">
        <v>777</v>
      </c>
      <c r="E43" s="329" t="s">
        <v>778</v>
      </c>
      <c r="F43" s="330">
        <f ca="1">INDIRECT("'数据-取费表'!k"&amp;$G$1)</f>
        <v>181.93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-149.32759999999999</v>
      </c>
      <c r="D45" s="3130" t="s">
        <v>3351</v>
      </c>
      <c r="E45" s="1307"/>
      <c r="F45" s="1307"/>
      <c r="O45" s="1310" t="s">
        <v>808</v>
      </c>
      <c r="P45" s="1366"/>
      <c r="Q45" s="1366"/>
      <c r="R45" s="1366"/>
    </row>
    <row r="46" spans="1:18" s="1292" customFormat="1" ht="13.8" thickBot="1">
      <c r="A46" s="1311" t="s">
        <v>809</v>
      </c>
      <c r="C46" s="1312">
        <f ca="1">ROUND(C45,0)</f>
        <v>-149</v>
      </c>
      <c r="D46" s="1313" t="str">
        <f>C2</f>
        <v>万元</v>
      </c>
      <c r="I46" s="1314" t="s">
        <v>810</v>
      </c>
      <c r="J46" s="1315"/>
      <c r="K46" s="1316"/>
      <c r="L46" s="1317">
        <f ca="1">IF(M47="住宅",0,IF(L48&gt;J51,L60,J60))</f>
        <v>28267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3546</v>
      </c>
      <c r="K47" s="1323" t="s">
        <v>816</v>
      </c>
      <c r="L47" s="1324">
        <f ca="1">INDIRECT("'数据-取费表'!d"&amp;$G$1)</f>
        <v>50</v>
      </c>
      <c r="M47" s="1288" t="str">
        <f>IF(ISNUMBER(FIND("住宅",C1)),"住宅","非住宅")</f>
        <v>非住宅</v>
      </c>
      <c r="O47" s="1325" t="s">
        <v>403</v>
      </c>
      <c r="P47" s="1326" t="s">
        <v>817</v>
      </c>
      <c r="Q47" s="1327">
        <f ca="1">C40+J29</f>
        <v>1394932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3547</v>
      </c>
      <c r="K48" s="1330" t="s">
        <v>820</v>
      </c>
      <c r="L48" s="1331">
        <f ca="1">INDIRECT("'数据-取费表'!f"&amp;$G$1)</f>
        <v>37.479999999999997</v>
      </c>
      <c r="O48" s="1325" t="s">
        <v>404</v>
      </c>
      <c r="P48" s="1326" t="s">
        <v>821</v>
      </c>
      <c r="Q48" s="1327">
        <f ca="1">J60</f>
        <v>28267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2018</v>
      </c>
      <c r="K49" s="1330" t="s">
        <v>824</v>
      </c>
      <c r="L49" s="1333"/>
      <c r="O49" s="1334" t="s">
        <v>405</v>
      </c>
      <c r="P49" s="1326" t="s">
        <v>825</v>
      </c>
      <c r="Q49" s="1327">
        <f ca="1">C29</f>
        <v>1062712</v>
      </c>
      <c r="R49" s="1327" t="s">
        <v>818</v>
      </c>
    </row>
    <row r="50" spans="1:18" s="1292" customFormat="1" ht="13.8" thickBot="1">
      <c r="A50" s="922"/>
      <c r="B50" s="925"/>
      <c r="C50" s="926"/>
      <c r="D50" s="899"/>
      <c r="E50" s="993" t="s">
        <v>697</v>
      </c>
      <c r="F50" s="994">
        <f ca="1">F7</f>
        <v>181.93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47545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37.479999999999997</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37.479999999999997</v>
      </c>
      <c r="K53" s="3346" t="s">
        <v>837</v>
      </c>
      <c r="L53" s="3347"/>
      <c r="O53" s="1325" t="s">
        <v>409</v>
      </c>
      <c r="P53" s="1326" t="s">
        <v>838</v>
      </c>
      <c r="Q53" s="1327">
        <f ca="1">Q47+Q48</f>
        <v>1423199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0.25900000000000001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935187</v>
      </c>
      <c r="D56" s="1352"/>
      <c r="E56" s="1353"/>
      <c r="F56" s="1345"/>
      <c r="I56" s="1354" t="s">
        <v>842</v>
      </c>
      <c r="J56" s="1355" t="s">
        <v>3548</v>
      </c>
      <c r="K56" s="1328" t="s">
        <v>843</v>
      </c>
      <c r="L56" s="1331" t="str">
        <f ca="1">IF(L48&lt;J51,"——",L48-J51)</f>
        <v>——</v>
      </c>
      <c r="O56" s="1325" t="s">
        <v>403</v>
      </c>
      <c r="P56" s="1326" t="s">
        <v>817</v>
      </c>
      <c r="Q56" s="1327">
        <f ca="1">C40+J29</f>
        <v>1394932</v>
      </c>
      <c r="R56" s="1327" t="s">
        <v>818</v>
      </c>
    </row>
    <row r="57" spans="1:18" s="1292" customFormat="1" ht="24.6" thickBot="1">
      <c r="A57" s="1356"/>
      <c r="B57" s="896" t="s">
        <v>767</v>
      </c>
      <c r="C57" s="230">
        <f ca="1">C29</f>
        <v>1062712</v>
      </c>
      <c r="D57" s="1357"/>
      <c r="E57" s="1358"/>
      <c r="F57" s="1359"/>
      <c r="I57" s="1360" t="s">
        <v>844</v>
      </c>
      <c r="J57" s="1361">
        <f ca="1">IF(OR(M47="住宅",J51&lt;L48,J56="是"),"——",J51-L48)</f>
        <v>15.520000000000003</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6249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425085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28267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1394932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5314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935</v>
      </c>
      <c r="D65" s="910" t="s">
        <v>743</v>
      </c>
      <c r="E65" s="896" t="s">
        <v>744</v>
      </c>
      <c r="F65" s="321">
        <f t="shared" ca="1" si="0"/>
        <v>1E-3</v>
      </c>
      <c r="I65" s="1367" t="s">
        <v>867</v>
      </c>
      <c r="J65" s="610">
        <v>40</v>
      </c>
      <c r="K65" s="610">
        <v>30</v>
      </c>
      <c r="L65" s="610">
        <v>50</v>
      </c>
      <c r="M65" s="1369">
        <v>0.02</v>
      </c>
      <c r="O65" s="1325" t="s">
        <v>403</v>
      </c>
      <c r="P65" s="1326" t="s">
        <v>868</v>
      </c>
      <c r="Q65" s="1327">
        <f ca="1">C40+J29</f>
        <v>1394932</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-6249</v>
      </c>
      <c r="D67" s="909" t="s">
        <v>753</v>
      </c>
      <c r="E67" s="914"/>
      <c r="F67" s="915"/>
      <c r="O67" s="1334" t="s">
        <v>405</v>
      </c>
      <c r="P67" s="1326" t="s">
        <v>850</v>
      </c>
      <c r="Q67" s="1370">
        <f ca="1">L51</f>
        <v>47545</v>
      </c>
      <c r="R67" s="1327" t="s">
        <v>870</v>
      </c>
    </row>
    <row r="68" spans="1:18" s="1292" customFormat="1" ht="16.2" thickBot="1">
      <c r="A68" s="893" t="s">
        <v>395</v>
      </c>
      <c r="B68" s="894" t="s">
        <v>774</v>
      </c>
      <c r="C68" s="293">
        <f ca="1">ROUND(C67*(1-((1+F70)/(1+F68))^F69)/(F68-F70),0)</f>
        <v>-98344</v>
      </c>
      <c r="D68" s="911" t="s">
        <v>758</v>
      </c>
      <c r="E68" s="896" t="s">
        <v>759</v>
      </c>
      <c r="F68" s="304">
        <f ca="1">F40</f>
        <v>5.5E-2</v>
      </c>
      <c r="O68" s="1334" t="s">
        <v>406</v>
      </c>
      <c r="P68" s="1371" t="s">
        <v>871</v>
      </c>
      <c r="Q68" s="1327">
        <f ca="1">ROUND(Q69-Q70*Q71,0)</f>
        <v>2571</v>
      </c>
      <c r="R68" s="1327" t="s">
        <v>414</v>
      </c>
    </row>
    <row r="69" spans="1:18" s="1292" customFormat="1" ht="13.8" thickBot="1">
      <c r="A69" s="897"/>
      <c r="B69" s="898"/>
      <c r="C69" s="298"/>
      <c r="D69" s="916" t="s">
        <v>762</v>
      </c>
      <c r="E69" s="896" t="s">
        <v>763</v>
      </c>
      <c r="F69" s="324">
        <f ca="1">F41</f>
        <v>37.479999999999997</v>
      </c>
      <c r="O69" s="1334" t="s">
        <v>411</v>
      </c>
      <c r="P69" s="1371" t="s">
        <v>872</v>
      </c>
      <c r="Q69" s="1327">
        <f ca="1">C39</f>
        <v>68034</v>
      </c>
      <c r="R69" s="1327" t="s">
        <v>818</v>
      </c>
    </row>
    <row r="70" spans="1:18" s="1292" customFormat="1" ht="13.8" thickBot="1">
      <c r="A70" s="900"/>
      <c r="B70" s="901"/>
      <c r="C70" s="302"/>
      <c r="D70" s="912"/>
      <c r="E70" s="896" t="s">
        <v>766</v>
      </c>
      <c r="F70" s="991"/>
      <c r="O70" s="1334" t="s">
        <v>412</v>
      </c>
      <c r="P70" s="1371" t="s">
        <v>873</v>
      </c>
      <c r="Q70" s="1327">
        <f ca="1">C13</f>
        <v>935187</v>
      </c>
      <c r="R70" s="1327" t="s">
        <v>818</v>
      </c>
    </row>
    <row r="71" spans="1:18" s="1292" customFormat="1" ht="13.8" thickBot="1">
      <c r="A71" s="917" t="s">
        <v>396</v>
      </c>
      <c r="B71" s="918" t="s">
        <v>776</v>
      </c>
      <c r="C71" s="327">
        <f ca="1">ROUND(C68/F71,0)</f>
        <v>-541</v>
      </c>
      <c r="D71" s="919" t="s">
        <v>777</v>
      </c>
      <c r="E71" s="920" t="s">
        <v>778</v>
      </c>
      <c r="F71" s="330">
        <f ca="1">F43</f>
        <v>181.93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65463</v>
      </c>
      <c r="D75" s="1292"/>
      <c r="E75" s="1292"/>
      <c r="F75" s="1292"/>
      <c r="K75" s="1309"/>
      <c r="L75" s="1292"/>
      <c r="O75" s="1325" t="s">
        <v>409</v>
      </c>
      <c r="P75" s="1326" t="s">
        <v>838</v>
      </c>
      <c r="Q75" s="1327">
        <f ca="1">Q65+Q66</f>
        <v>1394932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3.8000000000000034E-2</v>
      </c>
    </row>
    <row r="80" spans="1:18">
      <c r="B80" s="331" t="s">
        <v>800</v>
      </c>
      <c r="C80" s="266">
        <f ca="1">ROUND(C75/C39,3)</f>
        <v>0.96199999999999997</v>
      </c>
    </row>
    <row r="81" spans="2:3">
      <c r="B81" s="262" t="s">
        <v>801</v>
      </c>
      <c r="C81" s="230"/>
    </row>
    <row r="82" spans="2:3">
      <c r="B82" s="265" t="s">
        <v>802</v>
      </c>
      <c r="C82" s="267">
        <f ca="1">1-C83</f>
        <v>0.32999999999999996</v>
      </c>
    </row>
    <row r="83" spans="2:3">
      <c r="B83" s="265" t="s">
        <v>803</v>
      </c>
      <c r="C83" s="266">
        <f ca="1">ROUND(C13/C40,3)</f>
        <v>0.67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C16" sqref="C1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2085</v>
      </c>
    </row>
    <row r="2" spans="1:45" s="625" customFormat="1">
      <c r="A2" s="930"/>
      <c r="B2" s="622" t="s">
        <v>2086</v>
      </c>
      <c r="C2" s="14" t="str">
        <f t="shared" ref="C2:L2" si="0">C3&amp;"(含)"&amp;"-"&amp;D3</f>
        <v>0(含)-200</v>
      </c>
      <c r="D2" s="623" t="str">
        <f t="shared" si="0"/>
        <v>200(含)-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200</v>
      </c>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3762</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9397</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4003.36</v>
      </c>
      <c r="C22" s="3441" t="s">
        <v>27</v>
      </c>
      <c r="D22" s="3442"/>
      <c r="E22" s="3442"/>
      <c r="F22" s="3442"/>
      <c r="G22" s="3442"/>
      <c r="H22" s="3442"/>
      <c r="I22" s="3442"/>
      <c r="J22" s="3442"/>
      <c r="K22" s="3442"/>
      <c r="L22" s="3442"/>
      <c r="M22" s="3442"/>
      <c r="N22" s="3442"/>
      <c r="O22" s="3442"/>
      <c r="P22" s="3442"/>
      <c r="Q22" s="3443"/>
      <c r="R22" s="21">
        <f ca="1">ROUND(S22*10000/B22,0)</f>
        <v>9397</v>
      </c>
      <c r="S22" s="21">
        <f ca="1">SUM(S24:S10000)</f>
        <v>3762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201</v>
      </c>
      <c r="B24" s="633">
        <f>面积信息!D2</f>
        <v>181.93</v>
      </c>
      <c r="C24" s="2570">
        <v>1</v>
      </c>
      <c r="D24" s="2571"/>
      <c r="E24" s="2570">
        <v>1</v>
      </c>
      <c r="F24" s="2571"/>
      <c r="G24" s="2570">
        <v>1</v>
      </c>
      <c r="H24" s="2571"/>
      <c r="I24" s="2570">
        <v>1</v>
      </c>
      <c r="J24" s="2571"/>
      <c r="K24" s="2570">
        <v>1</v>
      </c>
      <c r="L24" s="2571"/>
      <c r="M24" s="2570">
        <v>1</v>
      </c>
      <c r="N24" s="2571"/>
      <c r="O24" s="2570">
        <v>1</v>
      </c>
      <c r="P24" s="2571"/>
      <c r="Q24" s="2570">
        <v>1</v>
      </c>
      <c r="R24" s="633">
        <f ca="1">结果表!H102</f>
        <v>9421</v>
      </c>
      <c r="S24" s="634">
        <f t="shared" ref="S24:S54" ca="1" si="11">ROUND(R24*B24/10000,0)</f>
        <v>171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面积信息!E3</f>
        <v>202</v>
      </c>
      <c r="B25" s="633">
        <f>面积信息!D3</f>
        <v>75.62</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9421</v>
      </c>
      <c r="S25" s="308">
        <f t="shared" ca="1" si="11"/>
        <v>71</v>
      </c>
    </row>
    <row r="26" spans="1:45">
      <c r="A26" s="142">
        <f>面积信息!E4</f>
        <v>203</v>
      </c>
      <c r="B26" s="633">
        <f>面积信息!D4</f>
        <v>81.59</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9421</v>
      </c>
      <c r="S26" s="308">
        <f t="shared" ca="1" si="11"/>
        <v>77</v>
      </c>
    </row>
    <row r="27" spans="1:45">
      <c r="A27" s="142">
        <f>面积信息!E5</f>
        <v>204</v>
      </c>
      <c r="B27" s="633">
        <f>面积信息!D5</f>
        <v>76.319999999999993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9421</v>
      </c>
      <c r="S27" s="308">
        <f t="shared" ca="1" si="11"/>
        <v>72</v>
      </c>
    </row>
    <row r="28" spans="1:45">
      <c r="A28" s="142">
        <f>面积信息!E6</f>
        <v>205</v>
      </c>
      <c r="B28" s="633">
        <f>面积信息!D6</f>
        <v>72.89</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9421</v>
      </c>
      <c r="S28" s="308">
        <f t="shared" ca="1" si="11"/>
        <v>69</v>
      </c>
    </row>
    <row r="29" spans="1:45">
      <c r="A29" s="142">
        <f>面积信息!E7</f>
        <v>206</v>
      </c>
      <c r="B29" s="633">
        <f>面积信息!D7</f>
        <v>78.33</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9421</v>
      </c>
      <c r="S29" s="308">
        <f t="shared" ca="1" si="11"/>
        <v>74</v>
      </c>
    </row>
    <row r="30" spans="1:45">
      <c r="A30" s="142">
        <f>面积信息!E8</f>
        <v>207</v>
      </c>
      <c r="B30" s="633">
        <f>面积信息!D8</f>
        <v>75.84</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9421</v>
      </c>
      <c r="S30" s="308">
        <f t="shared" ca="1" si="11"/>
        <v>71</v>
      </c>
    </row>
    <row r="31" spans="1:45">
      <c r="A31" s="142">
        <f>面积信息!E9</f>
        <v>208</v>
      </c>
      <c r="B31" s="633">
        <f>面积信息!D9</f>
        <v>75.84</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9421</v>
      </c>
      <c r="S31" s="308">
        <f t="shared" ca="1" si="11"/>
        <v>71</v>
      </c>
    </row>
    <row r="32" spans="1:45">
      <c r="A32" s="142">
        <f>面积信息!E10</f>
        <v>209</v>
      </c>
      <c r="B32" s="633">
        <f>面积信息!D10</f>
        <v>78.33</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9421</v>
      </c>
      <c r="S32" s="308">
        <f t="shared" ca="1" si="11"/>
        <v>74</v>
      </c>
    </row>
    <row r="33" spans="1:19">
      <c r="A33" s="142">
        <f>面积信息!E11</f>
        <v>210</v>
      </c>
      <c r="B33" s="633">
        <f>面积信息!D11</f>
        <v>73.36</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ca="1" si="20"/>
        <v>9421</v>
      </c>
      <c r="S33" s="308">
        <f t="shared" ca="1" si="11"/>
        <v>69</v>
      </c>
    </row>
    <row r="34" spans="1:19">
      <c r="A34" s="142">
        <f>面积信息!E12</f>
        <v>211</v>
      </c>
      <c r="B34" s="633">
        <f>面积信息!D12</f>
        <v>75.84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ca="1" si="20"/>
        <v>9421</v>
      </c>
      <c r="S34" s="308">
        <f t="shared" ca="1" si="11"/>
        <v>71</v>
      </c>
    </row>
    <row r="35" spans="1:19">
      <c r="A35" s="142">
        <f>面积信息!E13</f>
        <v>212</v>
      </c>
      <c r="B35" s="633">
        <f>面积信息!D13</f>
        <v>83.39</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ca="1" si="20"/>
        <v>9421</v>
      </c>
      <c r="S35" s="308">
        <f t="shared" ca="1" si="11"/>
        <v>79</v>
      </c>
    </row>
    <row r="36" spans="1:19">
      <c r="A36" s="142">
        <f>面积信息!E14</f>
        <v>213</v>
      </c>
      <c r="B36" s="633">
        <f>面积信息!D14</f>
        <v>89.74</v>
      </c>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ca="1" si="20"/>
        <v>9421</v>
      </c>
      <c r="S36" s="308">
        <f t="shared" ca="1" si="11"/>
        <v>85</v>
      </c>
    </row>
    <row r="37" spans="1:19">
      <c r="A37" s="142">
        <f>面积信息!E15</f>
        <v>214</v>
      </c>
      <c r="B37" s="633">
        <f>面积信息!D15</f>
        <v>174.53</v>
      </c>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ca="1" si="20"/>
        <v>9421</v>
      </c>
      <c r="S37" s="308">
        <f t="shared" ca="1" si="11"/>
        <v>164</v>
      </c>
    </row>
    <row r="38" spans="1:19">
      <c r="A38" s="142">
        <f>面积信息!E16</f>
        <v>215</v>
      </c>
      <c r="B38" s="633">
        <f>面积信息!D16</f>
        <v>71.53</v>
      </c>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ca="1" si="20"/>
        <v>9421</v>
      </c>
      <c r="S38" s="308">
        <f t="shared" ca="1" si="11"/>
        <v>67</v>
      </c>
    </row>
    <row r="39" spans="1:19">
      <c r="A39" s="142">
        <f>面积信息!E17</f>
        <v>216</v>
      </c>
      <c r="B39" s="633">
        <f>面积信息!D17</f>
        <v>62.96</v>
      </c>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ca="1" si="20"/>
        <v>9421</v>
      </c>
      <c r="S39" s="308">
        <f t="shared" ca="1" si="11"/>
        <v>59</v>
      </c>
    </row>
    <row r="40" spans="1:19">
      <c r="A40" s="142">
        <f>面积信息!E18</f>
        <v>217</v>
      </c>
      <c r="B40" s="633">
        <f>面积信息!D18</f>
        <v>54.66</v>
      </c>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ca="1" si="20"/>
        <v>9421</v>
      </c>
      <c r="S40" s="308">
        <f t="shared" ca="1" si="11"/>
        <v>51</v>
      </c>
    </row>
    <row r="41" spans="1:19">
      <c r="A41" s="142">
        <f>面积信息!E19</f>
        <v>218</v>
      </c>
      <c r="B41" s="633">
        <f>面积信息!D19</f>
        <v>54.66</v>
      </c>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ca="1" si="20"/>
        <v>9421</v>
      </c>
      <c r="S41" s="308">
        <f t="shared" ca="1" si="11"/>
        <v>51</v>
      </c>
    </row>
    <row r="42" spans="1:19">
      <c r="A42" s="142">
        <f>面积信息!E20</f>
        <v>219</v>
      </c>
      <c r="B42" s="633">
        <f>面积信息!D20</f>
        <v>54.66</v>
      </c>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ca="1" si="20"/>
        <v>9421</v>
      </c>
      <c r="S42" s="308">
        <f t="shared" ca="1" si="11"/>
        <v>51</v>
      </c>
    </row>
    <row r="43" spans="1:19">
      <c r="A43" s="142">
        <f>面积信息!E21</f>
        <v>220</v>
      </c>
      <c r="B43" s="633">
        <f>面积信息!D21</f>
        <v>54.66</v>
      </c>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ca="1" si="20"/>
        <v>9421</v>
      </c>
      <c r="S43" s="308">
        <f t="shared" ca="1" si="11"/>
        <v>51</v>
      </c>
    </row>
    <row r="44" spans="1:19">
      <c r="A44" s="142">
        <f>面积信息!E22</f>
        <v>221</v>
      </c>
      <c r="B44" s="633">
        <f>面积信息!D22</f>
        <v>54.66</v>
      </c>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ca="1" si="20"/>
        <v>9421</v>
      </c>
      <c r="S44" s="308">
        <f t="shared" ca="1" si="11"/>
        <v>51</v>
      </c>
    </row>
    <row r="45" spans="1:19">
      <c r="A45" s="142">
        <f>面积信息!E23</f>
        <v>222</v>
      </c>
      <c r="B45" s="633">
        <f>面积信息!D23</f>
        <v>54.66</v>
      </c>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ca="1" si="20"/>
        <v>9421</v>
      </c>
      <c r="S45" s="308">
        <f t="shared" ca="1" si="11"/>
        <v>51</v>
      </c>
    </row>
    <row r="46" spans="1:19">
      <c r="A46" s="142">
        <f>面积信息!E24</f>
        <v>223</v>
      </c>
      <c r="B46" s="633">
        <f>面积信息!D24</f>
        <v>54.66</v>
      </c>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ca="1" si="20"/>
        <v>9421</v>
      </c>
      <c r="S46" s="308">
        <f t="shared" ca="1" si="11"/>
        <v>51</v>
      </c>
    </row>
    <row r="47" spans="1:19">
      <c r="A47" s="142">
        <f>面积信息!E25</f>
        <v>224</v>
      </c>
      <c r="B47" s="633">
        <f>面积信息!D25</f>
        <v>54.66</v>
      </c>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ca="1" si="20"/>
        <v>9421</v>
      </c>
      <c r="S47" s="308">
        <f t="shared" ca="1" si="11"/>
        <v>51</v>
      </c>
    </row>
    <row r="48" spans="1:19">
      <c r="A48" s="142">
        <f>面积信息!E26</f>
        <v>225</v>
      </c>
      <c r="B48" s="633">
        <f>面积信息!D26</f>
        <v>62.28</v>
      </c>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ca="1" si="20"/>
        <v>9421</v>
      </c>
      <c r="S48" s="308">
        <f t="shared" ca="1" si="11"/>
        <v>59</v>
      </c>
    </row>
    <row r="49" spans="1:19">
      <c r="A49" s="142">
        <f>面积信息!E27</f>
        <v>226</v>
      </c>
      <c r="B49" s="633">
        <f>面积信息!D27</f>
        <v>74.08</v>
      </c>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ca="1" si="20"/>
        <v>9421</v>
      </c>
      <c r="S49" s="308">
        <f t="shared" ca="1" si="11"/>
        <v>70</v>
      </c>
    </row>
    <row r="50" spans="1:19">
      <c r="A50" s="142">
        <f>面积信息!E28</f>
        <v>301</v>
      </c>
      <c r="B50" s="633">
        <f>面积信息!D28</f>
        <v>181.93</v>
      </c>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ca="1" si="20"/>
        <v>9421</v>
      </c>
      <c r="S50" s="308">
        <f t="shared" ca="1" si="11"/>
        <v>171</v>
      </c>
    </row>
    <row r="51" spans="1:19">
      <c r="A51" s="142">
        <f>面积信息!E29</f>
        <v>302</v>
      </c>
      <c r="B51" s="633">
        <f>面积信息!D29</f>
        <v>75.62</v>
      </c>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ca="1" si="20"/>
        <v>9421</v>
      </c>
      <c r="S51" s="308">
        <f t="shared" ca="1" si="11"/>
        <v>71</v>
      </c>
    </row>
    <row r="52" spans="1:19">
      <c r="A52" s="142">
        <f>面积信息!E30</f>
        <v>303</v>
      </c>
      <c r="B52" s="633">
        <f>面积信息!D30</f>
        <v>81.59</v>
      </c>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ca="1" si="20"/>
        <v>9421</v>
      </c>
      <c r="S52" s="308">
        <f t="shared" ca="1" si="11"/>
        <v>77</v>
      </c>
    </row>
    <row r="53" spans="1:19">
      <c r="A53" s="142">
        <f>面积信息!E31</f>
        <v>304</v>
      </c>
      <c r="B53" s="633">
        <f>面积信息!D31</f>
        <v>76.319999999999993</v>
      </c>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ca="1" si="20"/>
        <v>9421</v>
      </c>
      <c r="S53" s="308">
        <f t="shared" ca="1" si="11"/>
        <v>72</v>
      </c>
    </row>
    <row r="54" spans="1:19">
      <c r="A54" s="142">
        <f>面积信息!E32</f>
        <v>305</v>
      </c>
      <c r="B54" s="633">
        <f>面积信息!D32</f>
        <v>72.89</v>
      </c>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ca="1" si="20"/>
        <v>9421</v>
      </c>
      <c r="S54" s="308">
        <f t="shared" ca="1" si="11"/>
        <v>69</v>
      </c>
    </row>
    <row r="55" spans="1:19">
      <c r="A55" s="142">
        <f>面积信息!E33</f>
        <v>306</v>
      </c>
      <c r="B55" s="633">
        <f>面积信息!D33</f>
        <v>78.33</v>
      </c>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ca="1" si="20"/>
        <v>9421</v>
      </c>
      <c r="S55" s="308">
        <f t="shared" ref="S55:S77" ca="1" si="21">ROUND(R55*B55/10000,0)</f>
        <v>74</v>
      </c>
    </row>
    <row r="56" spans="1:19">
      <c r="A56" s="142">
        <f>面积信息!E34</f>
        <v>307</v>
      </c>
      <c r="B56" s="633">
        <f>面积信息!D34</f>
        <v>75.84</v>
      </c>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ca="1" si="20"/>
        <v>9421</v>
      </c>
      <c r="S56" s="308">
        <f t="shared" ca="1" si="21"/>
        <v>71</v>
      </c>
    </row>
    <row r="57" spans="1:19">
      <c r="A57" s="142">
        <f>面积信息!E35</f>
        <v>308</v>
      </c>
      <c r="B57" s="633">
        <f>面积信息!D35</f>
        <v>75.84</v>
      </c>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ca="1" si="20"/>
        <v>9421</v>
      </c>
      <c r="S57" s="308">
        <f t="shared" ca="1" si="21"/>
        <v>71</v>
      </c>
    </row>
    <row r="58" spans="1:19">
      <c r="A58" s="142">
        <f>面积信息!E36</f>
        <v>309</v>
      </c>
      <c r="B58" s="633">
        <f>面积信息!D36</f>
        <v>78.33</v>
      </c>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ca="1" si="20"/>
        <v>9421</v>
      </c>
      <c r="S58" s="308">
        <f t="shared" ca="1" si="21"/>
        <v>74</v>
      </c>
    </row>
    <row r="59" spans="1:19">
      <c r="A59" s="142">
        <f>面积信息!E37</f>
        <v>310</v>
      </c>
      <c r="B59" s="633">
        <f>面积信息!D37</f>
        <v>73.36</v>
      </c>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ca="1" si="20"/>
        <v>9421</v>
      </c>
      <c r="S59" s="308">
        <f t="shared" ca="1" si="21"/>
        <v>69</v>
      </c>
    </row>
    <row r="60" spans="1:19">
      <c r="A60" s="142">
        <f>面积信息!E38</f>
        <v>311</v>
      </c>
      <c r="B60" s="633">
        <f>面积信息!D38</f>
        <v>75.84</v>
      </c>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ca="1" si="20"/>
        <v>9421</v>
      </c>
      <c r="S60" s="308">
        <f t="shared" ca="1" si="21"/>
        <v>71</v>
      </c>
    </row>
    <row r="61" spans="1:19">
      <c r="A61" s="142">
        <f>面积信息!E39</f>
        <v>312</v>
      </c>
      <c r="B61" s="633">
        <f>面积信息!D39</f>
        <v>83.39</v>
      </c>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ca="1" si="20"/>
        <v>9421</v>
      </c>
      <c r="S61" s="308">
        <f t="shared" ca="1" si="21"/>
        <v>79</v>
      </c>
    </row>
    <row r="62" spans="1:19">
      <c r="A62" s="142">
        <f>面积信息!E40</f>
        <v>313</v>
      </c>
      <c r="B62" s="633">
        <f>面积信息!D40</f>
        <v>89.74</v>
      </c>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ca="1" si="20"/>
        <v>9421</v>
      </c>
      <c r="S62" s="308">
        <f t="shared" ca="1" si="21"/>
        <v>85</v>
      </c>
    </row>
    <row r="63" spans="1:19">
      <c r="A63" s="142">
        <f>面积信息!E41</f>
        <v>314</v>
      </c>
      <c r="B63" s="633">
        <f>面积信息!D41</f>
        <v>174.53</v>
      </c>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ca="1" si="20"/>
        <v>9421</v>
      </c>
      <c r="S63" s="308">
        <f t="shared" ca="1" si="21"/>
        <v>164</v>
      </c>
    </row>
    <row r="64" spans="1:19">
      <c r="A64" s="142">
        <f>面积信息!E42</f>
        <v>315</v>
      </c>
      <c r="B64" s="633">
        <f>面积信息!D42</f>
        <v>71.53</v>
      </c>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ca="1" si="20"/>
        <v>9421</v>
      </c>
      <c r="S64" s="308">
        <f t="shared" ca="1" si="21"/>
        <v>67</v>
      </c>
    </row>
    <row r="65" spans="1:19">
      <c r="A65" s="142">
        <f>面积信息!E43</f>
        <v>316</v>
      </c>
      <c r="B65" s="633">
        <f>面积信息!D43</f>
        <v>62.96</v>
      </c>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ca="1" si="20"/>
        <v>9421</v>
      </c>
      <c r="S65" s="308">
        <f t="shared" ca="1" si="21"/>
        <v>59</v>
      </c>
    </row>
    <row r="66" spans="1:19">
      <c r="A66" s="142">
        <f>面积信息!E44</f>
        <v>317</v>
      </c>
      <c r="B66" s="633">
        <f>面积信息!D44</f>
        <v>54.66</v>
      </c>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ca="1" si="20"/>
        <v>9421</v>
      </c>
      <c r="S66" s="308">
        <f t="shared" ca="1" si="21"/>
        <v>51</v>
      </c>
    </row>
    <row r="67" spans="1:19">
      <c r="A67" s="142">
        <f>面积信息!E45</f>
        <v>318</v>
      </c>
      <c r="B67" s="633">
        <f>面积信息!D45</f>
        <v>54.66</v>
      </c>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ca="1" si="20"/>
        <v>9421</v>
      </c>
      <c r="S67" s="308">
        <f t="shared" ca="1" si="21"/>
        <v>51</v>
      </c>
    </row>
    <row r="68" spans="1:19">
      <c r="A68" s="142">
        <f>面积信息!E46</f>
        <v>319</v>
      </c>
      <c r="B68" s="633">
        <f>面积信息!D46</f>
        <v>54.66</v>
      </c>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ca="1" si="20"/>
        <v>9421</v>
      </c>
      <c r="S68" s="308">
        <f t="shared" ca="1" si="21"/>
        <v>51</v>
      </c>
    </row>
    <row r="69" spans="1:19">
      <c r="A69" s="142">
        <f>面积信息!E47</f>
        <v>320</v>
      </c>
      <c r="B69" s="633">
        <f>面积信息!D47</f>
        <v>54.66</v>
      </c>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ca="1" si="20"/>
        <v>9421</v>
      </c>
      <c r="S69" s="308">
        <f t="shared" ca="1" si="21"/>
        <v>51</v>
      </c>
    </row>
    <row r="70" spans="1:19">
      <c r="A70" s="142">
        <f>面积信息!E48</f>
        <v>321</v>
      </c>
      <c r="B70" s="633">
        <f>面积信息!D48</f>
        <v>54.66</v>
      </c>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ca="1" si="20"/>
        <v>9421</v>
      </c>
      <c r="S70" s="308">
        <f t="shared" ca="1" si="21"/>
        <v>51</v>
      </c>
    </row>
    <row r="71" spans="1:19">
      <c r="A71" s="142">
        <f>面积信息!E49</f>
        <v>322</v>
      </c>
      <c r="B71" s="633">
        <f>面积信息!D49</f>
        <v>54.66</v>
      </c>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ca="1" si="20"/>
        <v>9421</v>
      </c>
      <c r="S71" s="308">
        <f t="shared" ca="1" si="21"/>
        <v>51</v>
      </c>
    </row>
    <row r="72" spans="1:19">
      <c r="A72" s="142">
        <f>面积信息!E50</f>
        <v>323</v>
      </c>
      <c r="B72" s="633">
        <f>面积信息!D50</f>
        <v>54.66</v>
      </c>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ca="1" si="20"/>
        <v>9421</v>
      </c>
      <c r="S72" s="308">
        <f t="shared" ca="1" si="21"/>
        <v>51</v>
      </c>
    </row>
    <row r="73" spans="1:19">
      <c r="A73" s="142">
        <f>面积信息!E51</f>
        <v>324</v>
      </c>
      <c r="B73" s="633">
        <f>面积信息!D51</f>
        <v>54.66</v>
      </c>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ca="1" si="20"/>
        <v>9421</v>
      </c>
      <c r="S73" s="308">
        <f t="shared" ca="1" si="21"/>
        <v>51</v>
      </c>
    </row>
    <row r="74" spans="1:19">
      <c r="A74" s="142">
        <f>面积信息!E52</f>
        <v>325</v>
      </c>
      <c r="B74" s="633">
        <f>面积信息!D52</f>
        <v>62.28</v>
      </c>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ca="1" si="20"/>
        <v>9421</v>
      </c>
      <c r="S74" s="308">
        <f t="shared" ca="1" si="21"/>
        <v>59</v>
      </c>
    </row>
    <row r="75" spans="1:19">
      <c r="A75" s="142">
        <f>面积信息!E53</f>
        <v>326</v>
      </c>
      <c r="B75" s="633">
        <f>面积信息!D53</f>
        <v>74.08</v>
      </c>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ca="1" si="20"/>
        <v>9421</v>
      </c>
      <c r="S75" s="308">
        <f t="shared" ca="1" si="21"/>
        <v>70</v>
      </c>
    </row>
    <row r="76" spans="1:19">
      <c r="A76" s="142"/>
      <c r="B76" s="633"/>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633"/>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633"/>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633"/>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633"/>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633"/>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633"/>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633"/>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633"/>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633"/>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633"/>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15B08-9C79-4335-93B5-EFAB81728E17}">
  <sheetPr>
    <tabColor rgb="FF7030A0"/>
  </sheetPr>
  <dimension ref="A1:E54"/>
  <sheetViews>
    <sheetView topLeftCell="A49" workbookViewId="0">
      <selection activeCell="E2" sqref="E2"/>
    </sheetView>
  </sheetViews>
  <sheetFormatPr defaultRowHeight="14.4"/>
  <cols>
    <col min="2" max="2" width="46.21875" customWidth="1"/>
    <col min="3" max="3" width="36.5546875" customWidth="1"/>
  </cols>
  <sheetData>
    <row r="1" spans="1:5" ht="15.6">
      <c r="A1" s="3496" t="s">
        <v>3410</v>
      </c>
      <c r="B1" s="3496" t="s">
        <v>3411</v>
      </c>
      <c r="C1" s="3496" t="s">
        <v>3412</v>
      </c>
      <c r="D1" s="3496" t="s">
        <v>3387</v>
      </c>
      <c r="E1" s="3504" t="s">
        <v>3552</v>
      </c>
    </row>
    <row r="2" spans="1:5" ht="15.6">
      <c r="A2" s="3497">
        <v>1</v>
      </c>
      <c r="B2" s="3497" t="s">
        <v>3520</v>
      </c>
      <c r="C2" s="3498" t="s">
        <v>3413</v>
      </c>
      <c r="D2" s="3499">
        <v>181.93</v>
      </c>
      <c r="E2">
        <v>201</v>
      </c>
    </row>
    <row r="3" spans="1:5" ht="15.6">
      <c r="A3" s="3497">
        <v>2</v>
      </c>
      <c r="B3" s="3497" t="s">
        <v>3414</v>
      </c>
      <c r="C3" s="3498" t="s">
        <v>3415</v>
      </c>
      <c r="D3" s="3499">
        <v>75.62</v>
      </c>
      <c r="E3">
        <v>202</v>
      </c>
    </row>
    <row r="4" spans="1:5" ht="15.6">
      <c r="A4" s="3497">
        <v>3</v>
      </c>
      <c r="B4" s="3497" t="s">
        <v>3416</v>
      </c>
      <c r="C4" s="3498" t="s">
        <v>3417</v>
      </c>
      <c r="D4" s="3499">
        <v>81.59</v>
      </c>
      <c r="E4">
        <v>203</v>
      </c>
    </row>
    <row r="5" spans="1:5" ht="15.6">
      <c r="A5" s="3497">
        <v>4</v>
      </c>
      <c r="B5" s="3497" t="s">
        <v>3418</v>
      </c>
      <c r="C5" s="3498" t="s">
        <v>3419</v>
      </c>
      <c r="D5" s="3499">
        <v>76.319999999999993</v>
      </c>
      <c r="E5">
        <v>204</v>
      </c>
    </row>
    <row r="6" spans="1:5" ht="15.6">
      <c r="A6" s="3497">
        <v>5</v>
      </c>
      <c r="B6" s="3497" t="s">
        <v>3420</v>
      </c>
      <c r="C6" s="3498" t="s">
        <v>3421</v>
      </c>
      <c r="D6" s="3499">
        <v>72.89</v>
      </c>
      <c r="E6">
        <v>205</v>
      </c>
    </row>
    <row r="7" spans="1:5" ht="15.6">
      <c r="A7" s="3497">
        <v>6</v>
      </c>
      <c r="B7" s="3497" t="s">
        <v>3422</v>
      </c>
      <c r="C7" s="3498" t="s">
        <v>3423</v>
      </c>
      <c r="D7" s="3499">
        <v>78.33</v>
      </c>
      <c r="E7">
        <v>206</v>
      </c>
    </row>
    <row r="8" spans="1:5" ht="15.6">
      <c r="A8" s="3497">
        <v>7</v>
      </c>
      <c r="B8" s="3497" t="s">
        <v>3424</v>
      </c>
      <c r="C8" s="3498" t="s">
        <v>3425</v>
      </c>
      <c r="D8" s="3499">
        <v>75.84</v>
      </c>
      <c r="E8">
        <v>207</v>
      </c>
    </row>
    <row r="9" spans="1:5" ht="15.6">
      <c r="A9" s="3497">
        <v>8</v>
      </c>
      <c r="B9" s="3497" t="s">
        <v>3426</v>
      </c>
      <c r="C9" s="3498" t="s">
        <v>3427</v>
      </c>
      <c r="D9" s="3499">
        <v>75.84</v>
      </c>
      <c r="E9">
        <v>208</v>
      </c>
    </row>
    <row r="10" spans="1:5" ht="15.6">
      <c r="A10" s="3497">
        <v>9</v>
      </c>
      <c r="B10" s="3497" t="s">
        <v>3428</v>
      </c>
      <c r="C10" s="3498" t="s">
        <v>3429</v>
      </c>
      <c r="D10" s="3499">
        <v>78.33</v>
      </c>
      <c r="E10">
        <v>209</v>
      </c>
    </row>
    <row r="11" spans="1:5" ht="15.6">
      <c r="A11" s="3497">
        <v>10</v>
      </c>
      <c r="B11" s="3497" t="s">
        <v>3430</v>
      </c>
      <c r="C11" s="3498" t="s">
        <v>3431</v>
      </c>
      <c r="D11" s="3499">
        <v>73.36</v>
      </c>
      <c r="E11">
        <v>210</v>
      </c>
    </row>
    <row r="12" spans="1:5" ht="15.6">
      <c r="A12" s="3497">
        <v>11</v>
      </c>
      <c r="B12" s="3497" t="s">
        <v>3432</v>
      </c>
      <c r="C12" s="3498" t="s">
        <v>3433</v>
      </c>
      <c r="D12" s="3499">
        <v>75.84</v>
      </c>
      <c r="E12">
        <v>211</v>
      </c>
    </row>
    <row r="13" spans="1:5" ht="15.6">
      <c r="A13" s="3497">
        <v>12</v>
      </c>
      <c r="B13" s="3497" t="s">
        <v>3434</v>
      </c>
      <c r="C13" s="3498" t="s">
        <v>3435</v>
      </c>
      <c r="D13" s="3499">
        <v>83.39</v>
      </c>
      <c r="E13">
        <v>212</v>
      </c>
    </row>
    <row r="14" spans="1:5" ht="15.6">
      <c r="A14" s="3497">
        <v>13</v>
      </c>
      <c r="B14" s="3497" t="s">
        <v>3436</v>
      </c>
      <c r="C14" s="3498" t="s">
        <v>3437</v>
      </c>
      <c r="D14" s="3499">
        <v>89.74</v>
      </c>
      <c r="E14">
        <v>213</v>
      </c>
    </row>
    <row r="15" spans="1:5" ht="15.6">
      <c r="A15" s="3497">
        <v>14</v>
      </c>
      <c r="B15" s="3497" t="s">
        <v>3438</v>
      </c>
      <c r="C15" s="3498" t="s">
        <v>3439</v>
      </c>
      <c r="D15" s="3499">
        <v>174.53</v>
      </c>
      <c r="E15">
        <v>214</v>
      </c>
    </row>
    <row r="16" spans="1:5" ht="15.6">
      <c r="A16" s="3497">
        <v>15</v>
      </c>
      <c r="B16" s="3497" t="s">
        <v>3440</v>
      </c>
      <c r="C16" s="3498" t="s">
        <v>3441</v>
      </c>
      <c r="D16" s="3499">
        <v>71.53</v>
      </c>
      <c r="E16">
        <v>215</v>
      </c>
    </row>
    <row r="17" spans="1:5" ht="15.6">
      <c r="A17" s="3497">
        <v>16</v>
      </c>
      <c r="B17" s="3497" t="s">
        <v>3442</v>
      </c>
      <c r="C17" s="3498" t="s">
        <v>3443</v>
      </c>
      <c r="D17" s="3499">
        <v>62.96</v>
      </c>
      <c r="E17">
        <v>216</v>
      </c>
    </row>
    <row r="18" spans="1:5" ht="15.6">
      <c r="A18" s="3497">
        <v>17</v>
      </c>
      <c r="B18" s="3497" t="s">
        <v>3444</v>
      </c>
      <c r="C18" s="3498" t="s">
        <v>3445</v>
      </c>
      <c r="D18" s="3499">
        <v>54.66</v>
      </c>
      <c r="E18">
        <v>217</v>
      </c>
    </row>
    <row r="19" spans="1:5" ht="15.6">
      <c r="A19" s="3497">
        <v>18</v>
      </c>
      <c r="B19" s="3497" t="s">
        <v>3446</v>
      </c>
      <c r="C19" s="3498" t="s">
        <v>3447</v>
      </c>
      <c r="D19" s="3499">
        <v>54.66</v>
      </c>
      <c r="E19">
        <v>218</v>
      </c>
    </row>
    <row r="20" spans="1:5" ht="15.6">
      <c r="A20" s="3497">
        <v>19</v>
      </c>
      <c r="B20" s="3497" t="s">
        <v>3448</v>
      </c>
      <c r="C20" s="3498" t="s">
        <v>3449</v>
      </c>
      <c r="D20" s="3499">
        <v>54.66</v>
      </c>
      <c r="E20">
        <v>219</v>
      </c>
    </row>
    <row r="21" spans="1:5" ht="15.6">
      <c r="A21" s="3497">
        <v>20</v>
      </c>
      <c r="B21" s="3497" t="s">
        <v>3450</v>
      </c>
      <c r="C21" s="3498" t="s">
        <v>3451</v>
      </c>
      <c r="D21" s="3499">
        <v>54.66</v>
      </c>
      <c r="E21">
        <v>220</v>
      </c>
    </row>
    <row r="22" spans="1:5" ht="15.6">
      <c r="A22" s="3497">
        <v>21</v>
      </c>
      <c r="B22" s="3497" t="s">
        <v>3452</v>
      </c>
      <c r="C22" s="3498" t="s">
        <v>3453</v>
      </c>
      <c r="D22" s="3499">
        <v>54.66</v>
      </c>
      <c r="E22">
        <v>221</v>
      </c>
    </row>
    <row r="23" spans="1:5" ht="15.6">
      <c r="A23" s="3497">
        <v>22</v>
      </c>
      <c r="B23" s="3497" t="s">
        <v>3454</v>
      </c>
      <c r="C23" s="3498" t="s">
        <v>3455</v>
      </c>
      <c r="D23" s="3499">
        <v>54.66</v>
      </c>
      <c r="E23">
        <v>222</v>
      </c>
    </row>
    <row r="24" spans="1:5" ht="15.6">
      <c r="A24" s="3497">
        <v>23</v>
      </c>
      <c r="B24" s="3497" t="s">
        <v>3456</v>
      </c>
      <c r="C24" s="3498" t="s">
        <v>3457</v>
      </c>
      <c r="D24" s="3499">
        <v>54.66</v>
      </c>
      <c r="E24">
        <v>223</v>
      </c>
    </row>
    <row r="25" spans="1:5" ht="15.6">
      <c r="A25" s="3497">
        <v>24</v>
      </c>
      <c r="B25" s="3497" t="s">
        <v>3458</v>
      </c>
      <c r="C25" s="3498" t="s">
        <v>3459</v>
      </c>
      <c r="D25" s="3499">
        <v>54.66</v>
      </c>
      <c r="E25">
        <v>224</v>
      </c>
    </row>
    <row r="26" spans="1:5" ht="15.6">
      <c r="A26" s="3497">
        <v>25</v>
      </c>
      <c r="B26" s="3497" t="s">
        <v>3460</v>
      </c>
      <c r="C26" s="3498" t="s">
        <v>3461</v>
      </c>
      <c r="D26" s="3499">
        <v>62.28</v>
      </c>
      <c r="E26">
        <v>225</v>
      </c>
    </row>
    <row r="27" spans="1:5" ht="15.6">
      <c r="A27" s="3497">
        <v>26</v>
      </c>
      <c r="B27" s="3497" t="s">
        <v>3462</v>
      </c>
      <c r="C27" s="3498" t="s">
        <v>3463</v>
      </c>
      <c r="D27" s="3499">
        <v>74.08</v>
      </c>
      <c r="E27">
        <v>226</v>
      </c>
    </row>
    <row r="28" spans="1:5" ht="15.6">
      <c r="A28" s="3497">
        <v>27</v>
      </c>
      <c r="B28" s="3497" t="s">
        <v>3464</v>
      </c>
      <c r="C28" s="3498" t="s">
        <v>3465</v>
      </c>
      <c r="D28" s="3499">
        <v>181.93</v>
      </c>
      <c r="E28">
        <v>301</v>
      </c>
    </row>
    <row r="29" spans="1:5" ht="15.6">
      <c r="A29" s="3497">
        <v>28</v>
      </c>
      <c r="B29" s="3497" t="s">
        <v>3466</v>
      </c>
      <c r="C29" s="3498" t="s">
        <v>3467</v>
      </c>
      <c r="D29" s="3499">
        <v>75.62</v>
      </c>
      <c r="E29">
        <v>302</v>
      </c>
    </row>
    <row r="30" spans="1:5" ht="15.6">
      <c r="A30" s="3497">
        <v>29</v>
      </c>
      <c r="B30" s="3497" t="s">
        <v>3468</v>
      </c>
      <c r="C30" s="3498" t="s">
        <v>3469</v>
      </c>
      <c r="D30" s="3499">
        <v>81.59</v>
      </c>
      <c r="E30">
        <v>303</v>
      </c>
    </row>
    <row r="31" spans="1:5" ht="15.6">
      <c r="A31" s="3497">
        <v>30</v>
      </c>
      <c r="B31" s="3497" t="s">
        <v>3470</v>
      </c>
      <c r="C31" s="3498" t="s">
        <v>3471</v>
      </c>
      <c r="D31" s="3499">
        <v>76.319999999999993</v>
      </c>
      <c r="E31">
        <v>304</v>
      </c>
    </row>
    <row r="32" spans="1:5" ht="15.6">
      <c r="A32" s="3497">
        <v>31</v>
      </c>
      <c r="B32" s="3497" t="s">
        <v>3472</v>
      </c>
      <c r="C32" s="3498" t="s">
        <v>3473</v>
      </c>
      <c r="D32" s="3499">
        <v>72.89</v>
      </c>
      <c r="E32">
        <v>305</v>
      </c>
    </row>
    <row r="33" spans="1:5" ht="15.6">
      <c r="A33" s="3497">
        <v>32</v>
      </c>
      <c r="B33" s="3497" t="s">
        <v>3474</v>
      </c>
      <c r="C33" s="3498" t="s">
        <v>3475</v>
      </c>
      <c r="D33" s="3499">
        <v>78.33</v>
      </c>
      <c r="E33">
        <v>306</v>
      </c>
    </row>
    <row r="34" spans="1:5" ht="15.6">
      <c r="A34" s="3497">
        <v>33</v>
      </c>
      <c r="B34" s="3497" t="s">
        <v>3476</v>
      </c>
      <c r="C34" s="3498" t="s">
        <v>3477</v>
      </c>
      <c r="D34" s="3499">
        <v>75.84</v>
      </c>
      <c r="E34">
        <v>307</v>
      </c>
    </row>
    <row r="35" spans="1:5" ht="15.6">
      <c r="A35" s="3497">
        <v>34</v>
      </c>
      <c r="B35" s="3497" t="s">
        <v>3478</v>
      </c>
      <c r="C35" s="3498" t="s">
        <v>3479</v>
      </c>
      <c r="D35" s="3499">
        <v>75.84</v>
      </c>
      <c r="E35">
        <v>308</v>
      </c>
    </row>
    <row r="36" spans="1:5" ht="15.6">
      <c r="A36" s="3497">
        <v>35</v>
      </c>
      <c r="B36" s="3497" t="s">
        <v>3480</v>
      </c>
      <c r="C36" s="3498" t="s">
        <v>3481</v>
      </c>
      <c r="D36" s="3499">
        <v>78.33</v>
      </c>
      <c r="E36">
        <v>309</v>
      </c>
    </row>
    <row r="37" spans="1:5" ht="15.6">
      <c r="A37" s="3497">
        <v>36</v>
      </c>
      <c r="B37" s="3497" t="s">
        <v>3482</v>
      </c>
      <c r="C37" s="3498" t="s">
        <v>3483</v>
      </c>
      <c r="D37" s="3499">
        <v>73.36</v>
      </c>
      <c r="E37">
        <v>310</v>
      </c>
    </row>
    <row r="38" spans="1:5" ht="15.6">
      <c r="A38" s="3497">
        <v>37</v>
      </c>
      <c r="B38" s="3497" t="s">
        <v>3484</v>
      </c>
      <c r="C38" s="3498" t="s">
        <v>3485</v>
      </c>
      <c r="D38" s="3499">
        <v>75.84</v>
      </c>
      <c r="E38">
        <v>311</v>
      </c>
    </row>
    <row r="39" spans="1:5" ht="15.6">
      <c r="A39" s="3497">
        <v>38</v>
      </c>
      <c r="B39" s="3497" t="s">
        <v>3486</v>
      </c>
      <c r="C39" s="3498" t="s">
        <v>3487</v>
      </c>
      <c r="D39" s="3499">
        <v>83.39</v>
      </c>
      <c r="E39">
        <v>312</v>
      </c>
    </row>
    <row r="40" spans="1:5" ht="15.6">
      <c r="A40" s="3497">
        <v>39</v>
      </c>
      <c r="B40" s="3497" t="s">
        <v>3488</v>
      </c>
      <c r="C40" s="3498" t="s">
        <v>3489</v>
      </c>
      <c r="D40" s="3499">
        <v>89.74</v>
      </c>
      <c r="E40">
        <v>313</v>
      </c>
    </row>
    <row r="41" spans="1:5" ht="15.6">
      <c r="A41" s="3497">
        <v>40</v>
      </c>
      <c r="B41" s="3497" t="s">
        <v>3490</v>
      </c>
      <c r="C41" s="3498" t="s">
        <v>3491</v>
      </c>
      <c r="D41" s="3499">
        <v>174.53</v>
      </c>
      <c r="E41">
        <v>314</v>
      </c>
    </row>
    <row r="42" spans="1:5" ht="15.6">
      <c r="A42" s="3497">
        <v>41</v>
      </c>
      <c r="B42" s="3497" t="s">
        <v>3492</v>
      </c>
      <c r="C42" s="3498" t="s">
        <v>3493</v>
      </c>
      <c r="D42" s="3499">
        <v>71.53</v>
      </c>
      <c r="E42">
        <v>315</v>
      </c>
    </row>
    <row r="43" spans="1:5" ht="15.6">
      <c r="A43" s="3497">
        <v>42</v>
      </c>
      <c r="B43" s="3497" t="s">
        <v>3494</v>
      </c>
      <c r="C43" s="3498" t="s">
        <v>3495</v>
      </c>
      <c r="D43" s="3499">
        <v>62.96</v>
      </c>
      <c r="E43">
        <v>316</v>
      </c>
    </row>
    <row r="44" spans="1:5" ht="15.6">
      <c r="A44" s="3497">
        <v>43</v>
      </c>
      <c r="B44" s="3497" t="s">
        <v>3496</v>
      </c>
      <c r="C44" s="3498" t="s">
        <v>3497</v>
      </c>
      <c r="D44" s="3499">
        <v>54.66</v>
      </c>
      <c r="E44">
        <v>317</v>
      </c>
    </row>
    <row r="45" spans="1:5" ht="15.6">
      <c r="A45" s="3497">
        <v>44</v>
      </c>
      <c r="B45" s="3497" t="s">
        <v>3498</v>
      </c>
      <c r="C45" s="3498" t="s">
        <v>3499</v>
      </c>
      <c r="D45" s="3499">
        <v>54.66</v>
      </c>
      <c r="E45">
        <v>318</v>
      </c>
    </row>
    <row r="46" spans="1:5" ht="15.6">
      <c r="A46" s="3497">
        <v>45</v>
      </c>
      <c r="B46" s="3497" t="s">
        <v>3500</v>
      </c>
      <c r="C46" s="3498" t="s">
        <v>3501</v>
      </c>
      <c r="D46" s="3499">
        <v>54.66</v>
      </c>
      <c r="E46">
        <v>319</v>
      </c>
    </row>
    <row r="47" spans="1:5" ht="15.6">
      <c r="A47" s="3497">
        <v>46</v>
      </c>
      <c r="B47" s="3497" t="s">
        <v>3502</v>
      </c>
      <c r="C47" s="3498" t="s">
        <v>3503</v>
      </c>
      <c r="D47" s="3499">
        <v>54.66</v>
      </c>
      <c r="E47">
        <v>320</v>
      </c>
    </row>
    <row r="48" spans="1:5" ht="15.6">
      <c r="A48" s="3497">
        <v>47</v>
      </c>
      <c r="B48" s="3497" t="s">
        <v>3504</v>
      </c>
      <c r="C48" s="3498" t="s">
        <v>3505</v>
      </c>
      <c r="D48" s="3499">
        <v>54.66</v>
      </c>
      <c r="E48">
        <v>321</v>
      </c>
    </row>
    <row r="49" spans="1:5" ht="15.6">
      <c r="A49" s="3497">
        <v>48</v>
      </c>
      <c r="B49" s="3497" t="s">
        <v>3506</v>
      </c>
      <c r="C49" s="3498" t="s">
        <v>3507</v>
      </c>
      <c r="D49" s="3499">
        <v>54.66</v>
      </c>
      <c r="E49">
        <v>322</v>
      </c>
    </row>
    <row r="50" spans="1:5" ht="15.6">
      <c r="A50" s="3497">
        <v>49</v>
      </c>
      <c r="B50" s="3497" t="s">
        <v>3508</v>
      </c>
      <c r="C50" s="3498" t="s">
        <v>3509</v>
      </c>
      <c r="D50" s="3499">
        <v>54.66</v>
      </c>
      <c r="E50">
        <v>323</v>
      </c>
    </row>
    <row r="51" spans="1:5" ht="15.6">
      <c r="A51" s="3497">
        <v>50</v>
      </c>
      <c r="B51" s="3497" t="s">
        <v>3510</v>
      </c>
      <c r="C51" s="3498" t="s">
        <v>3511</v>
      </c>
      <c r="D51" s="3499">
        <v>54.66</v>
      </c>
      <c r="E51">
        <v>324</v>
      </c>
    </row>
    <row r="52" spans="1:5" ht="15.6">
      <c r="A52" s="3497">
        <v>51</v>
      </c>
      <c r="B52" s="3497" t="s">
        <v>3512</v>
      </c>
      <c r="C52" s="3498" t="s">
        <v>3513</v>
      </c>
      <c r="D52" s="3499">
        <v>62.28</v>
      </c>
      <c r="E52">
        <v>325</v>
      </c>
    </row>
    <row r="53" spans="1:5" ht="15.6">
      <c r="A53" s="3497">
        <v>52</v>
      </c>
      <c r="B53" s="3497" t="s">
        <v>3514</v>
      </c>
      <c r="C53" s="3498" t="s">
        <v>3515</v>
      </c>
      <c r="D53" s="3499">
        <v>74.08</v>
      </c>
      <c r="E53">
        <v>326</v>
      </c>
    </row>
    <row r="54" spans="1:5" ht="15.6">
      <c r="A54" s="3497"/>
      <c r="B54" s="3497"/>
      <c r="C54" s="3498"/>
      <c r="D54">
        <f>SUM(D2:D53)</f>
        <v>4003.36</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B2E3-A05E-4E66-B54B-6B8D5923F74D}">
  <sheetPr>
    <tabColor rgb="FF7030A0"/>
  </sheetPr>
  <dimension ref="P3:Q3"/>
  <sheetViews>
    <sheetView topLeftCell="B27" workbookViewId="0">
      <selection activeCell="P12" sqref="P12"/>
    </sheetView>
  </sheetViews>
  <sheetFormatPr defaultRowHeight="14.4"/>
  <sheetData>
    <row r="3" spans="16:17">
      <c r="P3" s="1405" t="s">
        <v>3533</v>
      </c>
      <c r="Q3" s="1405" t="s">
        <v>3534</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5D3E-4EF0-421F-A5CD-03085165E6CF}">
  <dimension ref="A1"/>
  <sheetViews>
    <sheetView workbookViewId="0"/>
  </sheetViews>
  <sheetFormatPr defaultRowHeight="14.4"/>
  <sheetData/>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73" t="s">
        <v>2606</v>
      </c>
      <c r="B20" s="3466" t="s">
        <v>2627</v>
      </c>
      <c r="C20" s="2842" t="s">
        <v>2438</v>
      </c>
      <c r="D20" s="2843"/>
      <c r="E20" s="2844">
        <v>1</v>
      </c>
      <c r="F20" s="2845" t="s">
        <v>2439</v>
      </c>
      <c r="G20" s="2845"/>
    </row>
    <row r="21" spans="1:13" ht="19.5" customHeight="1">
      <c r="A21" s="3474"/>
      <c r="B21" s="3467"/>
      <c r="C21" s="2846" t="s">
        <v>2440</v>
      </c>
      <c r="D21" s="2847"/>
      <c r="E21" s="2848">
        <v>1</v>
      </c>
      <c r="F21" s="2845" t="s">
        <v>2441</v>
      </c>
      <c r="G21" s="2845"/>
    </row>
    <row r="22" spans="1:13" ht="19.5" customHeight="1">
      <c r="A22" s="3474"/>
      <c r="B22" s="3467"/>
      <c r="C22" s="2846" t="s">
        <v>2442</v>
      </c>
      <c r="D22" s="2847"/>
      <c r="E22" s="2848">
        <v>0.9</v>
      </c>
      <c r="F22" s="2845" t="s">
        <v>2443</v>
      </c>
      <c r="G22" s="2845"/>
    </row>
    <row r="23" spans="1:13" ht="19.5" customHeight="1">
      <c r="A23" s="3474"/>
      <c r="B23" s="3467"/>
      <c r="C23" s="2846" t="s">
        <v>2444</v>
      </c>
      <c r="D23" s="2847"/>
      <c r="E23" s="2848">
        <v>0.9</v>
      </c>
      <c r="F23" s="2845" t="s">
        <v>2445</v>
      </c>
      <c r="G23" s="2845"/>
    </row>
    <row r="24" spans="1:13" ht="19.5" customHeight="1">
      <c r="A24" s="3474"/>
      <c r="B24" s="3467"/>
      <c r="C24" s="2846" t="s">
        <v>2446</v>
      </c>
      <c r="D24" s="2847"/>
      <c r="E24" s="2848">
        <v>0.8</v>
      </c>
      <c r="F24" s="2845" t="s">
        <v>2447</v>
      </c>
      <c r="G24" s="2845"/>
    </row>
    <row r="25" spans="1:13" ht="19.5" customHeight="1" thickBot="1">
      <c r="A25" s="3475"/>
      <c r="B25" s="3468"/>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69" t="s">
        <v>2630</v>
      </c>
      <c r="B27" s="3466" t="s">
        <v>2611</v>
      </c>
      <c r="C27" s="2842" t="s">
        <v>2451</v>
      </c>
      <c r="D27" s="2843"/>
      <c r="E27" s="2844">
        <v>1</v>
      </c>
      <c r="F27" s="2845" t="s">
        <v>2452</v>
      </c>
      <c r="G27" s="2845"/>
    </row>
    <row r="28" spans="1:13" ht="19.5" customHeight="1">
      <c r="A28" s="3470"/>
      <c r="B28" s="3467"/>
      <c r="C28" s="2846" t="s">
        <v>2453</v>
      </c>
      <c r="D28" s="2847"/>
      <c r="E28" s="2848">
        <v>1</v>
      </c>
      <c r="F28" s="2845" t="s">
        <v>2454</v>
      </c>
      <c r="G28" s="2845"/>
    </row>
    <row r="29" spans="1:13" ht="19.5" customHeight="1">
      <c r="A29" s="3470"/>
      <c r="B29" s="3467"/>
      <c r="C29" s="2846" t="s">
        <v>2455</v>
      </c>
      <c r="D29" s="2847"/>
      <c r="E29" s="2848">
        <v>0.8</v>
      </c>
      <c r="F29" s="2845" t="s">
        <v>2456</v>
      </c>
      <c r="G29" s="2845"/>
    </row>
    <row r="30" spans="1:13" ht="19.5" customHeight="1">
      <c r="A30" s="3470"/>
      <c r="B30" s="3467"/>
      <c r="C30" s="2846" t="s">
        <v>2457</v>
      </c>
      <c r="D30" s="2847"/>
      <c r="E30" s="2848">
        <v>0.8</v>
      </c>
      <c r="F30" s="2845" t="s">
        <v>2458</v>
      </c>
      <c r="G30" s="2845"/>
    </row>
    <row r="31" spans="1:13" ht="19.5" customHeight="1">
      <c r="A31" s="3470"/>
      <c r="B31" s="3467"/>
      <c r="C31" s="2846" t="s">
        <v>2459</v>
      </c>
      <c r="D31" s="2847"/>
      <c r="E31" s="2848">
        <v>0.8</v>
      </c>
      <c r="F31" s="2845" t="s">
        <v>2460</v>
      </c>
      <c r="G31" s="2845"/>
    </row>
    <row r="32" spans="1:13" ht="19.5" customHeight="1">
      <c r="A32" s="3470"/>
      <c r="B32" s="3467"/>
      <c r="C32" s="2846" t="s">
        <v>2461</v>
      </c>
      <c r="D32" s="2847"/>
      <c r="E32" s="2848">
        <v>0.7</v>
      </c>
      <c r="F32" s="2845" t="s">
        <v>2462</v>
      </c>
      <c r="G32" s="2845"/>
    </row>
    <row r="33" spans="1:7" ht="19.5" customHeight="1">
      <c r="A33" s="3470"/>
      <c r="B33" s="3467"/>
      <c r="C33" s="2846" t="s">
        <v>2463</v>
      </c>
      <c r="D33" s="2847"/>
      <c r="E33" s="2848">
        <v>0.8</v>
      </c>
      <c r="F33" s="2845" t="s">
        <v>2464</v>
      </c>
      <c r="G33" s="2845"/>
    </row>
    <row r="34" spans="1:7" ht="19.5" customHeight="1">
      <c r="A34" s="3470"/>
      <c r="B34" s="3467"/>
      <c r="C34" s="2846" t="s">
        <v>2465</v>
      </c>
      <c r="D34" s="2847"/>
      <c r="E34" s="2848">
        <v>0.6</v>
      </c>
      <c r="F34" s="2845" t="s">
        <v>2466</v>
      </c>
      <c r="G34" s="2845"/>
    </row>
    <row r="35" spans="1:7" ht="19.5" customHeight="1">
      <c r="A35" s="3470"/>
      <c r="B35" s="3467"/>
      <c r="C35" s="2846" t="s">
        <v>2467</v>
      </c>
      <c r="D35" s="2847"/>
      <c r="E35" s="2848">
        <v>0.2</v>
      </c>
      <c r="F35" s="2845" t="s">
        <v>2468</v>
      </c>
      <c r="G35" s="2845"/>
    </row>
    <row r="36" spans="1:7" ht="19.5" customHeight="1">
      <c r="A36" s="3470"/>
      <c r="B36" s="3467"/>
      <c r="C36" s="2846" t="s">
        <v>2469</v>
      </c>
      <c r="D36" s="2847"/>
      <c r="E36" s="2848">
        <v>0.2</v>
      </c>
      <c r="F36" s="2845" t="s">
        <v>2470</v>
      </c>
      <c r="G36" s="2845"/>
    </row>
    <row r="37" spans="1:7" ht="19.5" customHeight="1">
      <c r="A37" s="3470"/>
      <c r="B37" s="3472" t="s">
        <v>2631</v>
      </c>
      <c r="C37" s="2846" t="s">
        <v>2471</v>
      </c>
      <c r="D37" s="2847"/>
      <c r="E37" s="2848">
        <v>0.6</v>
      </c>
      <c r="F37" s="2845" t="s">
        <v>2472</v>
      </c>
      <c r="G37" s="2845"/>
    </row>
    <row r="38" spans="1:7" ht="19.5" customHeight="1">
      <c r="A38" s="3470"/>
      <c r="B38" s="3467"/>
      <c r="C38" s="2846" t="s">
        <v>2473</v>
      </c>
      <c r="D38" s="2847"/>
      <c r="E38" s="2848">
        <v>0.6</v>
      </c>
      <c r="F38" s="2845" t="s">
        <v>2474</v>
      </c>
      <c r="G38" s="2845"/>
    </row>
    <row r="39" spans="1:7" ht="19.5" customHeight="1" thickBot="1">
      <c r="A39" s="3471"/>
      <c r="B39" s="3468"/>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73" t="s">
        <v>2609</v>
      </c>
      <c r="B41" s="3466" t="s">
        <v>2633</v>
      </c>
      <c r="C41" s="2842" t="s">
        <v>2478</v>
      </c>
      <c r="D41" s="2843"/>
      <c r="E41" s="2844">
        <v>1</v>
      </c>
      <c r="F41" s="2845" t="s">
        <v>2479</v>
      </c>
      <c r="G41" s="2845"/>
    </row>
    <row r="42" spans="1:7" ht="19.5" customHeight="1">
      <c r="A42" s="3474"/>
      <c r="B42" s="3467"/>
      <c r="C42" s="2846" t="s">
        <v>2480</v>
      </c>
      <c r="D42" s="2847"/>
      <c r="E42" s="2848">
        <v>1</v>
      </c>
      <c r="F42" s="2845" t="s">
        <v>2481</v>
      </c>
      <c r="G42" s="2845"/>
    </row>
    <row r="43" spans="1:7" ht="19.5" customHeight="1">
      <c r="A43" s="3474"/>
      <c r="B43" s="3476"/>
      <c r="C43" s="2846" t="s">
        <v>2482</v>
      </c>
      <c r="D43" s="2847"/>
      <c r="E43" s="2848">
        <v>1.5</v>
      </c>
      <c r="F43" s="2845" t="s">
        <v>2483</v>
      </c>
      <c r="G43" s="2845"/>
    </row>
    <row r="44" spans="1:7" ht="19.5" customHeight="1">
      <c r="A44" s="3474"/>
      <c r="B44" s="2857" t="s">
        <v>2634</v>
      </c>
      <c r="C44" s="2846" t="s">
        <v>2635</v>
      </c>
      <c r="D44" s="2847"/>
      <c r="E44" s="2848">
        <v>2</v>
      </c>
      <c r="F44" s="2845" t="s">
        <v>2484</v>
      </c>
      <c r="G44" s="2845"/>
    </row>
    <row r="45" spans="1:7" ht="19.5" customHeight="1">
      <c r="A45" s="3474"/>
      <c r="B45" s="3472" t="s">
        <v>2636</v>
      </c>
      <c r="C45" s="2846" t="s">
        <v>2485</v>
      </c>
      <c r="D45" s="2847"/>
      <c r="E45" s="2848">
        <v>1</v>
      </c>
      <c r="F45" s="2845" t="s">
        <v>2486</v>
      </c>
      <c r="G45" s="2845"/>
    </row>
    <row r="46" spans="1:7" ht="19.5" customHeight="1">
      <c r="A46" s="3474"/>
      <c r="B46" s="3467"/>
      <c r="C46" s="2846" t="s">
        <v>2487</v>
      </c>
      <c r="D46" s="2847"/>
      <c r="E46" s="2848">
        <v>1</v>
      </c>
      <c r="F46" s="2845" t="s">
        <v>2488</v>
      </c>
      <c r="G46" s="2845"/>
    </row>
    <row r="47" spans="1:7" ht="19.5" customHeight="1">
      <c r="A47" s="3474"/>
      <c r="B47" s="3467"/>
      <c r="C47" s="2846" t="s">
        <v>2489</v>
      </c>
      <c r="D47" s="2847"/>
      <c r="E47" s="2848">
        <v>1</v>
      </c>
      <c r="F47" s="2845" t="s">
        <v>2490</v>
      </c>
      <c r="G47" s="2845"/>
    </row>
    <row r="48" spans="1:7" ht="19.5" customHeight="1">
      <c r="A48" s="3474"/>
      <c r="B48" s="3467"/>
      <c r="C48" s="2846" t="s">
        <v>2491</v>
      </c>
      <c r="D48" s="2847"/>
      <c r="E48" s="2848">
        <v>1</v>
      </c>
      <c r="F48" s="2845" t="s">
        <v>2492</v>
      </c>
      <c r="G48" s="2845"/>
    </row>
    <row r="49" spans="1:7" ht="19.5" customHeight="1">
      <c r="A49" s="3474"/>
      <c r="B49" s="3467"/>
      <c r="C49" s="2846" t="s">
        <v>2493</v>
      </c>
      <c r="D49" s="2847"/>
      <c r="E49" s="2848">
        <v>1</v>
      </c>
      <c r="F49" s="2845" t="s">
        <v>2494</v>
      </c>
      <c r="G49" s="2845"/>
    </row>
    <row r="50" spans="1:7" ht="19.5" customHeight="1">
      <c r="A50" s="3474"/>
      <c r="B50" s="3467"/>
      <c r="C50" s="2846" t="s">
        <v>2495</v>
      </c>
      <c r="D50" s="2847"/>
      <c r="E50" s="2848">
        <v>1</v>
      </c>
      <c r="F50" s="2845" t="s">
        <v>2496</v>
      </c>
      <c r="G50" s="2845"/>
    </row>
    <row r="51" spans="1:7" ht="19.5" customHeight="1" thickBot="1">
      <c r="A51" s="3475"/>
      <c r="B51" s="3468"/>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4.4">
      <c r="A72" s="2857"/>
      <c r="B72" s="2857"/>
      <c r="C72" s="2857" t="s">
        <v>2649</v>
      </c>
      <c r="D72" s="2857"/>
      <c r="E72" s="2857" t="s">
        <v>2620</v>
      </c>
      <c r="F72" s="2857" t="s">
        <v>2620</v>
      </c>
    </row>
    <row r="73" spans="1:7" ht="14.4">
      <c r="A73" s="2857">
        <v>1</v>
      </c>
      <c r="B73" s="3472" t="s">
        <v>2650</v>
      </c>
      <c r="C73" s="2831" t="s">
        <v>2651</v>
      </c>
      <c r="D73" s="2831" t="s">
        <v>2652</v>
      </c>
      <c r="E73" s="2857">
        <v>0.2</v>
      </c>
      <c r="F73" s="2857">
        <v>25</v>
      </c>
    </row>
    <row r="74" spans="1:7" ht="24">
      <c r="A74" s="2857">
        <v>2</v>
      </c>
      <c r="B74" s="3467"/>
      <c r="C74" s="2831" t="s">
        <v>2653</v>
      </c>
      <c r="D74" s="2831" t="s">
        <v>2654</v>
      </c>
      <c r="E74" s="2857">
        <v>0.2</v>
      </c>
      <c r="F74" s="2857">
        <v>25</v>
      </c>
    </row>
    <row r="75" spans="1:7" ht="24">
      <c r="A75" s="2857">
        <v>3</v>
      </c>
      <c r="B75" s="3467"/>
      <c r="C75" s="2831" t="s">
        <v>2655</v>
      </c>
      <c r="D75" s="2831" t="s">
        <v>2656</v>
      </c>
      <c r="E75" s="2857">
        <v>0.2</v>
      </c>
      <c r="F75" s="2857">
        <v>25</v>
      </c>
    </row>
    <row r="76" spans="1:7" ht="14.4">
      <c r="A76" s="2857">
        <v>4</v>
      </c>
      <c r="B76" s="3467"/>
      <c r="C76" s="2831" t="s">
        <v>2657</v>
      </c>
      <c r="D76" s="2831" t="s">
        <v>2658</v>
      </c>
      <c r="E76" s="2857">
        <v>0.15</v>
      </c>
      <c r="F76" s="2857">
        <v>20</v>
      </c>
    </row>
    <row r="77" spans="1:7" ht="24">
      <c r="A77" s="2857">
        <v>5</v>
      </c>
      <c r="B77" s="3467"/>
      <c r="C77" s="2831" t="s">
        <v>2659</v>
      </c>
      <c r="D77" s="2831" t="s">
        <v>2660</v>
      </c>
      <c r="E77" s="2857">
        <v>0.15</v>
      </c>
      <c r="F77" s="2857">
        <v>20</v>
      </c>
    </row>
    <row r="78" spans="1:7" ht="24">
      <c r="A78" s="2857">
        <v>6</v>
      </c>
      <c r="B78" s="3467"/>
      <c r="C78" s="2831" t="s">
        <v>2661</v>
      </c>
      <c r="D78" s="2831" t="s">
        <v>2662</v>
      </c>
      <c r="E78" s="2857">
        <v>0.15</v>
      </c>
      <c r="F78" s="2857">
        <v>20</v>
      </c>
    </row>
    <row r="79" spans="1:7" ht="24">
      <c r="A79" s="2857">
        <v>7</v>
      </c>
      <c r="B79" s="3467"/>
      <c r="C79" s="2831" t="s">
        <v>2663</v>
      </c>
      <c r="D79" s="2831" t="s">
        <v>2664</v>
      </c>
      <c r="E79" s="2857">
        <v>0.15</v>
      </c>
      <c r="F79" s="2857">
        <v>20</v>
      </c>
    </row>
    <row r="80" spans="1:7" ht="24">
      <c r="A80" s="2857">
        <v>8</v>
      </c>
      <c r="B80" s="3467"/>
      <c r="C80" s="2831" t="s">
        <v>2665</v>
      </c>
      <c r="D80" s="2831" t="s">
        <v>2666</v>
      </c>
      <c r="E80" s="2857">
        <v>0.1</v>
      </c>
      <c r="F80" s="2857">
        <v>15</v>
      </c>
    </row>
    <row r="81" spans="1:6" ht="24">
      <c r="A81" s="2857">
        <v>9</v>
      </c>
      <c r="B81" s="3467"/>
      <c r="C81" s="2831" t="s">
        <v>2667</v>
      </c>
      <c r="D81" s="2831" t="s">
        <v>2668</v>
      </c>
      <c r="E81" s="2857">
        <v>0.1</v>
      </c>
      <c r="F81" s="2857">
        <v>15</v>
      </c>
    </row>
    <row r="82" spans="1:6" ht="24">
      <c r="A82" s="2857">
        <v>10</v>
      </c>
      <c r="B82" s="3467"/>
      <c r="C82" s="2831" t="s">
        <v>2669</v>
      </c>
      <c r="D82" s="2831" t="s">
        <v>2670</v>
      </c>
      <c r="E82" s="2857">
        <v>0.1</v>
      </c>
      <c r="F82" s="2857">
        <v>15</v>
      </c>
    </row>
    <row r="83" spans="1:6" ht="24">
      <c r="A83" s="2857">
        <v>11</v>
      </c>
      <c r="B83" s="3467"/>
      <c r="C83" s="2831" t="s">
        <v>2671</v>
      </c>
      <c r="D83" s="2831" t="s">
        <v>2672</v>
      </c>
      <c r="E83" s="2857">
        <v>0.1</v>
      </c>
      <c r="F83" s="2857">
        <v>15</v>
      </c>
    </row>
    <row r="84" spans="1:6" ht="24">
      <c r="A84" s="2857">
        <v>12</v>
      </c>
      <c r="B84" s="3467"/>
      <c r="C84" s="2831" t="s">
        <v>2673</v>
      </c>
      <c r="D84" s="2831" t="s">
        <v>2674</v>
      </c>
      <c r="E84" s="2857">
        <v>0.1</v>
      </c>
      <c r="F84" s="2857">
        <v>15</v>
      </c>
    </row>
    <row r="85" spans="1:6" ht="24">
      <c r="A85" s="2857">
        <v>13</v>
      </c>
      <c r="B85" s="3467"/>
      <c r="C85" s="2831" t="s">
        <v>2675</v>
      </c>
      <c r="D85" s="2831" t="s">
        <v>2676</v>
      </c>
      <c r="E85" s="2857">
        <v>0.1</v>
      </c>
      <c r="F85" s="2857">
        <v>15</v>
      </c>
    </row>
    <row r="86" spans="1:6" ht="24">
      <c r="A86" s="2857">
        <v>14</v>
      </c>
      <c r="B86" s="3467"/>
      <c r="C86" s="2831" t="s">
        <v>2677</v>
      </c>
      <c r="D86" s="2831" t="s">
        <v>2678</v>
      </c>
      <c r="E86" s="2857">
        <v>0.1</v>
      </c>
      <c r="F86" s="2857">
        <v>15</v>
      </c>
    </row>
    <row r="87" spans="1:6" ht="24">
      <c r="A87" s="2857">
        <v>15</v>
      </c>
      <c r="B87" s="3467"/>
      <c r="C87" s="2831" t="s">
        <v>2679</v>
      </c>
      <c r="D87" s="2831" t="s">
        <v>2680</v>
      </c>
      <c r="E87" s="2857">
        <v>0.1</v>
      </c>
      <c r="F87" s="2857">
        <v>15</v>
      </c>
    </row>
    <row r="88" spans="1:6" ht="24">
      <c r="A88" s="2857">
        <v>16</v>
      </c>
      <c r="B88" s="3467"/>
      <c r="C88" s="2831" t="s">
        <v>2681</v>
      </c>
      <c r="D88" s="2831" t="s">
        <v>2682</v>
      </c>
      <c r="E88" s="2857">
        <v>0.1</v>
      </c>
      <c r="F88" s="2857">
        <v>15</v>
      </c>
    </row>
    <row r="89" spans="1:6" ht="24">
      <c r="A89" s="2857">
        <v>17</v>
      </c>
      <c r="B89" s="3476"/>
      <c r="C89" s="2831" t="s">
        <v>2683</v>
      </c>
      <c r="D89" s="2831" t="s">
        <v>2684</v>
      </c>
      <c r="E89" s="2857">
        <v>0.1</v>
      </c>
      <c r="F89" s="2857">
        <v>15</v>
      </c>
    </row>
    <row r="90" spans="1:6" ht="14.4">
      <c r="A90" s="2857">
        <v>18</v>
      </c>
      <c r="B90" s="3472" t="s">
        <v>2685</v>
      </c>
      <c r="C90" s="2831" t="s">
        <v>2686</v>
      </c>
      <c r="D90" s="2831" t="s">
        <v>2687</v>
      </c>
      <c r="E90" s="2857">
        <v>0.2</v>
      </c>
      <c r="F90" s="2857">
        <v>25</v>
      </c>
    </row>
    <row r="91" spans="1:6" ht="24">
      <c r="A91" s="2857">
        <v>19</v>
      </c>
      <c r="B91" s="3467"/>
      <c r="C91" s="2831" t="s">
        <v>2688</v>
      </c>
      <c r="D91" s="2831" t="s">
        <v>2689</v>
      </c>
      <c r="E91" s="2857">
        <v>0.2</v>
      </c>
      <c r="F91" s="2857">
        <v>25</v>
      </c>
    </row>
    <row r="92" spans="1:6" ht="14.4">
      <c r="A92" s="2857">
        <v>20</v>
      </c>
      <c r="B92" s="3467"/>
      <c r="C92" s="2831" t="s">
        <v>2690</v>
      </c>
      <c r="D92" s="2831" t="s">
        <v>2691</v>
      </c>
      <c r="E92" s="2857">
        <v>0.15</v>
      </c>
      <c r="F92" s="2857">
        <v>20</v>
      </c>
    </row>
    <row r="93" spans="1:6" ht="24">
      <c r="A93" s="2857">
        <v>21</v>
      </c>
      <c r="B93" s="3467"/>
      <c r="C93" s="2831" t="s">
        <v>2692</v>
      </c>
      <c r="D93" s="2831" t="s">
        <v>2693</v>
      </c>
      <c r="E93" s="2857">
        <v>0.15</v>
      </c>
      <c r="F93" s="2857">
        <v>20</v>
      </c>
    </row>
    <row r="94" spans="1:6" ht="24">
      <c r="A94" s="2857">
        <v>22</v>
      </c>
      <c r="B94" s="3467"/>
      <c r="C94" s="2831" t="s">
        <v>2694</v>
      </c>
      <c r="D94" s="2831" t="s">
        <v>2695</v>
      </c>
      <c r="E94" s="2857">
        <v>0.15</v>
      </c>
      <c r="F94" s="2857">
        <v>20</v>
      </c>
    </row>
    <row r="95" spans="1:6" ht="36">
      <c r="A95" s="2857">
        <v>23</v>
      </c>
      <c r="B95" s="3467"/>
      <c r="C95" s="2831" t="s">
        <v>2696</v>
      </c>
      <c r="D95" s="2831" t="s">
        <v>2697</v>
      </c>
      <c r="E95" s="2857">
        <v>0.15</v>
      </c>
      <c r="F95" s="2857">
        <v>20</v>
      </c>
    </row>
    <row r="96" spans="1:6" ht="24">
      <c r="A96" s="2857">
        <v>24</v>
      </c>
      <c r="B96" s="3467"/>
      <c r="C96" s="2831" t="s">
        <v>2698</v>
      </c>
      <c r="D96" s="2831" t="s">
        <v>2699</v>
      </c>
      <c r="E96" s="2857">
        <v>0.1</v>
      </c>
      <c r="F96" s="2857">
        <v>15</v>
      </c>
    </row>
    <row r="97" spans="1:6" ht="24">
      <c r="A97" s="2857">
        <v>25</v>
      </c>
      <c r="B97" s="3467"/>
      <c r="C97" s="2831" t="s">
        <v>2700</v>
      </c>
      <c r="D97" s="2831" t="s">
        <v>2701</v>
      </c>
      <c r="E97" s="2857">
        <v>0.1</v>
      </c>
      <c r="F97" s="2857">
        <v>15</v>
      </c>
    </row>
    <row r="98" spans="1:6" ht="24">
      <c r="A98" s="2857">
        <v>26</v>
      </c>
      <c r="B98" s="3467"/>
      <c r="C98" s="2831" t="s">
        <v>2702</v>
      </c>
      <c r="D98" s="2831" t="s">
        <v>2703</v>
      </c>
      <c r="E98" s="2857">
        <v>0.1</v>
      </c>
      <c r="F98" s="2857">
        <v>15</v>
      </c>
    </row>
    <row r="99" spans="1:6" ht="24">
      <c r="A99" s="2857">
        <v>27</v>
      </c>
      <c r="B99" s="3467"/>
      <c r="C99" s="2831" t="s">
        <v>2704</v>
      </c>
      <c r="D99" s="2831" t="s">
        <v>2705</v>
      </c>
      <c r="E99" s="2857">
        <v>0.1</v>
      </c>
      <c r="F99" s="2857">
        <v>15</v>
      </c>
    </row>
    <row r="100" spans="1:6" ht="24">
      <c r="A100" s="2857">
        <v>28</v>
      </c>
      <c r="B100" s="3467"/>
      <c r="C100" s="2831" t="s">
        <v>2706</v>
      </c>
      <c r="D100" s="2831" t="s">
        <v>2707</v>
      </c>
      <c r="E100" s="2857">
        <v>0.1</v>
      </c>
      <c r="F100" s="2857">
        <v>15</v>
      </c>
    </row>
    <row r="101" spans="1:6" ht="24">
      <c r="A101" s="2857">
        <v>29</v>
      </c>
      <c r="B101" s="3467"/>
      <c r="C101" s="2831" t="s">
        <v>2708</v>
      </c>
      <c r="D101" s="2831" t="s">
        <v>2709</v>
      </c>
      <c r="E101" s="2857">
        <v>0.1</v>
      </c>
      <c r="F101" s="2857">
        <v>15</v>
      </c>
    </row>
    <row r="102" spans="1:6" ht="24">
      <c r="A102" s="2857">
        <v>30</v>
      </c>
      <c r="B102" s="3467"/>
      <c r="C102" s="2831" t="s">
        <v>2710</v>
      </c>
      <c r="D102" s="2831" t="s">
        <v>2711</v>
      </c>
      <c r="E102" s="2857">
        <v>0.1</v>
      </c>
      <c r="F102" s="2857">
        <v>15</v>
      </c>
    </row>
    <row r="103" spans="1:6" ht="24">
      <c r="A103" s="2857">
        <v>31</v>
      </c>
      <c r="B103" s="3467"/>
      <c r="C103" s="2831" t="s">
        <v>2712</v>
      </c>
      <c r="D103" s="2831" t="s">
        <v>2713</v>
      </c>
      <c r="E103" s="2857">
        <v>0.1</v>
      </c>
      <c r="F103" s="2857">
        <v>15</v>
      </c>
    </row>
    <row r="104" spans="1:6" ht="24">
      <c r="A104" s="2857">
        <v>32</v>
      </c>
      <c r="B104" s="3467"/>
      <c r="C104" s="2831" t="s">
        <v>2714</v>
      </c>
      <c r="D104" s="2831" t="s">
        <v>2715</v>
      </c>
      <c r="E104" s="2857">
        <v>0.1</v>
      </c>
      <c r="F104" s="2857">
        <v>15</v>
      </c>
    </row>
    <row r="105" spans="1:6" ht="24">
      <c r="A105" s="2857">
        <v>33</v>
      </c>
      <c r="B105" s="3467"/>
      <c r="C105" s="2831" t="s">
        <v>2716</v>
      </c>
      <c r="D105" s="2831" t="s">
        <v>2717</v>
      </c>
      <c r="E105" s="2857">
        <v>0.1</v>
      </c>
      <c r="F105" s="2857">
        <v>15</v>
      </c>
    </row>
    <row r="106" spans="1:6" ht="24">
      <c r="A106" s="2857">
        <v>34</v>
      </c>
      <c r="B106" s="3476"/>
      <c r="C106" s="2831" t="s">
        <v>2718</v>
      </c>
      <c r="D106" s="2831" t="s">
        <v>2719</v>
      </c>
      <c r="E106" s="2857">
        <v>0.1</v>
      </c>
      <c r="F106" s="2857">
        <v>15</v>
      </c>
    </row>
    <row r="107" spans="1:6" ht="36">
      <c r="A107" s="2857">
        <v>35</v>
      </c>
      <c r="B107" s="3472" t="s">
        <v>2720</v>
      </c>
      <c r="C107" s="2857" t="s">
        <v>2721</v>
      </c>
      <c r="D107" s="2831" t="s">
        <v>2722</v>
      </c>
      <c r="E107" s="2857">
        <v>0.15</v>
      </c>
      <c r="F107" s="2857">
        <v>20</v>
      </c>
    </row>
    <row r="108" spans="1:6" ht="24">
      <c r="A108" s="2857">
        <v>36</v>
      </c>
      <c r="B108" s="3467"/>
      <c r="C108" s="2857" t="s">
        <v>2723</v>
      </c>
      <c r="D108" s="2831" t="s">
        <v>2724</v>
      </c>
      <c r="E108" s="2857">
        <v>0.15</v>
      </c>
      <c r="F108" s="2857">
        <v>20</v>
      </c>
    </row>
    <row r="109" spans="1:6" ht="24">
      <c r="A109" s="2857">
        <v>37</v>
      </c>
      <c r="B109" s="3467"/>
      <c r="C109" s="2857" t="s">
        <v>2725</v>
      </c>
      <c r="D109" s="2831" t="s">
        <v>2726</v>
      </c>
      <c r="E109" s="2857">
        <v>0.15</v>
      </c>
      <c r="F109" s="2857">
        <v>20</v>
      </c>
    </row>
    <row r="110" spans="1:6" ht="24">
      <c r="A110" s="2857">
        <v>38</v>
      </c>
      <c r="B110" s="3467"/>
      <c r="C110" s="2857" t="s">
        <v>2727</v>
      </c>
      <c r="D110" s="2831" t="s">
        <v>2728</v>
      </c>
      <c r="E110" s="2857">
        <v>0.1</v>
      </c>
      <c r="F110" s="2857">
        <v>15</v>
      </c>
    </row>
    <row r="111" spans="1:6" ht="24">
      <c r="A111" s="2857">
        <v>39</v>
      </c>
      <c r="B111" s="3467"/>
      <c r="C111" s="2857" t="s">
        <v>2729</v>
      </c>
      <c r="D111" s="2831" t="s">
        <v>2730</v>
      </c>
      <c r="E111" s="2857">
        <v>0.1</v>
      </c>
      <c r="F111" s="2857">
        <v>15</v>
      </c>
    </row>
    <row r="112" spans="1:6" ht="24">
      <c r="A112" s="2857">
        <v>40</v>
      </c>
      <c r="B112" s="3476"/>
      <c r="C112" s="2857" t="s">
        <v>2731</v>
      </c>
      <c r="D112" s="2831" t="s">
        <v>2732</v>
      </c>
      <c r="E112" s="2857">
        <v>0.1</v>
      </c>
      <c r="F112" s="2857">
        <v>15</v>
      </c>
    </row>
    <row r="113" spans="1:6" ht="24">
      <c r="A113" s="2857">
        <v>41</v>
      </c>
      <c r="B113" s="3477" t="s">
        <v>2733</v>
      </c>
      <c r="C113" s="2857" t="s">
        <v>2734</v>
      </c>
      <c r="D113" s="2831" t="s">
        <v>2735</v>
      </c>
      <c r="E113" s="2857">
        <v>0.1</v>
      </c>
      <c r="F113" s="2857">
        <v>15</v>
      </c>
    </row>
    <row r="114" spans="1:6" ht="24">
      <c r="A114" s="2857">
        <v>42</v>
      </c>
      <c r="B114" s="3477"/>
      <c r="C114" s="2857" t="s">
        <v>2736</v>
      </c>
      <c r="D114" s="2831" t="s">
        <v>2737</v>
      </c>
      <c r="E114" s="2857">
        <v>0.1</v>
      </c>
      <c r="F114" s="2857">
        <v>15</v>
      </c>
    </row>
    <row r="115" spans="1:6" ht="24">
      <c r="A115" s="2857">
        <v>43</v>
      </c>
      <c r="B115" s="3477"/>
      <c r="C115" s="2857" t="s">
        <v>2738</v>
      </c>
      <c r="D115" s="2831" t="s">
        <v>2739</v>
      </c>
      <c r="E115" s="2857">
        <v>0.1</v>
      </c>
      <c r="F115" s="2857">
        <v>15</v>
      </c>
    </row>
    <row r="116" spans="1:6" ht="24">
      <c r="A116" s="2857">
        <v>44</v>
      </c>
      <c r="B116" s="3472" t="s">
        <v>2740</v>
      </c>
      <c r="C116" s="2857" t="s">
        <v>2741</v>
      </c>
      <c r="D116" s="2831" t="s">
        <v>2742</v>
      </c>
      <c r="E116" s="2857">
        <v>0.1</v>
      </c>
      <c r="F116" s="2857">
        <v>15</v>
      </c>
    </row>
    <row r="117" spans="1:6" ht="24">
      <c r="A117" s="2857">
        <v>45</v>
      </c>
      <c r="B117" s="3476"/>
      <c r="C117" s="2831" t="s">
        <v>2743</v>
      </c>
      <c r="D117" s="2831" t="s">
        <v>2744</v>
      </c>
      <c r="E117" s="2857">
        <v>0.1</v>
      </c>
      <c r="F117" s="2857">
        <v>15</v>
      </c>
    </row>
    <row r="118" spans="1:6" ht="24">
      <c r="A118" s="2857">
        <v>46</v>
      </c>
      <c r="B118" s="3472" t="s">
        <v>2745</v>
      </c>
      <c r="C118" s="2857" t="s">
        <v>2746</v>
      </c>
      <c r="D118" s="2831" t="s">
        <v>2747</v>
      </c>
      <c r="E118" s="2857">
        <v>0.1</v>
      </c>
      <c r="F118" s="2857">
        <v>15</v>
      </c>
    </row>
    <row r="119" spans="1:6" ht="24">
      <c r="A119" s="2857">
        <v>47</v>
      </c>
      <c r="B119" s="3476"/>
      <c r="C119" s="2857" t="s">
        <v>2748</v>
      </c>
      <c r="D119" s="2831" t="s">
        <v>2749</v>
      </c>
      <c r="E119" s="2857">
        <v>0.1</v>
      </c>
      <c r="F119" s="2857">
        <v>15</v>
      </c>
    </row>
    <row r="120" spans="1:6" ht="24">
      <c r="A120" s="2857">
        <v>48</v>
      </c>
      <c r="B120" s="3472" t="s">
        <v>2750</v>
      </c>
      <c r="C120" s="2857" t="s">
        <v>2751</v>
      </c>
      <c r="D120" s="2831" t="s">
        <v>2752</v>
      </c>
      <c r="E120" s="2857">
        <v>0.1</v>
      </c>
      <c r="F120" s="2857">
        <v>15</v>
      </c>
    </row>
    <row r="121" spans="1:6" ht="24">
      <c r="A121" s="2857">
        <v>49</v>
      </c>
      <c r="B121" s="3476"/>
      <c r="C121" s="2857" t="s">
        <v>2753</v>
      </c>
      <c r="D121" s="2831" t="s">
        <v>2754</v>
      </c>
      <c r="E121" s="2857">
        <v>0.1</v>
      </c>
      <c r="F121" s="2857">
        <v>15</v>
      </c>
    </row>
    <row r="122" spans="1:6" ht="24">
      <c r="A122" s="2857">
        <v>50</v>
      </c>
      <c r="B122" s="3477" t="s">
        <v>2755</v>
      </c>
      <c r="C122" s="2857" t="s">
        <v>2756</v>
      </c>
      <c r="D122" s="2831" t="s">
        <v>2757</v>
      </c>
      <c r="E122" s="2857">
        <v>0.1</v>
      </c>
      <c r="F122" s="2857">
        <v>15</v>
      </c>
    </row>
    <row r="123" spans="1:6" ht="24">
      <c r="A123" s="2857">
        <v>51</v>
      </c>
      <c r="B123" s="3477"/>
      <c r="C123" s="2857" t="s">
        <v>2758</v>
      </c>
      <c r="D123" s="2831" t="s">
        <v>2759</v>
      </c>
      <c r="E123" s="2857">
        <v>0.1</v>
      </c>
      <c r="F123" s="2857">
        <v>15</v>
      </c>
    </row>
    <row r="124" spans="1:6" ht="24">
      <c r="A124" s="2857">
        <v>52</v>
      </c>
      <c r="B124" s="3477" t="s">
        <v>2760</v>
      </c>
      <c r="C124" s="2857" t="s">
        <v>2761</v>
      </c>
      <c r="D124" s="2831" t="s">
        <v>2762</v>
      </c>
      <c r="E124" s="2857">
        <v>0.1</v>
      </c>
      <c r="F124" s="2857">
        <v>15</v>
      </c>
    </row>
    <row r="125" spans="1:6" ht="24">
      <c r="A125" s="2857">
        <v>53</v>
      </c>
      <c r="B125" s="3477"/>
      <c r="C125" s="2857" t="s">
        <v>2763</v>
      </c>
      <c r="D125" s="2831" t="s">
        <v>2764</v>
      </c>
      <c r="E125" s="2857">
        <v>0.1</v>
      </c>
      <c r="F125" s="2857">
        <v>15</v>
      </c>
    </row>
    <row r="126" spans="1:6" ht="24">
      <c r="A126" s="2857">
        <v>54</v>
      </c>
      <c r="B126" s="2857" t="s">
        <v>2765</v>
      </c>
      <c r="C126" s="2857" t="s">
        <v>2766</v>
      </c>
      <c r="D126" s="2831" t="s">
        <v>2767</v>
      </c>
      <c r="E126" s="2857">
        <v>0.1</v>
      </c>
      <c r="F126" s="2857">
        <v>15</v>
      </c>
    </row>
    <row r="127" spans="1:6" ht="24">
      <c r="A127" s="2857">
        <v>55</v>
      </c>
      <c r="B127" s="3477" t="s">
        <v>2768</v>
      </c>
      <c r="C127" s="2857" t="s">
        <v>2769</v>
      </c>
      <c r="D127" s="2831" t="s">
        <v>2770</v>
      </c>
      <c r="E127" s="2857">
        <v>0.1</v>
      </c>
      <c r="F127" s="2857">
        <v>15</v>
      </c>
    </row>
    <row r="128" spans="1:6" ht="24">
      <c r="A128" s="2857">
        <v>56</v>
      </c>
      <c r="B128" s="3477"/>
      <c r="C128" s="2857" t="s">
        <v>2771</v>
      </c>
      <c r="D128" s="2831" t="s">
        <v>2772</v>
      </c>
      <c r="E128" s="2857">
        <v>0.1</v>
      </c>
      <c r="F128" s="2857">
        <v>15</v>
      </c>
    </row>
    <row r="129" spans="1:6" ht="24">
      <c r="A129" s="2857">
        <v>57</v>
      </c>
      <c r="B129" s="3477"/>
      <c r="C129" s="2857" t="s">
        <v>2773</v>
      </c>
      <c r="D129" s="2831" t="s">
        <v>2774</v>
      </c>
      <c r="E129" s="2857">
        <v>0.1</v>
      </c>
      <c r="F129" s="2857">
        <v>15</v>
      </c>
    </row>
    <row r="130" spans="1:6" ht="24">
      <c r="A130" s="2857">
        <v>58</v>
      </c>
      <c r="B130" s="3477" t="s">
        <v>2775</v>
      </c>
      <c r="C130" s="2857" t="s">
        <v>2776</v>
      </c>
      <c r="D130" s="2831" t="s">
        <v>2777</v>
      </c>
      <c r="E130" s="2857">
        <v>0.1</v>
      </c>
      <c r="F130" s="2857">
        <v>15</v>
      </c>
    </row>
    <row r="131" spans="1:6" ht="24">
      <c r="A131" s="2857">
        <v>59</v>
      </c>
      <c r="B131" s="3477"/>
      <c r="C131" s="2857" t="s">
        <v>2778</v>
      </c>
      <c r="D131" s="2831" t="s">
        <v>2779</v>
      </c>
      <c r="E131" s="2857">
        <v>0.1</v>
      </c>
      <c r="F131" s="2857">
        <v>15</v>
      </c>
    </row>
    <row r="132" spans="1:6" ht="24">
      <c r="A132" s="2857">
        <v>60</v>
      </c>
      <c r="B132" s="3472" t="s">
        <v>2780</v>
      </c>
      <c r="C132" s="2857" t="s">
        <v>2781</v>
      </c>
      <c r="D132" s="2831" t="s">
        <v>2782</v>
      </c>
      <c r="E132" s="2857">
        <v>0.1</v>
      </c>
      <c r="F132" s="2857">
        <v>15</v>
      </c>
    </row>
    <row r="133" spans="1:6" ht="24">
      <c r="A133" s="2857">
        <v>61</v>
      </c>
      <c r="B133" s="3476"/>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24">
      <c r="A135" s="2857">
        <v>63</v>
      </c>
      <c r="B135" s="3477" t="s">
        <v>2788</v>
      </c>
      <c r="C135" s="2857" t="s">
        <v>2789</v>
      </c>
      <c r="D135" s="2831" t="s">
        <v>2790</v>
      </c>
      <c r="E135" s="2857">
        <v>0.1</v>
      </c>
      <c r="F135" s="2857">
        <v>15</v>
      </c>
    </row>
    <row r="136" spans="1:6" ht="24">
      <c r="A136" s="2857">
        <v>64</v>
      </c>
      <c r="B136" s="3477"/>
      <c r="C136" s="2857" t="s">
        <v>2791</v>
      </c>
      <c r="D136" s="2831" t="s">
        <v>2792</v>
      </c>
      <c r="E136" s="2857">
        <v>0.1</v>
      </c>
      <c r="F136" s="2857">
        <v>15</v>
      </c>
    </row>
    <row r="137" spans="1:6" ht="24">
      <c r="A137" s="2857">
        <v>65</v>
      </c>
      <c r="B137" s="2857" t="s">
        <v>2793</v>
      </c>
      <c r="C137" s="2857" t="s">
        <v>2794</v>
      </c>
      <c r="D137" s="2831" t="s">
        <v>2795</v>
      </c>
      <c r="E137" s="2857">
        <v>0.1</v>
      </c>
      <c r="F137" s="2857">
        <v>15</v>
      </c>
    </row>
    <row r="138" spans="1:6" ht="14.4">
      <c r="A138" s="2857"/>
      <c r="B138" s="2857"/>
      <c r="C138" s="2857"/>
      <c r="D138" s="2857"/>
      <c r="E138" s="2857" t="s">
        <v>2796</v>
      </c>
      <c r="F138" s="2857"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1"/>
      <c r="B4" s="3166" t="s">
        <v>917</v>
      </c>
      <c r="C4" s="3166"/>
      <c r="D4" s="3166"/>
      <c r="E4" s="1391"/>
    </row>
    <row r="5" spans="1:5" ht="16.2" thickTop="1">
      <c r="B5" s="3164" t="s">
        <v>909</v>
      </c>
      <c r="C5" s="1392" t="s">
        <v>910</v>
      </c>
      <c r="D5" s="797">
        <f ca="1">结果表!H101</f>
        <v>171</v>
      </c>
    </row>
    <row r="6" spans="1:5" ht="15.6">
      <c r="B6" s="3164"/>
      <c r="C6" s="1392" t="s">
        <v>911</v>
      </c>
      <c r="D6" s="797" t="str">
        <f ca="1">NUMBERSTRING(INT(D5*10000),2)&amp;"元整"</f>
        <v>壹佰柒拾壹万元整</v>
      </c>
    </row>
    <row r="7" spans="1:5" ht="15.6">
      <c r="B7" s="3169"/>
      <c r="C7" s="1393" t="s">
        <v>912</v>
      </c>
      <c r="D7" s="798">
        <f ca="1">结果表!H102</f>
        <v>9421</v>
      </c>
    </row>
    <row r="8" spans="1:5" ht="15.6">
      <c r="B8" s="3170" t="str">
        <f>结果表!E103</f>
        <v>2.估价师知悉的法定优先受偿款</v>
      </c>
      <c r="C8" s="1394" t="s">
        <v>913</v>
      </c>
      <c r="D8" s="798">
        <f>结果表!H103</f>
        <v>0</v>
      </c>
    </row>
    <row r="9" spans="1:5" ht="15.6">
      <c r="B9" s="317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3" t="str">
        <f>结果表!E107</f>
        <v>3.房地产抵押价值</v>
      </c>
      <c r="C13" s="1397" t="s">
        <v>910</v>
      </c>
      <c r="D13" s="800">
        <f ca="1">结果表!H107</f>
        <v>171</v>
      </c>
    </row>
    <row r="14" spans="1:5" ht="15.6">
      <c r="B14" s="3164"/>
      <c r="C14" s="1392" t="s">
        <v>911</v>
      </c>
      <c r="D14" s="797" t="str">
        <f ca="1">NUMBERSTRING(INT(D13*10000),2)&amp;"元整"</f>
        <v>壹佰柒拾壹万元整</v>
      </c>
    </row>
    <row r="15" spans="1:5" ht="15.6">
      <c r="B15" s="3169"/>
      <c r="C15" s="1393" t="s">
        <v>921</v>
      </c>
      <c r="D15" s="806">
        <f ca="1">结果表!H108</f>
        <v>9421</v>
      </c>
    </row>
    <row r="16" spans="1:5" ht="15.6">
      <c r="B16" s="3170" t="str">
        <f>结果表!E109</f>
        <v>——</v>
      </c>
      <c r="C16" s="1397" t="s">
        <v>922</v>
      </c>
      <c r="D16" s="1398" t="str">
        <f>结果表!H109</f>
        <v>——</v>
      </c>
    </row>
    <row r="17" spans="1:5" ht="15.6">
      <c r="B17" s="3171"/>
      <c r="C17" s="1392" t="s">
        <v>923</v>
      </c>
      <c r="D17" s="797" t="e">
        <f>NUMBERSTRING(INT(D16*10000),2)&amp;"元整"</f>
        <v>#VALUE!</v>
      </c>
    </row>
    <row r="18" spans="1:5" ht="15.6">
      <c r="B18" s="3172"/>
      <c r="C18" s="1393" t="s">
        <v>912</v>
      </c>
      <c r="D18" s="806" t="str">
        <f>结果表!H110</f>
        <v>——</v>
      </c>
    </row>
    <row r="19" spans="1:5" ht="15.6">
      <c r="B19" s="3163" t="str">
        <f>结果表!E111</f>
        <v>——</v>
      </c>
      <c r="C19" s="1397" t="s">
        <v>910</v>
      </c>
      <c r="D19" s="798" t="str">
        <f>结果表!H111</f>
        <v>——</v>
      </c>
    </row>
    <row r="20" spans="1:5" ht="15.6">
      <c r="B20" s="3164"/>
      <c r="C20" s="1392" t="s">
        <v>923</v>
      </c>
      <c r="D20" s="797" t="e">
        <f>NUMBERSTRING(INT(D19*10000),2)&amp;"元整"</f>
        <v>#VALUE!</v>
      </c>
    </row>
    <row r="21" spans="1:5" ht="16.2" thickBot="1">
      <c r="B21" s="316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0.91539999999999999</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0.83330000000000004</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27662</v>
      </c>
      <c r="C2" s="2" t="s">
        <v>106</v>
      </c>
      <c r="D2" s="191"/>
      <c r="E2" s="191"/>
      <c r="F2" s="191"/>
      <c r="G2" s="191"/>
    </row>
    <row r="3" spans="1:7" s="192" customFormat="1" ht="18" customHeight="1" thickBot="1">
      <c r="A3" s="195" t="s">
        <v>58</v>
      </c>
      <c r="B3" s="196">
        <f ca="1">ROUND(B2*10000/'数据-汇总表'!E3,0)</f>
        <v>1520475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3</v>
      </c>
      <c r="D10" s="795">
        <f>'数据-汇总表'!E6</f>
        <v>181.93</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181.93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73</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181.93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43" t="s">
        <v>94</v>
      </c>
    </row>
    <row r="43" spans="1:7" ht="13.5" customHeight="1">
      <c r="A43" s="734" t="s">
        <v>347</v>
      </c>
      <c r="B43" s="207" t="s">
        <v>426</v>
      </c>
      <c r="C43" s="230">
        <f ca="1">ROUND(IF('数据-取费表'!B22&lt;=1,C39*F22*'数据-取费表'!B21/2,C39*(POWER((1+F22),'数据-取费表'!B21/2)-1)),0)</f>
        <v>0</v>
      </c>
      <c r="D43" s="230"/>
      <c r="E43" s="230"/>
      <c r="F43" s="231"/>
      <c r="G43" s="3344"/>
    </row>
    <row r="44" spans="1:7" ht="13.5" customHeight="1">
      <c r="A44" s="734" t="s">
        <v>348</v>
      </c>
      <c r="B44" s="207" t="s">
        <v>428</v>
      </c>
      <c r="C44" s="230">
        <f ca="1">ROUND(IF('数据-取费表'!B22&lt;=1,C40*F22*'数据-取费表'!B21/2,C40*(POWER((1+F22),'数据-取费表'!B21/2)-1)),4)</f>
        <v>5.9999999999999995E-4</v>
      </c>
      <c r="D44" s="230"/>
      <c r="E44" s="230"/>
      <c r="F44" s="231"/>
      <c r="G44" s="3345"/>
    </row>
    <row r="45" spans="1:7" s="206" customFormat="1" ht="13.5" customHeight="1">
      <c r="A45" s="731" t="s">
        <v>341</v>
      </c>
      <c r="B45" s="236" t="s">
        <v>85</v>
      </c>
      <c r="C45" s="237">
        <f>C46</f>
        <v>13</v>
      </c>
      <c r="D45" s="227">
        <f>C47</f>
        <v>3.0000000000000001E-3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107</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94</v>
      </c>
      <c r="D51" s="224"/>
      <c r="E51" s="224"/>
      <c r="F51" s="256"/>
      <c r="G51" s="226" t="s">
        <v>37</v>
      </c>
    </row>
    <row r="52" spans="1:7" s="200" customFormat="1" ht="16.8" thickBot="1">
      <c r="A52" s="257" t="s">
        <v>38</v>
      </c>
      <c r="B52" s="258"/>
      <c r="C52" s="259">
        <f ca="1">C31+C51</f>
        <v>27662</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78" t="s">
        <v>3180</v>
      </c>
      <c r="B1" s="3478"/>
    </row>
    <row r="2" spans="1:7" ht="15" thickBot="1">
      <c r="A2" s="2968"/>
      <c r="B2" s="2968"/>
    </row>
    <row r="3" spans="1:7" ht="15" thickBot="1">
      <c r="A3" s="2968"/>
      <c r="B3" s="2968"/>
      <c r="C3" s="2969" t="s">
        <v>2810</v>
      </c>
      <c r="D3" s="2969" t="s">
        <v>2866</v>
      </c>
      <c r="E3" s="2969" t="s">
        <v>2812</v>
      </c>
      <c r="F3" s="2969" t="s">
        <v>2867</v>
      </c>
      <c r="G3" s="2969" t="s">
        <v>2630</v>
      </c>
    </row>
    <row r="4" spans="1:7" ht="1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79" t="s">
        <v>3231</v>
      </c>
      <c r="B1" s="3479"/>
      <c r="C1" s="3479"/>
      <c r="D1" s="3479"/>
      <c r="E1" s="3479"/>
      <c r="F1" s="3480"/>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181.93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6"/>
      <c r="M4" s="2487"/>
      <c r="N4" s="2487"/>
      <c r="O4" s="2487"/>
      <c r="P4" s="3423" t="s">
        <v>1775</v>
      </c>
      <c r="Q4" s="3424"/>
      <c r="R4" s="3418" t="s">
        <v>1771</v>
      </c>
      <c r="S4" s="3419"/>
      <c r="T4" s="3418" t="s">
        <v>1772</v>
      </c>
      <c r="U4" s="3419"/>
      <c r="V4" s="3427" t="s">
        <v>1773</v>
      </c>
      <c r="W4" s="3427"/>
      <c r="X4" s="1809"/>
      <c r="Y4" s="3418" t="s">
        <v>1775</v>
      </c>
      <c r="Z4" s="3419"/>
      <c r="AA4" s="3417" t="s">
        <v>1771</v>
      </c>
      <c r="AB4" s="3417" t="s">
        <v>1772</v>
      </c>
      <c r="AC4" s="3420" t="s">
        <v>1773</v>
      </c>
    </row>
    <row r="5" spans="1:29">
      <c r="A5" s="348"/>
      <c r="B5" s="349"/>
      <c r="C5" s="3383" t="s">
        <v>1673</v>
      </c>
      <c r="D5" s="3384"/>
      <c r="E5" s="3381" t="s">
        <v>1674</v>
      </c>
      <c r="F5" s="3382"/>
      <c r="G5" s="3383" t="s">
        <v>1675</v>
      </c>
      <c r="H5" s="3384"/>
      <c r="I5" s="3383" t="s">
        <v>1676</v>
      </c>
      <c r="J5" s="3384"/>
      <c r="K5" s="537"/>
      <c r="L5" s="2486"/>
      <c r="M5" s="2487"/>
      <c r="N5" s="2487"/>
      <c r="O5" s="2487"/>
      <c r="P5" s="3425"/>
      <c r="Q5" s="3397"/>
      <c r="R5" s="3379"/>
      <c r="S5" s="3380"/>
      <c r="T5" s="3379"/>
      <c r="U5" s="3380"/>
      <c r="V5" s="3402"/>
      <c r="W5" s="3402"/>
      <c r="X5" s="1265"/>
      <c r="Y5" s="3379"/>
      <c r="Z5" s="3380"/>
      <c r="AA5" s="3373"/>
      <c r="AB5" s="3373"/>
      <c r="AC5" s="3421"/>
    </row>
    <row r="6" spans="1:29" ht="15" thickBot="1">
      <c r="A6" s="350"/>
      <c r="B6" s="351"/>
      <c r="C6" s="3385" t="s">
        <v>1677</v>
      </c>
      <c r="D6" s="3386"/>
      <c r="E6" s="3387" t="s">
        <v>1677</v>
      </c>
      <c r="F6" s="3388"/>
      <c r="G6" s="3385" t="s">
        <v>1677</v>
      </c>
      <c r="H6" s="3386"/>
      <c r="I6" s="3385" t="s">
        <v>1677</v>
      </c>
      <c r="J6" s="3386"/>
      <c r="K6" s="537" t="s">
        <v>1678</v>
      </c>
      <c r="L6" s="2486"/>
      <c r="M6" s="2487"/>
      <c r="N6" s="2487"/>
      <c r="O6" s="2487"/>
      <c r="P6" s="3426"/>
      <c r="Q6" s="3399"/>
      <c r="R6" s="3379"/>
      <c r="S6" s="3380"/>
      <c r="T6" s="3400"/>
      <c r="U6" s="3401"/>
      <c r="V6" s="3402"/>
      <c r="W6" s="3402"/>
      <c r="X6" s="1265"/>
      <c r="Y6" s="3400"/>
      <c r="Z6" s="3401"/>
      <c r="AA6" s="3374"/>
      <c r="AB6" s="3374"/>
      <c r="AC6" s="3422"/>
    </row>
    <row r="7" spans="1:29" s="102" customFormat="1" ht="15" thickBot="1">
      <c r="A7" s="352" t="s">
        <v>1679</v>
      </c>
      <c r="B7" s="353"/>
      <c r="C7" s="354">
        <f>'数据-取费表'!B2</f>
        <v>45841</v>
      </c>
      <c r="D7" s="355">
        <v>100</v>
      </c>
      <c r="E7" s="356"/>
      <c r="F7" s="357">
        <f>SUMIF(59:59,YEAR(E7)&amp;"-"&amp;MONTH(E7),60:60)</f>
        <v>0</v>
      </c>
      <c r="G7" s="356"/>
      <c r="H7" s="355">
        <f>SUMIF(59:59,YEAR(G7)&amp;"-"&amp;MONTH(G7),60:60)</f>
        <v>0</v>
      </c>
      <c r="I7" s="356"/>
      <c r="J7" s="355">
        <f>SUMIF(59:59,YEAR(I7)&amp;"-"&amp;MONTH(I7),60:60)</f>
        <v>0</v>
      </c>
      <c r="K7" s="38"/>
      <c r="L7" s="2488"/>
      <c r="M7" s="2440"/>
      <c r="N7" s="2440"/>
      <c r="O7" s="2440"/>
      <c r="P7" s="3428" t="s">
        <v>1680</v>
      </c>
      <c r="Q7" s="3403"/>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28" t="s">
        <v>1683</v>
      </c>
      <c r="Q8" s="3376"/>
      <c r="R8" s="664" t="s">
        <v>14</v>
      </c>
      <c r="S8" s="665">
        <f t="shared" si="0"/>
        <v>100</v>
      </c>
      <c r="T8" s="664" t="s">
        <v>14</v>
      </c>
      <c r="U8" s="665">
        <f t="shared" si="1"/>
        <v>100</v>
      </c>
      <c r="V8" s="664" t="s">
        <v>14</v>
      </c>
      <c r="W8" s="665">
        <f t="shared" si="2"/>
        <v>100</v>
      </c>
      <c r="X8" s="666"/>
      <c r="Y8" s="3375" t="s">
        <v>1683</v>
      </c>
      <c r="Z8" s="337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319"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9"/>
      <c r="Q10" s="530" t="str">
        <f t="shared" si="6"/>
        <v>土地使用年限（年）</v>
      </c>
      <c r="R10" s="664" t="s">
        <v>14</v>
      </c>
      <c r="S10" s="665">
        <f t="shared" si="0"/>
        <v>100</v>
      </c>
      <c r="T10" s="664" t="s">
        <v>14</v>
      </c>
      <c r="U10" s="665">
        <f t="shared" si="1"/>
        <v>100</v>
      </c>
      <c r="V10" s="664" t="s">
        <v>14</v>
      </c>
      <c r="W10" s="665">
        <f t="shared" si="2"/>
        <v>100</v>
      </c>
      <c r="X10" s="666"/>
      <c r="Y10" s="331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9"/>
      <c r="Q11" s="530" t="str">
        <f t="shared" si="6"/>
        <v>容积率</v>
      </c>
      <c r="R11" s="664" t="s">
        <v>14</v>
      </c>
      <c r="S11" s="665">
        <f t="shared" si="0"/>
        <v>100</v>
      </c>
      <c r="T11" s="664" t="s">
        <v>14</v>
      </c>
      <c r="U11" s="665">
        <f t="shared" si="1"/>
        <v>100</v>
      </c>
      <c r="V11" s="664" t="s">
        <v>14</v>
      </c>
      <c r="W11" s="665">
        <f t="shared" si="2"/>
        <v>100</v>
      </c>
      <c r="X11" s="666"/>
      <c r="Y11" s="331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89"/>
      <c r="Q12" s="530">
        <f t="shared" si="6"/>
        <v>111</v>
      </c>
      <c r="R12" s="664" t="s">
        <v>14</v>
      </c>
      <c r="S12" s="665">
        <f t="shared" si="0"/>
        <v>100</v>
      </c>
      <c r="T12" s="664" t="s">
        <v>14</v>
      </c>
      <c r="U12" s="665">
        <f t="shared" si="1"/>
        <v>100</v>
      </c>
      <c r="V12" s="664" t="s">
        <v>14</v>
      </c>
      <c r="W12" s="665">
        <f t="shared" si="2"/>
        <v>100</v>
      </c>
      <c r="X12" s="666"/>
      <c r="Y12" s="331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89"/>
      <c r="Q13" s="530">
        <f t="shared" si="6"/>
        <v>111</v>
      </c>
      <c r="R13" s="664" t="s">
        <v>14</v>
      </c>
      <c r="S13" s="665">
        <f t="shared" si="0"/>
        <v>100</v>
      </c>
      <c r="T13" s="664" t="s">
        <v>14</v>
      </c>
      <c r="U13" s="665">
        <f t="shared" si="1"/>
        <v>100</v>
      </c>
      <c r="V13" s="664" t="s">
        <v>14</v>
      </c>
      <c r="W13" s="665">
        <f t="shared" si="2"/>
        <v>100</v>
      </c>
      <c r="X13" s="666"/>
      <c r="Y13" s="331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89"/>
      <c r="Q14" s="530">
        <f t="shared" si="6"/>
        <v>111</v>
      </c>
      <c r="R14" s="664" t="s">
        <v>14</v>
      </c>
      <c r="S14" s="665">
        <f t="shared" si="0"/>
        <v>100</v>
      </c>
      <c r="T14" s="664" t="s">
        <v>14</v>
      </c>
      <c r="U14" s="665">
        <f t="shared" si="1"/>
        <v>100</v>
      </c>
      <c r="V14" s="664" t="s">
        <v>14</v>
      </c>
      <c r="W14" s="665">
        <f t="shared" si="2"/>
        <v>100</v>
      </c>
      <c r="X14" s="666"/>
      <c r="Y14" s="331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5"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16"/>
      <c r="Q16" s="1263"/>
      <c r="R16" s="667"/>
      <c r="S16" s="668"/>
      <c r="T16" s="667"/>
      <c r="U16" s="668"/>
      <c r="V16" s="667"/>
      <c r="W16" s="668"/>
      <c r="X16" s="1265"/>
      <c r="Y16" s="340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6"/>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16"/>
      <c r="Q18" s="1263"/>
      <c r="R18" s="667"/>
      <c r="S18" s="668"/>
      <c r="T18" s="667"/>
      <c r="U18" s="668"/>
      <c r="V18" s="667"/>
      <c r="W18" s="668"/>
      <c r="X18" s="1265"/>
      <c r="Y18" s="340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6"/>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16"/>
      <c r="Q20" s="1263"/>
      <c r="R20" s="667"/>
      <c r="S20" s="668"/>
      <c r="T20" s="667"/>
      <c r="U20" s="668"/>
      <c r="V20" s="667"/>
      <c r="W20" s="668"/>
      <c r="X20" s="1265"/>
      <c r="Y20" s="340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6"/>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16"/>
      <c r="Q22" s="1263"/>
      <c r="R22" s="667"/>
      <c r="S22" s="668"/>
      <c r="T22" s="667"/>
      <c r="U22" s="668"/>
      <c r="V22" s="667"/>
      <c r="W22" s="668"/>
      <c r="X22" s="1265"/>
      <c r="Y22" s="340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6"/>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16"/>
      <c r="Q24" s="1263"/>
      <c r="R24" s="667"/>
      <c r="S24" s="668"/>
      <c r="T24" s="667"/>
      <c r="U24" s="668"/>
      <c r="V24" s="667"/>
      <c r="W24" s="668"/>
      <c r="X24" s="1265"/>
      <c r="Y24" s="340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6"/>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16"/>
      <c r="Q26" s="1263"/>
      <c r="R26" s="667"/>
      <c r="S26" s="668"/>
      <c r="T26" s="667"/>
      <c r="U26" s="668"/>
      <c r="V26" s="667"/>
      <c r="W26" s="668"/>
      <c r="X26" s="1265"/>
      <c r="Y26" s="340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6"/>
      <c r="Q27" s="1263" t="str">
        <f t="shared" ref="Q27:Q47" si="11">B27</f>
        <v>楼层</v>
      </c>
      <c r="R27" s="667" t="s">
        <v>14</v>
      </c>
      <c r="S27" s="668">
        <f>F27</f>
        <v>100</v>
      </c>
      <c r="T27" s="667" t="s">
        <v>14</v>
      </c>
      <c r="U27" s="668">
        <f>H27</f>
        <v>100</v>
      </c>
      <c r="V27" s="667" t="s">
        <v>14</v>
      </c>
      <c r="W27" s="668">
        <f>J27</f>
        <v>100</v>
      </c>
      <c r="X27" s="1265"/>
      <c r="Y27" s="340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16"/>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6"/>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6"/>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6"/>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6"/>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1"/>
      <c r="Q34" s="531" t="str">
        <f t="shared" si="11"/>
        <v>项目建筑规模</v>
      </c>
      <c r="R34" s="669" t="s">
        <v>14</v>
      </c>
      <c r="S34" s="670" t="e">
        <f t="shared" si="12"/>
        <v>#N/A</v>
      </c>
      <c r="T34" s="669" t="s">
        <v>14</v>
      </c>
      <c r="U34" s="670" t="e">
        <f t="shared" si="13"/>
        <v>#N/A</v>
      </c>
      <c r="V34" s="669" t="s">
        <v>14</v>
      </c>
      <c r="W34" s="670" t="e">
        <f t="shared" si="14"/>
        <v>#N/A</v>
      </c>
      <c r="X34" s="671"/>
      <c r="Y34" s="341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1"/>
      <c r="Q37" s="1263" t="str">
        <f t="shared" si="11"/>
        <v>成新度</v>
      </c>
      <c r="R37" s="667" t="s">
        <v>14</v>
      </c>
      <c r="S37" s="668" t="e">
        <f t="shared" si="12"/>
        <v>#N/A</v>
      </c>
      <c r="T37" s="667" t="s">
        <v>14</v>
      </c>
      <c r="U37" s="668" t="e">
        <f t="shared" si="13"/>
        <v>#N/A</v>
      </c>
      <c r="V37" s="667" t="s">
        <v>14</v>
      </c>
      <c r="W37" s="668" t="e">
        <f t="shared" si="14"/>
        <v>#N/A</v>
      </c>
      <c r="X37" s="1265"/>
      <c r="Y37" s="341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89" t="str">
        <f>A48</f>
        <v>成交单价（元/平方米）</v>
      </c>
      <c r="Q48" s="3407"/>
      <c r="R48" s="3402">
        <f>E48</f>
        <v>0</v>
      </c>
      <c r="S48" s="3402"/>
      <c r="T48" s="3402">
        <f>G48</f>
        <v>0</v>
      </c>
      <c r="U48" s="3402"/>
      <c r="V48" s="3402">
        <f>I48</f>
        <v>0</v>
      </c>
      <c r="W48" s="3402"/>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4"/>
      <c r="M49" s="2487"/>
      <c r="N49" s="2487"/>
      <c r="O49" s="2487"/>
      <c r="P49" s="3389" t="str">
        <f>A49</f>
        <v>比较价值（元/平方米）</v>
      </c>
      <c r="Q49" s="340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45841</v>
      </c>
      <c r="B1" s="2929" t="s">
        <v>3376</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44" s="2010" customFormat="1" ht="1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c r="AF2" t="s">
        <v>3403</v>
      </c>
      <c r="AG2" t="s">
        <v>673</v>
      </c>
      <c r="AH2" t="s">
        <v>21</v>
      </c>
      <c r="AI2" t="s">
        <v>3404</v>
      </c>
      <c r="AJ2" t="s">
        <v>3</v>
      </c>
      <c r="AK2" t="s">
        <v>3405</v>
      </c>
      <c r="AM2" t="s">
        <v>3403</v>
      </c>
      <c r="AN2" t="s">
        <v>673</v>
      </c>
      <c r="AO2" t="s">
        <v>21</v>
      </c>
      <c r="AP2" t="s">
        <v>3404</v>
      </c>
      <c r="AQ2" t="s">
        <v>3</v>
      </c>
      <c r="AR2" t="s">
        <v>3405</v>
      </c>
    </row>
    <row r="3" spans="1:44" s="2886" customFormat="1" ht="13.2">
      <c r="A3" s="2884" t="s">
        <v>2818</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3402</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3401</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3400</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3408</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3407</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2819</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2820</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2821</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2822</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2823</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3379</v>
      </c>
    </row>
    <row r="27" spans="1:44">
      <c r="I27" s="1405" t="s">
        <v>2824</v>
      </c>
    </row>
    <row r="29" spans="1:44" s="2009" customFormat="1" ht="13.2">
      <c r="B29" s="2929" t="s">
        <v>3377</v>
      </c>
      <c r="C29" s="2930"/>
      <c r="D29" s="2930"/>
      <c r="E29" s="2930"/>
      <c r="F29" s="2930"/>
      <c r="G29" s="2930"/>
      <c r="H29" s="2930"/>
      <c r="I29" s="2930"/>
      <c r="J29" s="2896"/>
      <c r="K29" s="2930" t="s">
        <v>2825</v>
      </c>
      <c r="L29" s="2930"/>
      <c r="M29" s="2930"/>
      <c r="N29" s="2930"/>
      <c r="O29" s="2930"/>
      <c r="P29" s="2930"/>
      <c r="Q29" s="2896"/>
      <c r="R29" s="3481" t="s">
        <v>2826</v>
      </c>
      <c r="S29" s="3482"/>
      <c r="T29" s="3482"/>
      <c r="U29" s="3482"/>
      <c r="V29" s="3482"/>
      <c r="W29" s="3482"/>
      <c r="X29" s="2896"/>
      <c r="Y29" s="3481" t="s">
        <v>2827</v>
      </c>
      <c r="Z29" s="3482"/>
      <c r="AA29" s="3482"/>
      <c r="AB29" s="3482"/>
      <c r="AC29" s="3482"/>
      <c r="AD29" s="3482"/>
    </row>
    <row r="30" spans="1:44" s="2010" customFormat="1" ht="15" thickBot="1">
      <c r="B30" s="2881"/>
      <c r="C30" s="2882"/>
      <c r="D30" s="2011" t="s">
        <v>2828</v>
      </c>
      <c r="E30" s="2012" t="s">
        <v>2829</v>
      </c>
      <c r="F30" s="2012" t="s">
        <v>2830</v>
      </c>
      <c r="G30" s="2012" t="s">
        <v>2831</v>
      </c>
      <c r="H30" s="2012"/>
      <c r="I30" s="2012" t="s">
        <v>2832</v>
      </c>
      <c r="J30" s="2883"/>
      <c r="K30" s="2011" t="s">
        <v>2828</v>
      </c>
      <c r="L30" s="2012" t="s">
        <v>2829</v>
      </c>
      <c r="M30" s="2012" t="s">
        <v>2830</v>
      </c>
      <c r="N30" s="2012" t="s">
        <v>2831</v>
      </c>
      <c r="O30" s="2012"/>
      <c r="P30" s="2012" t="s">
        <v>2832</v>
      </c>
      <c r="Q30" s="2883"/>
      <c r="R30" s="2011" t="s">
        <v>2828</v>
      </c>
      <c r="S30" s="2012" t="s">
        <v>2829</v>
      </c>
      <c r="T30" s="2012" t="s">
        <v>2830</v>
      </c>
      <c r="U30" s="2012" t="s">
        <v>2831</v>
      </c>
      <c r="V30" s="2012"/>
      <c r="W30" s="2012" t="s">
        <v>2832</v>
      </c>
      <c r="X30" s="2883"/>
      <c r="Y30" s="2011" t="s">
        <v>2828</v>
      </c>
      <c r="Z30" s="2012" t="s">
        <v>2829</v>
      </c>
      <c r="AA30" s="2012" t="s">
        <v>2830</v>
      </c>
      <c r="AB30" s="2012" t="s">
        <v>2831</v>
      </c>
      <c r="AC30" s="2012"/>
      <c r="AD30" s="2012" t="s">
        <v>2832</v>
      </c>
      <c r="AG30" t="s">
        <v>673</v>
      </c>
      <c r="AH30" t="s">
        <v>21</v>
      </c>
      <c r="AI30" t="s">
        <v>3404</v>
      </c>
      <c r="AJ30"/>
      <c r="AK30" t="s">
        <v>3405</v>
      </c>
      <c r="AN30" t="s">
        <v>673</v>
      </c>
      <c r="AO30" t="s">
        <v>21</v>
      </c>
      <c r="AP30" t="s">
        <v>3404</v>
      </c>
      <c r="AQ30"/>
      <c r="AR30" t="s">
        <v>3405</v>
      </c>
    </row>
    <row r="31" spans="1:44" s="2886" customFormat="1" ht="13.2">
      <c r="A31" s="2884" t="s">
        <v>2833</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3402</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3401</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3409</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3406</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3407</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2834</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2835</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2836</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2837</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2823</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4" t="s">
        <v>2838</v>
      </c>
      <c r="B1" s="3494"/>
      <c r="C1" s="3494"/>
      <c r="D1" s="3494"/>
      <c r="E1" s="3494"/>
      <c r="F1" s="3494"/>
      <c r="G1" s="3495"/>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1.4"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92"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1.4" thickBot="1">
      <c r="A4" s="3493"/>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1.4"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1.4"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1.4"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1.4"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45841</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6">
      <c r="A3" s="3175"/>
      <c r="B3" s="3175"/>
      <c r="C3" s="3175"/>
      <c r="D3" s="801" t="s">
        <v>925</v>
      </c>
      <c r="E3" s="801" t="s">
        <v>931</v>
      </c>
      <c r="F3" s="801" t="s">
        <v>925</v>
      </c>
      <c r="G3" s="801" t="s">
        <v>926</v>
      </c>
      <c r="H3" s="801" t="s">
        <v>925</v>
      </c>
      <c r="I3" s="801" t="s">
        <v>926</v>
      </c>
    </row>
    <row r="4" spans="1:9" ht="15">
      <c r="A4" s="1403" t="str">
        <f>项目基本情况!S2</f>
        <v>北京市密云区滨河路178号院3号楼房地产</v>
      </c>
      <c r="B4" s="801">
        <f>项目基本情况!C17</f>
        <v>181.93</v>
      </c>
      <c r="C4" s="801">
        <f>项目基本情况!C18</f>
        <v>0</v>
      </c>
      <c r="D4" s="801">
        <f>结果表!D118</f>
        <v>0</v>
      </c>
      <c r="E4" s="801">
        <f>结果表!E118</f>
        <v>0</v>
      </c>
      <c r="F4" s="801">
        <f>结果表!F118</f>
        <v>0</v>
      </c>
      <c r="G4" s="801">
        <f>结果表!G118</f>
        <v>0</v>
      </c>
      <c r="H4" s="801">
        <f ca="1">结果表!H118</f>
        <v>171</v>
      </c>
      <c r="I4" s="801">
        <f ca="1">结果表!I118</f>
        <v>9421</v>
      </c>
    </row>
    <row r="5" spans="1:9" ht="30" customHeight="1">
      <c r="A5" s="3175" t="s">
        <v>927</v>
      </c>
      <c r="B5" s="3175"/>
      <c r="C5" s="3175"/>
      <c r="D5" s="3175" t="str">
        <f>结果表!D119</f>
        <v>零元整</v>
      </c>
      <c r="E5" s="3175"/>
      <c r="F5" s="3175" t="str">
        <f>结果表!F119</f>
        <v>零元整</v>
      </c>
      <c r="G5" s="3175"/>
      <c r="H5" s="3175" t="str">
        <f ca="1">结果表!H119</f>
        <v>壹佰柒拾壹万元整</v>
      </c>
      <c r="I5" s="3175"/>
    </row>
    <row r="6" spans="1:9" ht="15.6">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6">
      <c r="A8" s="3176" t="str">
        <f>结果表!A122</f>
        <v>房地产抵押价值</v>
      </c>
      <c r="B8" s="3176"/>
      <c r="C8" s="3176"/>
      <c r="D8" s="3176">
        <f ca="1">结果表!D122</f>
        <v>171</v>
      </c>
      <c r="E8" s="3176"/>
      <c r="F8" s="3176"/>
      <c r="G8" s="3176"/>
      <c r="H8" s="3176"/>
      <c r="I8" s="3176"/>
    </row>
    <row r="9" spans="1:9" ht="15">
      <c r="A9" s="3175" t="s">
        <v>927</v>
      </c>
      <c r="B9" s="3175"/>
      <c r="C9" s="3175"/>
      <c r="D9" s="3175" t="str">
        <f ca="1">结果表!D123</f>
        <v>壹佰柒拾壹万元整</v>
      </c>
      <c r="E9" s="3175"/>
      <c r="F9" s="3175"/>
      <c r="G9" s="3175"/>
      <c r="H9" s="3175"/>
      <c r="I9" s="3175"/>
    </row>
    <row r="10" spans="1:9" ht="15.6">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6">
      <c r="A12" s="3176" t="str">
        <f>结果表!A126</f>
        <v/>
      </c>
      <c r="B12" s="3176"/>
      <c r="C12" s="3176"/>
      <c r="D12" s="3176" t="str">
        <f>结果表!D126</f>
        <v>——</v>
      </c>
      <c r="E12" s="3176"/>
      <c r="F12" s="3176"/>
      <c r="G12" s="3176"/>
      <c r="H12" s="3176"/>
      <c r="I12" s="3176"/>
    </row>
    <row r="13" spans="1:9" ht="15.6" thickBot="1">
      <c r="A13" s="3180" t="s">
        <v>927</v>
      </c>
      <c r="B13" s="3180"/>
      <c r="C13" s="3180"/>
      <c r="D13" s="3180" t="e">
        <f>结果表!D127</f>
        <v>#VALUE!</v>
      </c>
      <c r="E13" s="3180"/>
      <c r="F13" s="3180"/>
      <c r="G13" s="3180"/>
      <c r="H13" s="3180"/>
      <c r="I13" s="3180"/>
    </row>
    <row r="14" spans="1:9" ht="14.4" thickTop="1">
      <c r="A14" s="3181" t="s">
        <v>932</v>
      </c>
      <c r="B14" s="3181"/>
      <c r="C14" s="3181"/>
      <c r="D14" s="3181"/>
      <c r="E14" s="3181"/>
      <c r="F14" s="3181"/>
      <c r="G14" s="3181"/>
      <c r="H14" s="3181"/>
      <c r="I14" s="318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2" t="s">
        <v>949</v>
      </c>
      <c r="B1" s="3182"/>
      <c r="C1" s="3182"/>
      <c r="D1" s="3182"/>
    </row>
    <row r="2" spans="1:4" ht="17.399999999999999">
      <c r="A2" s="3183" t="s">
        <v>933</v>
      </c>
      <c r="B2" s="3183"/>
      <c r="C2" s="3183"/>
      <c r="D2" s="318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3" t="s">
        <v>939</v>
      </c>
      <c r="B6" s="3183"/>
      <c r="C6" s="3183"/>
      <c r="D6" s="318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4"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6" t="s">
        <v>956</v>
      </c>
      <c r="B15" s="3191" t="s">
        <v>109</v>
      </c>
      <c r="C15" s="3192"/>
    </row>
    <row r="16" spans="1:7" ht="14.4">
      <c r="A16" s="3197"/>
      <c r="B16" s="3191" t="s">
        <v>42</v>
      </c>
      <c r="C16" s="3192"/>
    </row>
    <row r="17" spans="1:3" ht="14.4">
      <c r="A17" s="3197"/>
      <c r="B17" s="3194" t="s">
        <v>957</v>
      </c>
      <c r="C17" s="1429" t="s">
        <v>956</v>
      </c>
    </row>
    <row r="18" spans="1:3" ht="14.4">
      <c r="A18" s="3197"/>
      <c r="B18" s="3194"/>
      <c r="C18" s="1429" t="s">
        <v>958</v>
      </c>
    </row>
    <row r="19" spans="1:3" ht="14.4">
      <c r="A19" s="3197"/>
      <c r="B19" s="3194"/>
      <c r="C19" s="1429" t="s">
        <v>959</v>
      </c>
    </row>
    <row r="20" spans="1:3" ht="14.4">
      <c r="A20" s="3198"/>
      <c r="B20" s="3193" t="s">
        <v>960</v>
      </c>
      <c r="C20" s="3192"/>
    </row>
    <row r="21" spans="1:3" ht="14.4">
      <c r="A21" s="1430" t="s">
        <v>961</v>
      </c>
      <c r="B21" s="1431"/>
      <c r="C21" s="1432"/>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9" t="s">
        <v>967</v>
      </c>
    </row>
    <row r="26" spans="1:3" ht="14.4">
      <c r="A26" s="3195"/>
      <c r="B26" s="3194"/>
      <c r="C26" s="1429" t="s">
        <v>968</v>
      </c>
    </row>
    <row r="27" spans="1:3" ht="14.4">
      <c r="A27" s="3195"/>
      <c r="B27" s="3194"/>
      <c r="C27" s="1429" t="s">
        <v>969</v>
      </c>
    </row>
    <row r="28" spans="1:3" ht="14.4">
      <c r="A28" s="3195"/>
      <c r="B28" s="3194"/>
      <c r="C28" s="1429" t="s">
        <v>970</v>
      </c>
    </row>
    <row r="29" spans="1:3" ht="14.4">
      <c r="A29" s="3195"/>
      <c r="B29" s="3194"/>
      <c r="C29" s="1429" t="s">
        <v>971</v>
      </c>
    </row>
    <row r="30" spans="1:3" ht="14.4">
      <c r="A30" s="3195"/>
      <c r="B30" s="3194"/>
      <c r="C30" s="1429" t="s">
        <v>972</v>
      </c>
    </row>
    <row r="31" spans="1:3" ht="14.4">
      <c r="A31" s="3195"/>
      <c r="B31" s="3194"/>
      <c r="C31" s="1429" t="s">
        <v>973</v>
      </c>
    </row>
    <row r="32" spans="1:3" ht="14.4">
      <c r="A32" s="3195"/>
      <c r="B32" s="3194"/>
      <c r="C32" s="1429" t="s">
        <v>974</v>
      </c>
    </row>
    <row r="33" spans="1:3" ht="14.4">
      <c r="A33" s="3195"/>
      <c r="B33" s="319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45841</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2159</v>
      </c>
      <c r="B17" s="3199"/>
      <c r="C17" s="3199"/>
      <c r="D17" s="3199"/>
      <c r="E17" s="3199"/>
      <c r="F17" s="3199"/>
      <c r="G17" s="3199"/>
      <c r="H17" s="3199"/>
    </row>
    <row r="18" spans="1:8" ht="24" customHeight="1">
      <c r="A18" s="3200" t="s">
        <v>2160</v>
      </c>
      <c r="B18" s="3200"/>
      <c r="C18" s="3200"/>
      <c r="D18" s="2160"/>
      <c r="E18" s="3201" t="s">
        <v>2161</v>
      </c>
      <c r="F18" s="3200"/>
      <c r="G18" s="3200"/>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收益法 (元)</vt:lpstr>
      <vt:lpstr>典型户型修正</vt:lpstr>
      <vt:lpstr>面积信息</vt:lpstr>
      <vt:lpstr>案例</vt:lpstr>
      <vt:lpstr>Sheet3</vt:lpstr>
      <vt:lpstr>修正</vt:lpstr>
      <vt:lpstr>容积率修正</vt:lpstr>
      <vt:lpstr>成本法（废）</vt:lpstr>
      <vt:lpstr>因素修正幅度</vt:lpstr>
      <vt:lpstr>区片价（范围）</vt:lpstr>
      <vt:lpstr>比较法-办公</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2025-07-03T05:33:26Z</dcterms:modified>
</cp:coreProperties>
</file>