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23256" windowHeight="12576" tabRatio="875" firstSheet="12"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Sheet3" sheetId="74" r:id="rId14"/>
    <sheet name="数据-汇总表" sheetId="6" r:id="rId15"/>
    <sheet name="数据-取费表" sheetId="1" r:id="rId16"/>
    <sheet name="估价对象房地状况" sheetId="20" r:id="rId17"/>
    <sheet name="系统读取表" sheetId="66" r:id="rId18"/>
    <sheet name="结果表" sheetId="9" r:id="rId19"/>
    <sheet name="剩余法-现房" sheetId="43" state="hidden" r:id="rId20"/>
    <sheet name="比较法-住宅、综合 (2)" sheetId="71" r:id="rId21"/>
    <sheet name="比较法-住宅、综合" sheetId="39"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土地案例" sheetId="70" state="hidden" r:id="rId32"/>
    <sheet name="Sheet0" sheetId="69" r:id="rId33"/>
    <sheet name="剩余法-待开发" sheetId="12" r:id="rId34"/>
    <sheet name="不动产收益法" sheetId="15" r:id="rId35"/>
    <sheet name="酒店收入计算" sheetId="57" state="hidden" r:id="rId36"/>
    <sheet name="成本逼近法" sheetId="11" state="hidden" r:id="rId37"/>
    <sheet name="不动产比较法-住宅" sheetId="21" r:id="rId38"/>
    <sheet name="Sheet1" sheetId="72" r:id="rId39"/>
    <sheet name="Sheet2" sheetId="73"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definedNames>
    <definedName name="_xlnm._FilterDatabase" localSheetId="22" hidden="1">'比较法-工业'!$A$1:$L$45</definedName>
    <definedName name="_xlnm._FilterDatabase" localSheetId="21" hidden="1">'比较法-住宅、综合'!$A$1:$L$50</definedName>
    <definedName name="_xlnm._FilterDatabase" localSheetId="20" hidden="1">'比较法-住宅、综合 (2)'!$A$1:$L$50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20">'比较法-住宅、综合 (2)'!$A$75:$M$75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20">'比较法-住宅、综合 (2)'!$B$108:$M$108</definedName>
    <definedName name="套综道路等级">'比较法-住宅、综合'!$B$108:$M$108</definedName>
    <definedName name="套综工程地质条件" localSheetId="20">'比较法-住宅、综合 (2)'!$B$127:$M$127</definedName>
    <definedName name="套综工程地质条件">'比较法-住宅、综合'!$B$127:$M$127</definedName>
    <definedName name="套综交易情况" localSheetId="20">'比较法-住宅、综合 (2)'!$A$75:$M$75</definedName>
    <definedName name="套综交易情况">'比较法-住宅、综合'!$A$75:$M$75</definedName>
    <definedName name="套综临街宽度及深度" localSheetId="20">'比较法-住宅、综合 (2)'!$B$123:$M$123</definedName>
    <definedName name="套综临街宽度及深度">'比较法-住宅、综合'!$B$123:$M$123</definedName>
    <definedName name="套综土地级别" localSheetId="20">'比较法-住宅、综合 (2)'!$B$110:$M$110</definedName>
    <definedName name="套综土地级别">'比较法-住宅、综合'!$B$110:$M$110</definedName>
    <definedName name="套综用途" localSheetId="20">'比较法-住宅、综合 (2)'!$B$77:$M$77</definedName>
    <definedName name="套综用途">'比较法-住宅、综合'!$B$77:$M$77</definedName>
    <definedName name="套综宗地内开发程度" localSheetId="20">'比较法-住宅、综合 (2)'!$B$125:$M$125</definedName>
    <definedName name="套综宗地内开发程度">'比较法-住宅、综合'!$B$125:$M$125</definedName>
    <definedName name="套综宗地形状" localSheetId="20">'比较法-住宅、综合 (2)'!$B$121:$M$121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50" i="21" l="1"/>
  <c r="P34" i="69"/>
  <c r="P33" i="69"/>
  <c r="P32" i="69"/>
  <c r="P31" i="69"/>
  <c r="P30" i="69"/>
  <c r="P29" i="69"/>
  <c r="P28" i="69"/>
  <c r="P27" i="69"/>
  <c r="P26" i="69"/>
  <c r="P25" i="69"/>
  <c r="P24" i="69"/>
  <c r="P23" i="69"/>
  <c r="P22" i="69"/>
  <c r="P21" i="69"/>
  <c r="P20" i="69"/>
  <c r="P19" i="69"/>
  <c r="P18" i="69"/>
  <c r="P17" i="69"/>
  <c r="P16" i="69"/>
  <c r="P15" i="69"/>
  <c r="P14" i="69"/>
  <c r="P13" i="69"/>
  <c r="P12" i="69"/>
  <c r="P11" i="69"/>
  <c r="P10" i="69"/>
  <c r="P9" i="69"/>
  <c r="P8" i="69"/>
  <c r="P7" i="69"/>
  <c r="P6" i="69"/>
  <c r="P5" i="69"/>
  <c r="P4" i="69"/>
  <c r="P3" i="69"/>
  <c r="P2" i="69"/>
  <c r="Q16" i="1"/>
  <c r="Q18" i="1"/>
  <c r="L9" i="12"/>
  <c r="L19" i="1"/>
  <c r="M19" i="1"/>
  <c r="M20" i="1"/>
  <c r="M22" i="1"/>
  <c r="L22" i="1"/>
  <c r="M21" i="1"/>
  <c r="L21" i="1"/>
  <c r="K21" i="1"/>
  <c r="K19" i="1"/>
  <c r="M18" i="1"/>
  <c r="K18" i="1"/>
  <c r="F6" i="15"/>
  <c r="F8" i="15"/>
  <c r="F7" i="15"/>
  <c r="F9" i="15"/>
  <c r="C6" i="15"/>
  <c r="C32" i="15"/>
  <c r="C33" i="15"/>
  <c r="F35" i="15"/>
  <c r="C34" i="15"/>
  <c r="C31" i="15"/>
  <c r="M10" i="74"/>
  <c r="M9" i="74"/>
  <c r="M8" i="74"/>
  <c r="A13" i="3"/>
  <c r="D33" i="68"/>
  <c r="A3" i="3"/>
  <c r="L10" i="74"/>
  <c r="L11" i="74"/>
  <c r="D54" i="73"/>
  <c r="AD15" i="3"/>
  <c r="BM15" i="3"/>
  <c r="BL15" i="3"/>
  <c r="AZ15" i="3"/>
  <c r="AZ5" i="3"/>
  <c r="E3" i="6"/>
  <c r="L38" i="9"/>
  <c r="B14" i="66"/>
  <c r="B1" i="66"/>
  <c r="F54" i="73"/>
  <c r="AC15" i="3"/>
  <c r="G15" i="3"/>
  <c r="G5" i="3"/>
  <c r="B3" i="3"/>
  <c r="AY6" i="3"/>
  <c r="D3" i="6"/>
  <c r="K38" i="9"/>
  <c r="C14" i="66"/>
  <c r="B2" i="66"/>
  <c r="E54" i="73"/>
  <c r="K7" i="1"/>
  <c r="N4" i="65"/>
  <c r="C4" i="65"/>
  <c r="B39" i="1"/>
  <c r="F11" i="15"/>
  <c r="C10" i="15"/>
  <c r="C5" i="15"/>
  <c r="BB15" i="3"/>
  <c r="BC15" i="3"/>
  <c r="BD15" i="3"/>
  <c r="BE15" i="3"/>
  <c r="BF15" i="3"/>
  <c r="BG15" i="3"/>
  <c r="BH15" i="3"/>
  <c r="BI15" i="3"/>
  <c r="BJ15" i="3"/>
  <c r="BK15" i="3"/>
  <c r="BA15" i="3"/>
  <c r="BN15" i="3"/>
  <c r="BO15" i="3"/>
  <c r="BP15" i="3"/>
  <c r="BQ15" i="3"/>
  <c r="BR15" i="3"/>
  <c r="BS15" i="3"/>
  <c r="BT15" i="3"/>
  <c r="D20" i="6"/>
  <c r="BQ5" i="3"/>
  <c r="BS5" i="3"/>
  <c r="F28" i="6"/>
  <c r="BR5" i="3"/>
  <c r="BT5" i="3"/>
  <c r="G28" i="6"/>
  <c r="E28" i="6"/>
  <c r="BA5" i="3"/>
  <c r="E27" i="6"/>
  <c r="K20" i="6"/>
  <c r="L20" i="6"/>
  <c r="M20" i="6"/>
  <c r="I20" i="6"/>
  <c r="H20" i="6"/>
  <c r="R20" i="6"/>
  <c r="R7" i="1"/>
  <c r="M7" i="1"/>
  <c r="K14" i="1"/>
  <c r="M14" i="1"/>
  <c r="S7" i="1"/>
  <c r="K19" i="6"/>
  <c r="S6" i="1"/>
  <c r="S8" i="1"/>
  <c r="S9" i="1"/>
  <c r="S10" i="1"/>
  <c r="S11" i="1"/>
  <c r="S12" i="1"/>
  <c r="S13" i="1"/>
  <c r="S16" i="1"/>
  <c r="T7" i="1"/>
  <c r="C14" i="15"/>
  <c r="F15"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9" i="12"/>
  <c r="F32" i="21"/>
  <c r="AA32" i="21"/>
  <c r="F34" i="21"/>
  <c r="AA34" i="21"/>
  <c r="F35" i="21"/>
  <c r="AA35" i="21"/>
  <c r="F38" i="21"/>
  <c r="AA38" i="21"/>
  <c r="F39" i="21"/>
  <c r="AA39" i="21"/>
  <c r="F40" i="21"/>
  <c r="AA40" i="21"/>
  <c r="F36" i="21"/>
  <c r="AA36" i="21"/>
  <c r="R48" i="21"/>
  <c r="H32" i="21"/>
  <c r="AB32" i="21"/>
  <c r="H34" i="21"/>
  <c r="AB34" i="21"/>
  <c r="H35" i="21"/>
  <c r="AB35" i="21"/>
  <c r="H38" i="21"/>
  <c r="AB38" i="21"/>
  <c r="H39" i="21"/>
  <c r="AB39" i="21"/>
  <c r="H40" i="21"/>
  <c r="AB40" i="21"/>
  <c r="H36" i="21"/>
  <c r="AB36" i="21"/>
  <c r="T48" i="21"/>
  <c r="J32" i="21"/>
  <c r="AC32" i="21"/>
  <c r="J34" i="21"/>
  <c r="AC34" i="21"/>
  <c r="J35" i="21"/>
  <c r="AC35" i="21"/>
  <c r="J38" i="21"/>
  <c r="AC38" i="21"/>
  <c r="J39" i="21"/>
  <c r="AC39" i="21"/>
  <c r="J40" i="21"/>
  <c r="AC40" i="21"/>
  <c r="J36" i="21"/>
  <c r="AC36" i="21"/>
  <c r="V48" i="21"/>
  <c r="R49" i="21"/>
  <c r="C48" i="21"/>
  <c r="C8" i="12"/>
  <c r="C10" i="12"/>
  <c r="C6"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F14" i="12"/>
  <c r="C14" i="12"/>
  <c r="C15" i="12"/>
  <c r="D16" i="12"/>
  <c r="C16" i="12"/>
  <c r="C17" i="12"/>
  <c r="C18" i="12"/>
  <c r="D19" i="12"/>
  <c r="C19" i="12"/>
  <c r="BB5" i="3"/>
  <c r="E5" i="6"/>
  <c r="D21" i="12"/>
  <c r="C21" i="12"/>
  <c r="E6" i="6"/>
  <c r="D22" i="12"/>
  <c r="C22" i="12"/>
  <c r="C20" i="12"/>
  <c r="C23" i="12"/>
  <c r="C24" i="12"/>
  <c r="F26" i="12"/>
  <c r="C28" i="12"/>
  <c r="C26" i="12"/>
  <c r="C29" i="12"/>
  <c r="C31" i="12"/>
  <c r="C30" i="12"/>
  <c r="F33" i="12"/>
  <c r="C35" i="12"/>
  <c r="C33" i="12"/>
  <c r="C27" i="12"/>
  <c r="D26" i="12"/>
  <c r="C32" i="12"/>
  <c r="D30" i="12"/>
  <c r="C34" i="12"/>
  <c r="D33" i="12"/>
  <c r="C36" i="12"/>
  <c r="B2" i="12"/>
  <c r="D19" i="9"/>
  <c r="D85" i="21"/>
  <c r="E85" i="21"/>
  <c r="F23" i="21"/>
  <c r="AA23" i="21"/>
  <c r="R47" i="21"/>
  <c r="B2" i="1"/>
  <c r="C7" i="21"/>
  <c r="E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F11" i="21"/>
  <c r="AA11" i="21"/>
  <c r="B70" i="21"/>
  <c r="F12" i="21"/>
  <c r="AA12" i="21"/>
  <c r="B72" i="21"/>
  <c r="F13" i="21"/>
  <c r="AA13" i="21"/>
  <c r="B74" i="21"/>
  <c r="F14" i="21"/>
  <c r="AA14" i="21"/>
  <c r="D77" i="21"/>
  <c r="E77" i="21"/>
  <c r="F15" i="21"/>
  <c r="AA15" i="21"/>
  <c r="D79" i="21"/>
  <c r="E79" i="21"/>
  <c r="F17" i="21"/>
  <c r="AA17" i="21"/>
  <c r="D81" i="21"/>
  <c r="E81" i="21"/>
  <c r="F19" i="21"/>
  <c r="AA19" i="21"/>
  <c r="F21" i="21"/>
  <c r="AA21" i="21"/>
  <c r="F25" i="21"/>
  <c r="AA25" i="21"/>
  <c r="F26" i="21"/>
  <c r="AA26" i="21"/>
  <c r="B90" i="21"/>
  <c r="F27" i="21"/>
  <c r="AA27" i="21"/>
  <c r="B92" i="21"/>
  <c r="F28" i="21"/>
  <c r="AA28" i="21"/>
  <c r="B94" i="21"/>
  <c r="F29" i="21"/>
  <c r="AA29" i="21"/>
  <c r="B96" i="21"/>
  <c r="F30" i="21"/>
  <c r="AA30" i="21"/>
  <c r="B98" i="21"/>
  <c r="F31" i="21"/>
  <c r="AA31" i="21"/>
  <c r="D12" i="68"/>
  <c r="C33" i="21"/>
  <c r="F33" i="21"/>
  <c r="AA33" i="21"/>
  <c r="E37" i="21"/>
  <c r="D113" i="21"/>
  <c r="E113" i="21"/>
  <c r="F113" i="21"/>
  <c r="G113" i="21"/>
  <c r="F37" i="21"/>
  <c r="AA37" i="21"/>
  <c r="F41" i="21"/>
  <c r="AA41" i="21"/>
  <c r="F42" i="21"/>
  <c r="AA42" i="21"/>
  <c r="F43" i="21"/>
  <c r="AA43" i="21"/>
  <c r="B126" i="21"/>
  <c r="F44" i="21"/>
  <c r="AA44" i="21"/>
  <c r="B128" i="21"/>
  <c r="F45" i="21"/>
  <c r="AA45" i="21"/>
  <c r="B130" i="21"/>
  <c r="F46" i="21"/>
  <c r="AA46" i="21"/>
  <c r="H23" i="21"/>
  <c r="AB23"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5" i="21"/>
  <c r="AB25" i="21"/>
  <c r="H26" i="21"/>
  <c r="AB26" i="21"/>
  <c r="H27" i="21"/>
  <c r="AB27" i="21"/>
  <c r="H28" i="21"/>
  <c r="AB28" i="21"/>
  <c r="H29" i="21"/>
  <c r="AB29" i="21"/>
  <c r="H30" i="21"/>
  <c r="AB30" i="21"/>
  <c r="H31" i="21"/>
  <c r="AB31" i="21"/>
  <c r="H33" i="21"/>
  <c r="AB33" i="21"/>
  <c r="G37" i="21"/>
  <c r="H37" i="21"/>
  <c r="AB37" i="21"/>
  <c r="H41" i="21"/>
  <c r="AB41" i="21"/>
  <c r="D123" i="21"/>
  <c r="E123" i="21"/>
  <c r="F123" i="21"/>
  <c r="H42" i="21"/>
  <c r="AB42" i="21"/>
  <c r="H43" i="21"/>
  <c r="AB43" i="21"/>
  <c r="H44" i="21"/>
  <c r="AB44" i="21"/>
  <c r="H45" i="21"/>
  <c r="AB45" i="21"/>
  <c r="H46" i="21"/>
  <c r="AB46" i="21"/>
  <c r="J23" i="21"/>
  <c r="AC23"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5" i="21"/>
  <c r="AC25" i="21"/>
  <c r="J26" i="21"/>
  <c r="AC26" i="21"/>
  <c r="J27" i="21"/>
  <c r="AC27" i="21"/>
  <c r="J28" i="21"/>
  <c r="AC28" i="21"/>
  <c r="J29" i="21"/>
  <c r="AC29" i="21"/>
  <c r="J30" i="21"/>
  <c r="AC30" i="21"/>
  <c r="J31" i="21"/>
  <c r="AC31" i="21"/>
  <c r="J33" i="21"/>
  <c r="AC33" i="21"/>
  <c r="I37" i="21"/>
  <c r="J37" i="21"/>
  <c r="AC37" i="21"/>
  <c r="J41" i="21"/>
  <c r="AC41" i="21"/>
  <c r="J42" i="21"/>
  <c r="AC42" i="21"/>
  <c r="J43" i="21"/>
  <c r="AC43" i="21"/>
  <c r="J44" i="21"/>
  <c r="AC44" i="21"/>
  <c r="J45" i="21"/>
  <c r="AC45" i="21"/>
  <c r="J46" i="21"/>
  <c r="AC46" i="21"/>
  <c r="O3" i="69"/>
  <c r="O18" i="69"/>
  <c r="I40" i="71"/>
  <c r="G48" i="71"/>
  <c r="G40" i="71"/>
  <c r="O17" i="69"/>
  <c r="I48" i="71"/>
  <c r="I51" i="69"/>
  <c r="R23" i="68"/>
  <c r="Q23" i="68"/>
  <c r="C49" i="21"/>
  <c r="B3" i="21"/>
  <c r="I48" i="39"/>
  <c r="G48" i="39"/>
  <c r="E48" i="39"/>
  <c r="I40" i="39"/>
  <c r="G40" i="39"/>
  <c r="E40" i="39"/>
  <c r="C40" i="39"/>
  <c r="D19" i="4"/>
  <c r="C12" i="39"/>
  <c r="I9" i="39"/>
  <c r="G9" i="39"/>
  <c r="E9" i="39"/>
  <c r="I7" i="39"/>
  <c r="G7" i="39"/>
  <c r="E7" i="39"/>
  <c r="A6" i="1"/>
  <c r="A7" i="1"/>
  <c r="G1" i="15"/>
  <c r="K14" i="3"/>
  <c r="F20" i="6"/>
  <c r="E20" i="6"/>
  <c r="C1" i="65"/>
  <c r="N1" i="65"/>
  <c r="B43" i="1"/>
  <c r="B41" i="1"/>
  <c r="F32" i="15"/>
  <c r="C42" i="1"/>
  <c r="F33" i="15"/>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3" i="3"/>
  <c r="AC13" i="3"/>
  <c r="G13" i="3"/>
  <c r="H14" i="3"/>
  <c r="AC14" i="3"/>
  <c r="G14" i="3"/>
  <c r="H15" i="3"/>
  <c r="D31" i="68"/>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F19" i="6"/>
  <c r="E19" i="6"/>
  <c r="E21" i="6"/>
  <c r="E22" i="6"/>
  <c r="E23" i="6"/>
  <c r="E24" i="6"/>
  <c r="E25" i="6"/>
  <c r="E26" i="6"/>
  <c r="B52" i="1"/>
  <c r="F34" i="15"/>
  <c r="T4" i="1"/>
  <c r="A8" i="1"/>
  <c r="A9" i="1"/>
  <c r="A10" i="1"/>
  <c r="A11" i="1"/>
  <c r="A12" i="1"/>
  <c r="A13" i="1"/>
  <c r="F17" i="15"/>
  <c r="F18" i="15"/>
  <c r="F20" i="15"/>
  <c r="H1" i="65"/>
  <c r="B22" i="1"/>
  <c r="C2" i="65"/>
  <c r="F23" i="15"/>
  <c r="F21" i="15"/>
  <c r="F28" i="15"/>
  <c r="C28" i="15"/>
  <c r="E19" i="4"/>
  <c r="F7" i="1"/>
  <c r="M47" i="15"/>
  <c r="J50" i="15"/>
  <c r="J51" i="15"/>
  <c r="L46" i="15"/>
  <c r="B3" i="15"/>
  <c r="D8" i="12"/>
  <c r="J7" i="1"/>
  <c r="BB10" i="3"/>
  <c r="BC10" i="3"/>
  <c r="BC5" i="3"/>
  <c r="BD10" i="3"/>
  <c r="BE10" i="3"/>
  <c r="BF10" i="3"/>
  <c r="BG10" i="3"/>
  <c r="BH10" i="3"/>
  <c r="BI10" i="3"/>
  <c r="BJ10" i="3"/>
  <c r="BK10" i="3"/>
  <c r="BD5" i="3"/>
  <c r="BE5" i="3"/>
  <c r="BF5" i="3"/>
  <c r="BG5" i="3"/>
  <c r="BH5" i="3"/>
  <c r="BI5" i="3"/>
  <c r="BJ5" i="3"/>
  <c r="BK5" i="3"/>
  <c r="E8" i="6"/>
  <c r="F27" i="6"/>
  <c r="BM5" i="3"/>
  <c r="BO5" i="3"/>
  <c r="F29" i="6"/>
  <c r="F30" i="6"/>
  <c r="F31" i="6"/>
  <c r="D19" i="6"/>
  <c r="D21" i="6"/>
  <c r="D22" i="6"/>
  <c r="D23" i="6"/>
  <c r="D24" i="6"/>
  <c r="D25" i="6"/>
  <c r="D26" i="6"/>
  <c r="D27" i="6"/>
  <c r="D28" i="6"/>
  <c r="BN5" i="3"/>
  <c r="BP5" i="3"/>
  <c r="G29" i="6"/>
  <c r="E29" i="6"/>
  <c r="D29" i="6"/>
  <c r="D30" i="6"/>
  <c r="D31" i="6"/>
  <c r="I6" i="6"/>
  <c r="C13" i="71"/>
  <c r="E40" i="71"/>
  <c r="C40" i="71"/>
  <c r="E48" i="71"/>
  <c r="I9" i="71"/>
  <c r="G9" i="71"/>
  <c r="E9" i="71"/>
  <c r="B133" i="71"/>
  <c r="B131" i="71"/>
  <c r="B129" i="71"/>
  <c r="D128" i="71"/>
  <c r="E128" i="71"/>
  <c r="F128" i="71"/>
  <c r="G128" i="71"/>
  <c r="H128" i="71"/>
  <c r="I128" i="71"/>
  <c r="J128" i="71"/>
  <c r="K128" i="71"/>
  <c r="L128" i="71"/>
  <c r="M128" i="71"/>
  <c r="D126" i="71"/>
  <c r="E126" i="71"/>
  <c r="F126" i="71"/>
  <c r="G126" i="71"/>
  <c r="H126" i="71"/>
  <c r="I126" i="71"/>
  <c r="J126" i="71"/>
  <c r="K126" i="71"/>
  <c r="L126" i="71"/>
  <c r="M126" i="71"/>
  <c r="D124" i="71"/>
  <c r="E124" i="71"/>
  <c r="F124" i="71"/>
  <c r="G124" i="71"/>
  <c r="H124" i="71"/>
  <c r="I124" i="71"/>
  <c r="J124" i="71"/>
  <c r="K124" i="71"/>
  <c r="L124" i="71"/>
  <c r="M124" i="71"/>
  <c r="D122" i="71"/>
  <c r="E122" i="71"/>
  <c r="F122" i="71"/>
  <c r="G122" i="71"/>
  <c r="H122" i="71"/>
  <c r="I122" i="71"/>
  <c r="J122" i="71"/>
  <c r="K122" i="71"/>
  <c r="L122" i="71"/>
  <c r="M122" i="71"/>
  <c r="M118" i="71"/>
  <c r="L118" i="71"/>
  <c r="K118" i="71"/>
  <c r="J118" i="71"/>
  <c r="I118" i="71"/>
  <c r="H118" i="71"/>
  <c r="G118" i="71"/>
  <c r="F118" i="71"/>
  <c r="E118" i="71"/>
  <c r="D118" i="71"/>
  <c r="C118" i="71"/>
  <c r="B116" i="71"/>
  <c r="B114" i="71"/>
  <c r="B112" i="71"/>
  <c r="D111" i="71"/>
  <c r="E111" i="71"/>
  <c r="F111" i="71"/>
  <c r="G111" i="71"/>
  <c r="H111" i="71"/>
  <c r="I111" i="71"/>
  <c r="J111" i="71"/>
  <c r="K111" i="71"/>
  <c r="L111" i="71"/>
  <c r="M111" i="71"/>
  <c r="D109" i="71"/>
  <c r="E109" i="71"/>
  <c r="F109" i="71"/>
  <c r="G109" i="71"/>
  <c r="H109" i="71"/>
  <c r="I109" i="71"/>
  <c r="J109" i="71"/>
  <c r="K109" i="71"/>
  <c r="L109" i="71"/>
  <c r="M109" i="71"/>
  <c r="D107" i="71"/>
  <c r="E107" i="71"/>
  <c r="F107" i="71"/>
  <c r="G107" i="71"/>
  <c r="H107" i="71"/>
  <c r="I107" i="71"/>
  <c r="J107" i="71"/>
  <c r="K107" i="71"/>
  <c r="L107" i="71"/>
  <c r="M107" i="71"/>
  <c r="B106" i="71"/>
  <c r="D105" i="71"/>
  <c r="E105" i="71"/>
  <c r="F105" i="71"/>
  <c r="G105" i="71"/>
  <c r="D103" i="71"/>
  <c r="E103" i="71"/>
  <c r="F103" i="71"/>
  <c r="G103" i="71"/>
  <c r="D101" i="71"/>
  <c r="E101" i="71"/>
  <c r="F101" i="71"/>
  <c r="G101" i="71"/>
  <c r="D99" i="71"/>
  <c r="E99" i="71"/>
  <c r="F99" i="71"/>
  <c r="G99" i="71"/>
  <c r="D97" i="71"/>
  <c r="E97" i="71"/>
  <c r="F97" i="71"/>
  <c r="G97" i="71"/>
  <c r="D95" i="71"/>
  <c r="E95" i="71"/>
  <c r="F95" i="71"/>
  <c r="G95" i="71"/>
  <c r="D93" i="71"/>
  <c r="E93" i="71"/>
  <c r="F93" i="71"/>
  <c r="G93" i="71"/>
  <c r="D91" i="71"/>
  <c r="E91" i="71"/>
  <c r="F91" i="71"/>
  <c r="G91" i="71"/>
  <c r="B88" i="71"/>
  <c r="B86" i="71"/>
  <c r="B84" i="71"/>
  <c r="D83" i="71"/>
  <c r="E83" i="71"/>
  <c r="F83" i="71"/>
  <c r="G83" i="71"/>
  <c r="H83" i="71"/>
  <c r="I83" i="71"/>
  <c r="J83" i="71"/>
  <c r="K83" i="71"/>
  <c r="L83" i="71"/>
  <c r="M83" i="71"/>
  <c r="M81" i="71"/>
  <c r="L81" i="71"/>
  <c r="K81" i="71"/>
  <c r="J81" i="71"/>
  <c r="I81" i="71"/>
  <c r="H81" i="71"/>
  <c r="G81" i="71"/>
  <c r="F81" i="71"/>
  <c r="E81" i="71"/>
  <c r="D81" i="71"/>
  <c r="C81" i="71"/>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71"/>
  <c r="C9" i="71"/>
  <c r="C70" i="71"/>
  <c r="D70" i="71"/>
  <c r="E70" i="71"/>
  <c r="F70" i="71"/>
  <c r="G70" i="71"/>
  <c r="H70" i="71"/>
  <c r="I70" i="71"/>
  <c r="J70" i="71"/>
  <c r="K70" i="71"/>
  <c r="L70" i="71"/>
  <c r="M70" i="71"/>
  <c r="N70" i="71"/>
  <c r="N72" i="71"/>
  <c r="M72" i="71"/>
  <c r="L72" i="71"/>
  <c r="K72" i="71"/>
  <c r="J72" i="71"/>
  <c r="I72" i="71"/>
  <c r="H72" i="71"/>
  <c r="G72" i="71"/>
  <c r="F72" i="71"/>
  <c r="E72" i="71"/>
  <c r="D72" i="71"/>
  <c r="C72" i="71"/>
  <c r="R48" i="71"/>
  <c r="F9" i="71"/>
  <c r="AA9" i="71"/>
  <c r="E58" i="71"/>
  <c r="H67" i="71"/>
  <c r="I67" i="71"/>
  <c r="C67" i="71"/>
  <c r="H66" i="71"/>
  <c r="I66" i="71"/>
  <c r="C66" i="71"/>
  <c r="H65" i="71"/>
  <c r="I65" i="71"/>
  <c r="C65" i="71"/>
  <c r="H64" i="71"/>
  <c r="I64" i="71"/>
  <c r="C64" i="71"/>
  <c r="H63" i="71"/>
  <c r="I63" i="71"/>
  <c r="C63" i="71"/>
  <c r="H62" i="71"/>
  <c r="I62" i="71"/>
  <c r="C62" i="71"/>
  <c r="H61" i="71"/>
  <c r="I61" i="71"/>
  <c r="C61" i="71"/>
  <c r="H60" i="71"/>
  <c r="I60" i="71"/>
  <c r="C60" i="71"/>
  <c r="H59" i="71"/>
  <c r="I59" i="71"/>
  <c r="C59" i="71"/>
  <c r="F41" i="4"/>
  <c r="J57" i="71"/>
  <c r="I55" i="71"/>
  <c r="J55" i="71"/>
  <c r="G55" i="71"/>
  <c r="H55" i="71"/>
  <c r="E55" i="71"/>
  <c r="F55" i="71"/>
  <c r="V48" i="71"/>
  <c r="J9" i="71"/>
  <c r="AC9" i="71"/>
  <c r="T48" i="71"/>
  <c r="H9" i="71"/>
  <c r="AB9" i="71"/>
  <c r="P50" i="71"/>
  <c r="P49" i="71"/>
  <c r="P48" i="71"/>
  <c r="J47" i="71"/>
  <c r="AC47" i="71"/>
  <c r="H47" i="71"/>
  <c r="AB47" i="71"/>
  <c r="F47" i="71"/>
  <c r="AA47" i="71"/>
  <c r="Q47" i="71"/>
  <c r="Z47" i="71"/>
  <c r="W47" i="71"/>
  <c r="U47" i="71"/>
  <c r="S47" i="71"/>
  <c r="J46" i="71"/>
  <c r="AC46" i="71"/>
  <c r="H46" i="71"/>
  <c r="AB46" i="71"/>
  <c r="F46" i="71"/>
  <c r="AA46" i="71"/>
  <c r="Q46" i="71"/>
  <c r="Z46" i="71"/>
  <c r="W46" i="71"/>
  <c r="U46" i="71"/>
  <c r="S46" i="71"/>
  <c r="J45" i="71"/>
  <c r="AC45" i="71"/>
  <c r="H45" i="71"/>
  <c r="AB45" i="71"/>
  <c r="F45" i="71"/>
  <c r="AA45" i="71"/>
  <c r="Q45" i="71"/>
  <c r="Z45" i="71"/>
  <c r="W45" i="71"/>
  <c r="U45" i="71"/>
  <c r="S45" i="71"/>
  <c r="J44" i="71"/>
  <c r="AC44" i="71"/>
  <c r="H44" i="71"/>
  <c r="AB44" i="71"/>
  <c r="F44" i="71"/>
  <c r="AA44" i="71"/>
  <c r="Q44" i="71"/>
  <c r="Z44" i="71"/>
  <c r="W44" i="71"/>
  <c r="U44" i="71"/>
  <c r="S44" i="71"/>
  <c r="J43" i="71"/>
  <c r="AC43" i="71"/>
  <c r="H43" i="71"/>
  <c r="AB43" i="71"/>
  <c r="F43" i="71"/>
  <c r="AA43" i="71"/>
  <c r="Q43" i="71"/>
  <c r="Z43" i="71"/>
  <c r="W43" i="71"/>
  <c r="U43" i="71"/>
  <c r="S43" i="71"/>
  <c r="J42" i="71"/>
  <c r="AC42" i="71"/>
  <c r="H42" i="71"/>
  <c r="AB42" i="71"/>
  <c r="F42" i="71"/>
  <c r="AA42" i="71"/>
  <c r="Q42" i="71"/>
  <c r="Z42" i="71"/>
  <c r="W42" i="71"/>
  <c r="U42" i="71"/>
  <c r="S42" i="71"/>
  <c r="J41" i="71"/>
  <c r="AC41" i="71"/>
  <c r="H41" i="71"/>
  <c r="AB41" i="71"/>
  <c r="F41" i="71"/>
  <c r="AA41" i="71"/>
  <c r="Q41" i="71"/>
  <c r="Z41" i="71"/>
  <c r="W41" i="71"/>
  <c r="U41" i="71"/>
  <c r="S41" i="71"/>
  <c r="J40" i="71"/>
  <c r="AC40" i="71"/>
  <c r="H40" i="71"/>
  <c r="AB40" i="71"/>
  <c r="F40" i="71"/>
  <c r="AA40" i="71"/>
  <c r="Q40" i="71"/>
  <c r="Z40" i="71"/>
  <c r="W40" i="71"/>
  <c r="U40" i="71"/>
  <c r="S40" i="71"/>
  <c r="J39" i="71"/>
  <c r="AC39" i="71"/>
  <c r="H39" i="71"/>
  <c r="AB39" i="71"/>
  <c r="F39" i="71"/>
  <c r="AA39" i="71"/>
  <c r="Q39" i="71"/>
  <c r="Z39" i="71"/>
  <c r="W39" i="71"/>
  <c r="U39" i="71"/>
  <c r="S39" i="71"/>
  <c r="J38" i="71"/>
  <c r="AC38" i="71"/>
  <c r="H38" i="71"/>
  <c r="AB38" i="71"/>
  <c r="F38" i="71"/>
  <c r="AA38" i="71"/>
  <c r="Q38" i="71"/>
  <c r="Z38" i="71"/>
  <c r="W38" i="71"/>
  <c r="U38" i="71"/>
  <c r="S38" i="71"/>
  <c r="J37" i="71"/>
  <c r="AC37" i="71"/>
  <c r="H37" i="71"/>
  <c r="AB37" i="71"/>
  <c r="F37" i="71"/>
  <c r="AA37" i="71"/>
  <c r="Q37" i="71"/>
  <c r="Z37" i="71"/>
  <c r="W37" i="71"/>
  <c r="U37" i="71"/>
  <c r="S37" i="71"/>
  <c r="J36" i="71"/>
  <c r="AC36" i="71"/>
  <c r="H36" i="71"/>
  <c r="AB36" i="71"/>
  <c r="F36" i="71"/>
  <c r="AA36" i="71"/>
  <c r="Q36" i="71"/>
  <c r="Z36" i="71"/>
  <c r="W36" i="71"/>
  <c r="U36" i="71"/>
  <c r="S36" i="71"/>
  <c r="J34" i="71"/>
  <c r="AC34" i="71"/>
  <c r="H34" i="71"/>
  <c r="AB34" i="71"/>
  <c r="F34" i="71"/>
  <c r="AA34" i="71"/>
  <c r="Q34" i="71"/>
  <c r="Z34" i="71"/>
  <c r="W34" i="71"/>
  <c r="U34" i="71"/>
  <c r="S34" i="71"/>
  <c r="J33" i="71"/>
  <c r="AC33" i="71"/>
  <c r="H33" i="71"/>
  <c r="AB33" i="71"/>
  <c r="F33" i="71"/>
  <c r="AA33" i="71"/>
  <c r="Q33" i="71"/>
  <c r="Z33" i="71"/>
  <c r="W33" i="71"/>
  <c r="U33" i="71"/>
  <c r="S33" i="71"/>
  <c r="J31" i="71"/>
  <c r="AC31" i="71"/>
  <c r="H31" i="71"/>
  <c r="AB31" i="71"/>
  <c r="F31" i="71"/>
  <c r="AA31" i="71"/>
  <c r="Q31" i="71"/>
  <c r="Z31" i="71"/>
  <c r="W31" i="71"/>
  <c r="U31" i="71"/>
  <c r="S31" i="71"/>
  <c r="C22" i="20"/>
  <c r="C31" i="71"/>
  <c r="J29" i="71"/>
  <c r="AC29" i="71"/>
  <c r="H29" i="71"/>
  <c r="AB29" i="71"/>
  <c r="F29" i="71"/>
  <c r="AA29" i="71"/>
  <c r="Q29" i="71"/>
  <c r="Z29" i="71"/>
  <c r="W29" i="71"/>
  <c r="U29" i="71"/>
  <c r="S29" i="71"/>
  <c r="C21" i="20"/>
  <c r="C29" i="71"/>
  <c r="J27" i="71"/>
  <c r="AC27" i="71"/>
  <c r="H27" i="71"/>
  <c r="AB27" i="71"/>
  <c r="F27" i="71"/>
  <c r="AA27" i="71"/>
  <c r="Q27" i="71"/>
  <c r="Z27" i="71"/>
  <c r="W27" i="71"/>
  <c r="U27" i="71"/>
  <c r="S27" i="71"/>
  <c r="C20" i="20"/>
  <c r="C27" i="71"/>
  <c r="J25" i="71"/>
  <c r="AC25" i="71"/>
  <c r="H25" i="71"/>
  <c r="AB25" i="71"/>
  <c r="F25" i="71"/>
  <c r="AA25" i="71"/>
  <c r="Q25" i="71"/>
  <c r="Z25" i="71"/>
  <c r="W25" i="71"/>
  <c r="U25" i="71"/>
  <c r="S25" i="71"/>
  <c r="C25" i="71"/>
  <c r="J23" i="71"/>
  <c r="AC23" i="71"/>
  <c r="H23" i="71"/>
  <c r="AB23" i="71"/>
  <c r="F23" i="71"/>
  <c r="AA23" i="71"/>
  <c r="Q23" i="71"/>
  <c r="Z23" i="71"/>
  <c r="W23" i="71"/>
  <c r="U23" i="71"/>
  <c r="S23" i="71"/>
  <c r="C18" i="20"/>
  <c r="C23" i="71"/>
  <c r="J21" i="71"/>
  <c r="AC21" i="71"/>
  <c r="H21" i="71"/>
  <c r="AB21" i="71"/>
  <c r="F21" i="71"/>
  <c r="AA21" i="71"/>
  <c r="Q21" i="71"/>
  <c r="Z21" i="71"/>
  <c r="W21" i="71"/>
  <c r="U21" i="71"/>
  <c r="S21" i="71"/>
  <c r="C17" i="20"/>
  <c r="C21" i="71"/>
  <c r="J19" i="71"/>
  <c r="AC19" i="71"/>
  <c r="H19" i="71"/>
  <c r="AB19" i="71"/>
  <c r="F19" i="71"/>
  <c r="AA19" i="71"/>
  <c r="Q19" i="71"/>
  <c r="Z19" i="71"/>
  <c r="W19" i="71"/>
  <c r="U19" i="71"/>
  <c r="S19" i="71"/>
  <c r="C16" i="20"/>
  <c r="C19" i="71"/>
  <c r="J17" i="71"/>
  <c r="AC17" i="71"/>
  <c r="H17" i="71"/>
  <c r="AB17" i="71"/>
  <c r="F17" i="71"/>
  <c r="AA17" i="71"/>
  <c r="Q17" i="71"/>
  <c r="Z17" i="71"/>
  <c r="W17" i="71"/>
  <c r="U17" i="71"/>
  <c r="S17" i="71"/>
  <c r="C15" i="20"/>
  <c r="C17" i="71"/>
  <c r="J16" i="71"/>
  <c r="AC16" i="71"/>
  <c r="H16" i="71"/>
  <c r="AB16" i="71"/>
  <c r="F16" i="71"/>
  <c r="AA16" i="71"/>
  <c r="Q16" i="71"/>
  <c r="Z16" i="71"/>
  <c r="W16" i="71"/>
  <c r="U16" i="71"/>
  <c r="S16" i="71"/>
  <c r="J15" i="71"/>
  <c r="AC15" i="71"/>
  <c r="H15" i="71"/>
  <c r="AB15" i="71"/>
  <c r="F15" i="71"/>
  <c r="AA15" i="71"/>
  <c r="Q15" i="71"/>
  <c r="Z15" i="71"/>
  <c r="W15" i="71"/>
  <c r="U15" i="71"/>
  <c r="S15" i="71"/>
  <c r="J14" i="71"/>
  <c r="AC14" i="71"/>
  <c r="H14" i="71"/>
  <c r="AB14" i="71"/>
  <c r="F14" i="71"/>
  <c r="AA14" i="71"/>
  <c r="Q14" i="71"/>
  <c r="Z14" i="71"/>
  <c r="W14" i="71"/>
  <c r="U14" i="71"/>
  <c r="S14" i="71"/>
  <c r="J13" i="71"/>
  <c r="AC13" i="71"/>
  <c r="H13" i="71"/>
  <c r="AB13" i="71"/>
  <c r="F13" i="71"/>
  <c r="AA13" i="71"/>
  <c r="Q13" i="71"/>
  <c r="Z13" i="71"/>
  <c r="W13" i="71"/>
  <c r="U13" i="71"/>
  <c r="S13" i="71"/>
  <c r="Q12" i="71"/>
  <c r="Z12" i="71"/>
  <c r="J11" i="71"/>
  <c r="AC11" i="71"/>
  <c r="H11" i="71"/>
  <c r="AB11" i="71"/>
  <c r="F11" i="71"/>
  <c r="AA11" i="71"/>
  <c r="Q11" i="71"/>
  <c r="Z11" i="71"/>
  <c r="W11" i="71"/>
  <c r="U11" i="71"/>
  <c r="S11" i="71"/>
  <c r="J10" i="71"/>
  <c r="AC10" i="71"/>
  <c r="H10" i="71"/>
  <c r="AB10" i="71"/>
  <c r="F10" i="71"/>
  <c r="AA10" i="71"/>
  <c r="W10" i="71"/>
  <c r="U10" i="71"/>
  <c r="S10" i="71"/>
  <c r="W9" i="71"/>
  <c r="U9" i="71"/>
  <c r="S9" i="71"/>
  <c r="I7" i="71"/>
  <c r="G7" i="71"/>
  <c r="E7" i="71"/>
  <c r="E18" i="68"/>
  <c r="E21" i="68"/>
  <c r="E22" i="68"/>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D6" i="59"/>
  <c r="F25" i="12"/>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A10" i="59"/>
  <c r="X10" i="59"/>
  <c r="M19" i="46"/>
  <c r="D14"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G19" i="4"/>
  <c r="F9" i="1"/>
  <c r="AP9" i="1"/>
  <c r="F19" i="4"/>
  <c r="F8" i="1"/>
  <c r="AP8" i="1"/>
  <c r="G7" i="1"/>
  <c r="B2" i="52"/>
  <c r="I2" i="46"/>
  <c r="N12" i="46"/>
  <c r="A7" i="46"/>
  <c r="J52" i="40"/>
  <c r="H61" i="49"/>
  <c r="H39" i="46"/>
  <c r="H38" i="46"/>
  <c r="H37" i="46"/>
  <c r="H36" i="46"/>
  <c r="H35" i="46"/>
  <c r="H34" i="46"/>
  <c r="H33" i="46"/>
  <c r="J20" i="46"/>
  <c r="C18" i="46"/>
  <c r="F15" i="46"/>
  <c r="E15" i="46"/>
  <c r="D15" i="46"/>
  <c r="C15" i="46"/>
  <c r="C10" i="46"/>
  <c r="C11" i="46"/>
  <c r="C9" i="46"/>
  <c r="E32" i="6"/>
  <c r="D38" i="4"/>
  <c r="C39" i="4"/>
  <c r="C35" i="4"/>
  <c r="E16"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B73" i="46"/>
  <c r="B76" i="46"/>
  <c r="B70" i="46"/>
  <c r="B58" i="46"/>
  <c r="B47" i="46"/>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G1" i="44"/>
  <c r="I4" i="6"/>
  <c r="G3" i="46"/>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13" i="52"/>
  <c r="E4" i="4"/>
  <c r="E7" i="52"/>
  <c r="C4" i="4"/>
  <c r="G66" i="36"/>
  <c r="J18" i="36"/>
  <c r="AE8" i="1"/>
  <c r="AE6" i="1"/>
  <c r="W18" i="36"/>
  <c r="AC18" i="36"/>
  <c r="AG6" i="1"/>
  <c r="D12" i="11"/>
  <c r="C12" i="11"/>
  <c r="D16" i="43"/>
  <c r="C16" i="43"/>
  <c r="L19" i="6"/>
  <c r="L27" i="6"/>
  <c r="B21" i="55"/>
  <c r="B72" i="63"/>
  <c r="B20" i="55"/>
  <c r="B70" i="63"/>
  <c r="C45" i="9"/>
  <c r="H14" i="66"/>
  <c r="B7" i="66"/>
  <c r="C7" i="66"/>
  <c r="R9" i="1"/>
  <c r="R8" i="1"/>
  <c r="M19" i="6"/>
  <c r="I19" i="6"/>
  <c r="H19" i="6"/>
  <c r="R19" i="6"/>
  <c r="R6" i="1"/>
  <c r="C72" i="39"/>
  <c r="D70" i="39"/>
  <c r="D72" i="39"/>
  <c r="E70" i="39"/>
  <c r="E72" i="39"/>
  <c r="F70" i="39"/>
  <c r="F72" i="39"/>
  <c r="G70" i="39"/>
  <c r="G72" i="39"/>
  <c r="H70" i="39"/>
  <c r="H72" i="39"/>
  <c r="I70" i="39"/>
  <c r="I72" i="39"/>
  <c r="J70" i="39"/>
  <c r="J72" i="39"/>
  <c r="K70" i="39"/>
  <c r="K72" i="39"/>
  <c r="L70" i="39"/>
  <c r="L72" i="39"/>
  <c r="M70" i="39"/>
  <c r="M72" i="39"/>
  <c r="N70" i="39"/>
  <c r="N72" i="39"/>
  <c r="B73" i="39"/>
  <c r="F9" i="39"/>
  <c r="AA9" i="39"/>
  <c r="G6" i="1"/>
  <c r="G13" i="1"/>
  <c r="H9" i="39"/>
  <c r="AB9" i="39"/>
  <c r="J9" i="39"/>
  <c r="AC9" i="39"/>
  <c r="E11" i="6"/>
  <c r="E63" i="39"/>
  <c r="E12" i="6"/>
  <c r="E64" i="39"/>
  <c r="E13" i="6"/>
  <c r="E65" i="39"/>
  <c r="E14" i="6"/>
  <c r="E66" i="39"/>
  <c r="E15" i="6"/>
  <c r="E67" i="39"/>
  <c r="E68" i="39"/>
  <c r="I3" i="65"/>
  <c r="C25" i="12"/>
  <c r="D45" i="9"/>
  <c r="O40" i="9"/>
  <c r="K31" i="9"/>
  <c r="K32" i="9"/>
  <c r="R7" i="54"/>
  <c r="B52" i="63"/>
  <c r="N76" i="9"/>
  <c r="C46" i="9"/>
  <c r="K33" i="9"/>
  <c r="O41" i="9"/>
  <c r="I14" i="66"/>
  <c r="B8" i="66"/>
  <c r="D46" i="9"/>
  <c r="K34" i="9"/>
  <c r="R8" i="54"/>
  <c r="B54" i="63"/>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6" i="52"/>
  <c r="E4" i="52"/>
  <c r="B7" i="52"/>
  <c r="P21" i="46"/>
  <c r="S9" i="59"/>
  <c r="D10" i="59"/>
  <c r="P22" i="46"/>
  <c r="P23" i="46"/>
  <c r="P24" i="46"/>
  <c r="B68" i="40"/>
  <c r="E22" i="52"/>
  <c r="B22" i="52"/>
  <c r="B10" i="52"/>
  <c r="B11" i="52"/>
  <c r="B4" i="52"/>
  <c r="E9" i="52"/>
  <c r="E11" i="52"/>
  <c r="B14" i="52"/>
  <c r="E8" i="52"/>
  <c r="B9" i="52"/>
  <c r="B8" i="52"/>
  <c r="B13" i="52"/>
  <c r="E10" i="52"/>
  <c r="E21" i="52"/>
  <c r="E65" i="40"/>
  <c r="D67" i="40"/>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S7" i="21"/>
  <c r="F65" i="40"/>
  <c r="E67" i="40"/>
  <c r="D8" i="59"/>
  <c r="D7" i="59"/>
  <c r="G20" i="46"/>
  <c r="E41" i="46"/>
  <c r="C41" i="46"/>
  <c r="S5" i="46"/>
  <c r="S2" i="46"/>
  <c r="S3" i="46"/>
  <c r="S7" i="46"/>
  <c r="S6" i="46"/>
  <c r="S4" i="46"/>
  <c r="K16" i="1"/>
  <c r="K27" i="6"/>
  <c r="E63" i="40"/>
  <c r="C22" i="4"/>
  <c r="D10" i="6"/>
  <c r="H21" i="6"/>
  <c r="H24" i="6"/>
  <c r="D6" i="6"/>
  <c r="D8" i="6"/>
  <c r="H23" i="6"/>
  <c r="E45" i="9"/>
  <c r="F45" i="9"/>
  <c r="H26" i="6"/>
  <c r="R26" i="6"/>
  <c r="H25" i="6"/>
  <c r="D9" i="6"/>
  <c r="D5" i="6"/>
  <c r="H22" i="6"/>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F7" i="36"/>
  <c r="S7" i="36"/>
  <c r="C20" i="46"/>
  <c r="M20" i="46"/>
  <c r="R24" i="6"/>
  <c r="R22" i="6"/>
  <c r="R23" i="6"/>
  <c r="R25" i="6"/>
  <c r="M27" i="6"/>
  <c r="D7" i="66"/>
  <c r="D8" i="66"/>
  <c r="R21" i="6"/>
  <c r="A6" i="51"/>
  <c r="B7" i="63"/>
  <c r="A6" i="64"/>
  <c r="A20" i="64"/>
  <c r="A20" i="51"/>
  <c r="B15" i="63"/>
  <c r="N5" i="54"/>
  <c r="B43" i="63"/>
  <c r="T13" i="1"/>
  <c r="M16" i="1"/>
  <c r="T9" i="1"/>
  <c r="T11" i="1"/>
  <c r="T12" i="1"/>
  <c r="O16"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B2" i="21"/>
  <c r="H65" i="40"/>
  <c r="G67" i="40"/>
  <c r="E53" i="21"/>
  <c r="F53" i="21"/>
  <c r="E52" i="21"/>
  <c r="F52" i="21"/>
  <c r="I53" i="21"/>
  <c r="J53" i="21"/>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B61" i="40"/>
  <c r="B58" i="40"/>
  <c r="B59" i="40"/>
  <c r="B54" i="40"/>
  <c r="F54" i="40"/>
  <c r="B62" i="40"/>
  <c r="B5" i="40"/>
  <c r="B3" i="40"/>
  <c r="B4" i="40"/>
  <c r="M24" i="44"/>
  <c r="L48" i="44"/>
  <c r="B14" i="67"/>
  <c r="F15" i="44"/>
  <c r="L47" i="15"/>
  <c r="F10" i="67"/>
  <c r="F8" i="67"/>
  <c r="F37" i="44"/>
  <c r="F13" i="67"/>
  <c r="F46" i="44"/>
  <c r="F18" i="44"/>
  <c r="F9" i="67"/>
  <c r="E12" i="67"/>
  <c r="F40" i="44"/>
  <c r="M23" i="44"/>
  <c r="F11" i="67"/>
  <c r="M10" i="44"/>
  <c r="F9" i="44"/>
  <c r="E14" i="67"/>
  <c r="E8" i="67"/>
  <c r="J36" i="15"/>
  <c r="B3" i="12"/>
  <c r="D20" i="9"/>
  <c r="F38" i="44"/>
  <c r="E11" i="67"/>
  <c r="N7" i="65"/>
  <c r="E10" i="67"/>
  <c r="E9" i="67"/>
  <c r="N6" i="65"/>
  <c r="B4" i="12"/>
  <c r="D21" i="9"/>
  <c r="J17" i="44"/>
  <c r="M26" i="44"/>
  <c r="F8" i="44"/>
  <c r="M31" i="44"/>
  <c r="B12" i="67"/>
  <c r="J7" i="65"/>
  <c r="J6" i="65"/>
  <c r="I7" i="65"/>
  <c r="I4" i="65"/>
  <c r="M26" i="15"/>
  <c r="B9" i="67"/>
  <c r="B8" i="67"/>
  <c r="C19" i="44"/>
  <c r="F39" i="44"/>
  <c r="M24" i="15"/>
  <c r="F12" i="67"/>
  <c r="M25" i="44"/>
  <c r="E13" i="67"/>
  <c r="M28" i="44"/>
  <c r="M23" i="15"/>
  <c r="F28" i="44"/>
  <c r="J15" i="15"/>
  <c r="L49" i="44"/>
  <c r="N3" i="65"/>
  <c r="M29" i="15"/>
  <c r="B13" i="67"/>
  <c r="N5" i="65"/>
  <c r="F14" i="67"/>
  <c r="M11" i="44"/>
  <c r="M8" i="44"/>
  <c r="F43" i="44"/>
  <c r="M30" i="44"/>
  <c r="M21" i="15"/>
  <c r="F10" i="44"/>
  <c r="B10" i="67"/>
  <c r="F11" i="44"/>
  <c r="M22" i="15"/>
  <c r="M28" i="15"/>
  <c r="M29" i="44"/>
  <c r="F45" i="44"/>
  <c r="B11" i="67"/>
  <c r="M27" i="15"/>
  <c r="F33" i="44"/>
  <c r="J5" i="65"/>
  <c r="F31" i="15"/>
  <c r="J3" i="65"/>
  <c r="J4" i="65"/>
  <c r="C16" i="44"/>
  <c r="C14" i="43"/>
  <c r="C18" i="43"/>
  <c r="C20" i="44"/>
  <c r="C17" i="44"/>
  <c r="J1" i="65"/>
  <c r="J57" i="15"/>
  <c r="J55" i="15"/>
  <c r="J58" i="15"/>
  <c r="Q51" i="15"/>
  <c r="I54" i="15"/>
  <c r="L56" i="15"/>
  <c r="F49" i="15"/>
  <c r="J20" i="15"/>
  <c r="L44" i="9"/>
  <c r="Q73" i="44"/>
  <c r="F65" i="15"/>
  <c r="J54" i="44"/>
  <c r="J58" i="44"/>
  <c r="J56" i="44"/>
  <c r="J59" i="44"/>
  <c r="Q52" i="44"/>
  <c r="L57" i="44"/>
  <c r="J60" i="44"/>
  <c r="I55" i="44"/>
  <c r="J61" i="44"/>
  <c r="Q50" i="44"/>
  <c r="F62" i="15"/>
  <c r="C61" i="15"/>
  <c r="C29" i="44"/>
  <c r="F67" i="15"/>
  <c r="F50" i="15"/>
  <c r="E20" i="46"/>
  <c r="C8" i="44"/>
  <c r="F70" i="15"/>
  <c r="Q72" i="15"/>
  <c r="M9" i="44"/>
  <c r="F68" i="15"/>
  <c r="J22" i="44"/>
  <c r="C36" i="44"/>
  <c r="L59" i="15"/>
  <c r="L58" i="15"/>
  <c r="F64" i="15"/>
  <c r="F63" i="15"/>
  <c r="L60" i="44"/>
  <c r="L59" i="44"/>
  <c r="E3" i="65"/>
  <c r="F58" i="15"/>
  <c r="M17" i="15"/>
  <c r="C18" i="44"/>
  <c r="M19" i="44"/>
  <c r="L47" i="44"/>
  <c r="C19" i="43"/>
  <c r="C25" i="43"/>
  <c r="C24" i="43"/>
  <c r="C21" i="44"/>
  <c r="F17" i="11"/>
  <c r="C17" i="11"/>
  <c r="C19" i="11"/>
  <c r="Q75" i="44"/>
  <c r="Q62" i="44"/>
  <c r="Q75" i="15"/>
  <c r="Q62" i="15"/>
  <c r="C34" i="44"/>
  <c r="Q63" i="44"/>
  <c r="Q76" i="44"/>
  <c r="Q74" i="15"/>
  <c r="Q61" i="15"/>
  <c r="J18" i="15"/>
  <c r="P28" i="46"/>
  <c r="O28" i="46"/>
  <c r="M28" i="46"/>
  <c r="N28" i="46"/>
  <c r="C48" i="15"/>
  <c r="Q54" i="44"/>
  <c r="F1" i="44"/>
  <c r="J8" i="44"/>
  <c r="F13" i="44"/>
  <c r="C12" i="44"/>
  <c r="C7" i="44"/>
  <c r="M13" i="44"/>
  <c r="J12" i="44"/>
  <c r="Q53" i="15"/>
  <c r="J24" i="15"/>
  <c r="C40" i="44"/>
  <c r="C52" i="15"/>
  <c r="C47" i="15"/>
  <c r="J20" i="44"/>
  <c r="J7" i="44"/>
  <c r="C20" i="11"/>
  <c r="C21" i="11"/>
  <c r="C22" i="11"/>
  <c r="C23" i="11"/>
  <c r="B2" i="11"/>
  <c r="C22" i="44"/>
  <c r="F21" i="43"/>
  <c r="F26" i="44"/>
  <c r="C26" i="44"/>
  <c r="L52" i="44"/>
  <c r="C25" i="44"/>
  <c r="Q69" i="44"/>
  <c r="L58" i="44"/>
  <c r="L61" i="44"/>
  <c r="C59" i="15"/>
  <c r="C65" i="15"/>
  <c r="B3" i="11"/>
  <c r="B5" i="11"/>
  <c r="B4" i="11"/>
  <c r="C23" i="43"/>
  <c r="D21" i="43"/>
  <c r="C22" i="43"/>
  <c r="C21" i="43"/>
  <c r="C28" i="44"/>
  <c r="J28" i="44"/>
  <c r="J31" i="44"/>
  <c r="J26" i="44"/>
  <c r="J14" i="15"/>
  <c r="C31" i="44"/>
  <c r="J16" i="44"/>
  <c r="Q50" i="15"/>
  <c r="C35" i="44"/>
  <c r="C33" i="44"/>
  <c r="Q51" i="44"/>
  <c r="C15" i="44"/>
  <c r="C38" i="44"/>
  <c r="B5" i="12"/>
  <c r="Q49" i="44"/>
  <c r="Q55" i="44"/>
  <c r="Q67" i="44"/>
  <c r="Q58" i="44"/>
  <c r="C28" i="43"/>
  <c r="C30" i="43"/>
  <c r="C32" i="43"/>
  <c r="B2" i="43"/>
  <c r="Q68" i="44"/>
  <c r="Q59" i="44"/>
  <c r="J21" i="44"/>
  <c r="J19" i="44"/>
  <c r="J19" i="15"/>
  <c r="J17" i="15"/>
  <c r="J59" i="15"/>
  <c r="J60" i="15"/>
  <c r="L51" i="15"/>
  <c r="L57" i="15"/>
  <c r="L60" i="15"/>
  <c r="C56" i="15"/>
  <c r="C60" i="15"/>
  <c r="C58" i="15"/>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J39" i="15"/>
  <c r="J40" i="15"/>
  <c r="C70" i="15"/>
  <c r="Q68" i="15"/>
  <c r="Q48" i="15"/>
  <c r="Q54" i="15"/>
  <c r="Q57" i="15"/>
  <c r="C43" i="15"/>
  <c r="Q66" i="15"/>
  <c r="J42" i="15"/>
  <c r="J43" i="15"/>
  <c r="C46" i="15"/>
  <c r="B5" i="44"/>
  <c r="B3" i="44"/>
  <c r="B4" i="44"/>
  <c r="Q67" i="15"/>
  <c r="Q58" i="15"/>
  <c r="Q63" i="15"/>
  <c r="Q76" i="15"/>
  <c r="E63" i="71"/>
  <c r="E64" i="71"/>
  <c r="E65" i="71"/>
  <c r="E66" i="71"/>
  <c r="E67" i="71"/>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E62" i="40"/>
  <c r="F62" i="40"/>
  <c r="E59" i="40"/>
  <c r="F59" i="40"/>
  <c r="E58" i="40"/>
  <c r="F58" i="40"/>
  <c r="E61" i="40"/>
  <c r="F61" i="40"/>
  <c r="E60" i="40"/>
  <c r="F60" i="40"/>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D11" i="6"/>
  <c r="D12" i="6"/>
  <c r="D13" i="6"/>
  <c r="D14" i="6"/>
  <c r="D15" i="6"/>
  <c r="D16" i="6"/>
  <c r="E16" i="6"/>
  <c r="E68" i="71"/>
  <c r="G16" i="1"/>
  <c r="F12" i="71"/>
  <c r="AA12" i="71"/>
  <c r="R49" i="71"/>
  <c r="H12" i="71"/>
  <c r="AB12" i="71"/>
  <c r="T49" i="71"/>
  <c r="J12" i="71"/>
  <c r="AC12" i="71"/>
  <c r="V49" i="71"/>
  <c r="R50" i="71"/>
  <c r="C50" i="71"/>
  <c r="B58" i="71"/>
  <c r="F58" i="71"/>
  <c r="B59" i="71"/>
  <c r="F59" i="71"/>
  <c r="B60" i="71"/>
  <c r="F60" i="71"/>
  <c r="B61" i="71"/>
  <c r="F61" i="71"/>
  <c r="B62" i="71"/>
  <c r="F62" i="71"/>
  <c r="B63" i="71"/>
  <c r="F63" i="71"/>
  <c r="B64" i="71"/>
  <c r="F64" i="71"/>
  <c r="B65" i="71"/>
  <c r="F65" i="71"/>
  <c r="B66" i="71"/>
  <c r="F66" i="71"/>
  <c r="B67" i="71"/>
  <c r="F67" i="71"/>
  <c r="F68" i="71"/>
  <c r="B2" i="71"/>
  <c r="C19" i="9"/>
  <c r="G19" i="9"/>
  <c r="C32" i="9"/>
  <c r="C42" i="9"/>
  <c r="C44" i="9"/>
  <c r="D44" i="9"/>
  <c r="O39" i="9"/>
  <c r="K29" i="9"/>
  <c r="K30" i="9"/>
  <c r="R6" i="54"/>
  <c r="B50" i="63"/>
  <c r="N69" i="9"/>
  <c r="M83" i="9"/>
  <c r="N83" i="9"/>
  <c r="M84" i="9"/>
  <c r="N84" i="9"/>
  <c r="M85" i="9"/>
  <c r="N85" i="9"/>
  <c r="M86" i="9"/>
  <c r="N86" i="9"/>
  <c r="M87" i="9"/>
  <c r="N87" i="9"/>
  <c r="M88" i="9"/>
  <c r="N88" i="9"/>
  <c r="N89" i="9"/>
  <c r="O89" i="9"/>
  <c r="G14" i="66"/>
  <c r="B6" i="66"/>
  <c r="C6" i="66"/>
  <c r="F44" i="9"/>
  <c r="E44" i="9"/>
  <c r="D6" i="66"/>
  <c r="B3" i="71"/>
  <c r="C20" i="9"/>
  <c r="G20" i="9"/>
  <c r="B4" i="71"/>
  <c r="C21" i="9"/>
  <c r="G21" i="9"/>
  <c r="D22" i="9"/>
  <c r="L43" i="9"/>
  <c r="N43" i="9"/>
  <c r="G22" i="9"/>
  <c r="C35" i="9"/>
  <c r="F42" i="9"/>
  <c r="O43" i="9"/>
  <c r="C34" i="9"/>
  <c r="M38" i="9"/>
  <c r="K27" i="9"/>
  <c r="E42" i="9"/>
  <c r="P5" i="54"/>
  <c r="B46" i="63"/>
  <c r="N68" i="9"/>
  <c r="R5" i="54"/>
  <c r="B48" i="63"/>
  <c r="O38" i="9"/>
  <c r="K26" i="9"/>
  <c r="K25" i="9"/>
  <c r="C33" i="9"/>
  <c r="N38" i="9"/>
  <c r="K28" i="9"/>
  <c r="D42" i="9"/>
  <c r="Q5" i="54"/>
  <c r="B47" i="63"/>
  <c r="D14" i="66"/>
  <c r="E14" i="66"/>
  <c r="F14" i="66"/>
  <c r="D63" i="9"/>
  <c r="C82" i="9"/>
  <c r="C81" i="9"/>
  <c r="C85" i="9"/>
  <c r="C86" i="9"/>
  <c r="D72" i="9"/>
  <c r="D70" i="9"/>
  <c r="C90" i="9"/>
  <c r="C96" i="9"/>
  <c r="C91" i="9"/>
  <c r="C97" i="9"/>
  <c r="C98" i="9"/>
  <c r="C99" i="9"/>
  <c r="E98" i="9"/>
  <c r="E99" i="9"/>
  <c r="C103" i="9"/>
  <c r="C111" i="9"/>
  <c r="C104" i="9"/>
  <c r="C113" i="9"/>
  <c r="C114" i="9"/>
  <c r="E114" i="9"/>
  <c r="E115" i="9"/>
  <c r="D71" i="9"/>
  <c r="D66" i="9"/>
  <c r="N72" i="9"/>
  <c r="C115" i="9"/>
  <c r="D76" i="9"/>
  <c r="D74" i="9"/>
  <c r="N74" i="9"/>
  <c r="D77" i="9"/>
  <c r="N75" i="9"/>
  <c r="O77" i="9"/>
  <c r="Q77" i="9"/>
  <c r="O78" i="9"/>
  <c r="O79" i="9"/>
  <c r="O81" i="9"/>
  <c r="O80" i="9"/>
  <c r="B5" i="71"/>
  <c r="I49" i="71"/>
  <c r="E49" i="71"/>
  <c r="I54" i="71"/>
  <c r="J54" i="71"/>
  <c r="G49" i="71"/>
  <c r="G54" i="71"/>
  <c r="H54" i="71"/>
  <c r="E54" i="71"/>
  <c r="F54" i="71"/>
  <c r="I53" i="71"/>
  <c r="J53" i="71"/>
  <c r="G53" i="71"/>
  <c r="H53" i="71"/>
  <c r="E53" i="71"/>
  <c r="F53" i="71"/>
  <c r="C49" i="71"/>
  <c r="W12" i="71"/>
  <c r="U12" i="71"/>
  <c r="S12" i="71"/>
  <c r="F12" i="40"/>
  <c r="AA12" i="40"/>
  <c r="S12" i="40"/>
  <c r="F12" i="39"/>
  <c r="S12" i="39"/>
  <c r="J12" i="40"/>
  <c r="W12" i="40"/>
  <c r="AC12" i="40"/>
  <c r="J12" i="39"/>
  <c r="W12" i="39"/>
  <c r="H12" i="40"/>
  <c r="AB12" i="40"/>
  <c r="U12" i="40"/>
  <c r="H12" i="39"/>
  <c r="U12" i="39"/>
  <c r="AA12" i="39"/>
  <c r="R49" i="39"/>
  <c r="AB12" i="39"/>
  <c r="T49"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4" i="39"/>
  <c r="B3" i="39"/>
  <c r="B5" i="39"/>
  <c r="C49" i="39"/>
  <c r="E49" i="39"/>
  <c r="G49" i="39"/>
  <c r="E54" i="39"/>
  <c r="F54" i="39"/>
  <c r="E53" i="39"/>
  <c r="F53" i="39"/>
  <c r="I49" i="39"/>
  <c r="I54" i="39"/>
  <c r="J54" i="39"/>
  <c r="I53" i="39"/>
  <c r="J53" i="39"/>
  <c r="G53" i="39"/>
  <c r="H53" i="39"/>
  <c r="G54" i="39"/>
  <c r="H54" i="39"/>
  <c r="B5" i="66"/>
  <c r="G54" i="73"/>
  <c r="C5" i="66"/>
  <c r="H54" i="73"/>
  <c r="D5" i="66"/>
  <c r="I54" i="7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<sst xmlns="http://schemas.openxmlformats.org/spreadsheetml/2006/main" count="8629" uniqueCount="3525">
  <si>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</si>
  <si>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</si>
  <si>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</si>
  <si>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</si>
  <si>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</si>
  <si>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</si>
  <si>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</si>
  <si>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</si>
  <si>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</si>
  <si>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</si>
  <si>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</si>
  <si>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</si>
  <si>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</si>
  <si>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</si>
  <si>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</si>
  <si>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</si>
  <si>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</si>
  <si>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</si>
  <si>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</si>
  <si>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</si>
  <si>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</si>
  <si>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</si>
  <si>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</si>
  <si>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</si>
  <si>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</si>
  <si>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</si>
  <si>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</si>
  <si>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</si>
  <si>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</si>
  <si>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</si>
  <si>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</si>
  <si>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</si>
  <si>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</si>
  <si>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</si>
  <si>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</si>
  <si>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</si>
  <si>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</si>
  <si>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</si>
  <si>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</si>
  <si>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</si>
  <si>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</si>
  <si>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</si>
  <si>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</si>
  <si>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</si>
  <si>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</si>
  <si>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</si>
  <si>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</si>
  <si>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</si>
  <si>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</si>
  <si>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</si>
  <si>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</si>
  <si>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</si>
  <si>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</si>
  <si>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</si>
  <si>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</si>
  <si>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</si>
  <si>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</si>
  <si>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</si>
  <si>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</si>
  <si>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</si>
  <si>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</si>
  <si>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</si>
  <si>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</si>
  <si>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</si>
  <si>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</si>
  <si>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</si>
  <si>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</si>
  <si>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</si>
  <si>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</si>
  <si>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</si>
  <si>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</si>
  <si>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</si>
  <si>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</si>
  <si>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</si>
  <si>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</si>
  <si>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</si>
  <si>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</si>
  <si>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</si>
  <si>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</si>
  <si>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</si>
  <si>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</si>
  <si>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</si>
  <si>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</si>
  <si>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</si>
  <si>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</si>
  <si>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</si>
  <si>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</si>
  <si>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</si>
  <si>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</si>
  <si>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</si>
  <si>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</si>
  <si>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</si>
  <si>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</si>
  <si>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</si>
  <si>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</si>
  <si>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</si>
  <si>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</si>
  <si>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</si>
  <si>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</si>
  <si>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</si>
  <si>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</si>
  <si>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</si>
  <si>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</si>
  <si>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</si>
  <si>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</si>
  <si>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</si>
  <si>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</si>
  <si>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</si>
  <si>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</si>
  <si>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</si>
  <si>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</si>
  <si>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</si>
  <si>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</si>
  <si>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</si>
  <si>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</si>
  <si>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</si>
  <si>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</si>
  <si>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</si>
  <si>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</si>
  <si>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</si>
  <si>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</si>
  <si>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</si>
  <si>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</si>
  <si>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</si>
  <si>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</si>
  <si>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</si>
  <si>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</si>
  <si>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</si>
  <si>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</si>
  <si>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</si>
  <si>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</si>
  <si>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</si>
  <si>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</si>
  <si>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</si>
  <si>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</si>
  <si>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</si>
  <si>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</si>
  <si>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</si>
  <si>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</si>
  <si>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</si>
  <si>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</si>
  <si>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</si>
  <si>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</si>
  <si>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</si>
  <si>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</si>
  <si>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</si>
  <si>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</si>
  <si>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</si>
  <si>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</si>
  <si>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</si>
  <si>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</si>
  <si>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</si>
  <si>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</si>
  <si>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</si>
  <si>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</si>
  <si>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</si>
  <si>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</si>
  <si>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</si>
  <si>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</si>
  <si>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</si>
  <si>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</si>
  <si>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</si>
  <si>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</si>
  <si>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</si>
  <si>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</si>
  <si>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</si>
  <si>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</si>
  <si>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</si>
  <si>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</si>
  <si>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</si>
  <si>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</si>
  <si>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</si>
  <si>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</si>
  <si>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</si>
  <si>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</si>
  <si>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</si>
  <si>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</si>
  <si>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</si>
  <si>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</si>
  <si>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</si>
  <si>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</si>
  <si>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</si>
  <si>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</si>
  <si>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</si>
  <si>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</si>
  <si>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</si>
  <si>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</si>
  <si>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</si>
  <si>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</si>
  <si>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</si>
  <si>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</si>
  <si>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</si>
  <si>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</si>
  <si>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</si>
  <si>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</si>
  <si>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</si>
  <si>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</si>
  <si>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</si>
  <si>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</si>
  <si>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</si>
  <si>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</si>
  <si>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</si>
  <si>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</si>
  <si>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</si>
  <si>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</si>
  <si>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</si>
  <si>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</si>
  <si>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</si>
  <si>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</si>
  <si>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</si>
  <si>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</si>
  <si>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</si>
  <si>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</si>
  <si>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</si>
  <si>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</si>
  <si>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</si>
  <si>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</si>
  <si>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</si>
  <si>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</si>
  <si>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</si>
  <si>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</si>
  <si>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</si>
  <si>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</si>
  <si>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</si>
  <si>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</si>
  <si>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</si>
  <si>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</si>
  <si>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</si>
  <si>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</si>
  <si>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</si>
  <si>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</si>
  <si>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</si>
  <si>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</si>
  <si>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</si>
  <si>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</si>
  <si>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</si>
  <si>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</si>
  <si>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</si>
  <si>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</si>
  <si>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</si>
  <si>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</si>
  <si>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</si>
  <si>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</si>
  <si>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</si>
  <si>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</si>
  <si>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</si>
  <si>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</si>
  <si>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</si>
  <si>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</si>
  <si>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</si>
  <si>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</si>
  <si>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</si>
  <si>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</si>
  <si>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</si>
  <si>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</si>
  <si>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</si>
  <si>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</si>
  <si>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</si>
  <si>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</si>
  <si>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</si>
  <si>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</si>
  <si>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</si>
  <si>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</si>
  <si>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</si>
  <si>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</si>
  <si>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</si>
  <si>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</si>
  <si>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</si>
  <si>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</si>
  <si>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</si>
  <si>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</si>
  <si>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</si>
  <si>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</si>
  <si>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</si>
  <si>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</si>
  <si>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</si>
  <si>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</si>
  <si>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</si>
  <si>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</si>
  <si>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</si>
  <si>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</si>
  <si>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</si>
  <si>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</si>
  <si>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</si>
  <si>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</si>
  <si>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</si>
  <si>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</si>
  <si>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</si>
  <si>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</si>
  <si>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</si>
  <si>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</si>
  <si>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</si>
  <si>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</si>
  <si>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</si>
  <si>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</si>
  <si>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</si>
  <si>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</si>
  <si>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</si>
  <si>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</si>
  <si>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</si>
  <si>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</si>
  <si>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</si>
  <si>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</si>
  <si>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</si>
  <si>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</si>
  <si>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</si>
  <si>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</si>
  <si>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</si>
  <si>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</si>
  <si>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</si>
  <si>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</si>
  <si>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</si>
  <si>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</si>
  <si>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</si>
  <si>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</si>
  <si>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</si>
  <si>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</si>
  <si>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</si>
  <si>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</si>
  <si>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</si>
  <si>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</si>
  <si>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</si>
  <si>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</si>
  <si>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</si>
  <si>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</si>
  <si>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</si>
  <si>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</si>
  <si>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</si>
  <si>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</si>
  <si>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</si>
  <si>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</si>
  <si>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</si>
  <si>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</si>
  <si>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</si>
  <si>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</si>
  <si>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</si>
  <si>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</si>
  <si>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</si>
  <si>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</si>
  <si>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</si>
  <si>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</si>
  <si>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</si>
  <si>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</si>
  <si>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</si>
  <si>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</si>
  <si>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</si>
  <si>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</si>
  <si>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</si>
  <si>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</si>
  <si>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</si>
  <si>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</si>
  <si>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</si>
  <si>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</si>
  <si>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</si>
  <si>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</si>
  <si>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</si>
  <si>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</si>
  <si>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</si>
  <si>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</si>
  <si>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</si>
  <si>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</si>
  <si>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</si>
  <si>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</si>
  <si>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</si>
  <si>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</si>
  <si>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</si>
  <si>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</si>
  <si>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</si>
  <si>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</si>
  <si>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</si>
  <si>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</si>
  <si>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</si>
  <si>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</si>
  <si>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</si>
  <si>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</si>
  <si>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</si>
  <si>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</si>
  <si>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</si>
  <si>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</si>
  <si>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</si>
  <si>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</si>
  <si>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</si>
  <si>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</si>
  <si>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</si>
  <si>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</si>
  <si>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</si>
  <si>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</si>
  <si>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</si>
  <si>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</si>
  <si>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</si>
  <si>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</si>
  <si>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</si>
  <si>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</si>
  <si>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</si>
  <si>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</si>
  <si>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</si>
  <si>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</si>
  <si>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</si>
  <si>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</si>
  <si>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</si>
  <si>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</si>
  <si>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</si>
  <si>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</si>
  <si>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</si>
  <si>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</si>
  <si>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</si>
  <si>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</si>
  <si>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</si>
  <si>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</si>
  <si>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</si>
  <si>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</si>
  <si>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</si>
  <si>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</si>
  <si>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</si>
  <si>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</si>
  <si>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</si>
  <si>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</si>
  <si>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</si>
  <si>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</si>
  <si>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</si>
  <si>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</si>
  <si>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</si>
  <si>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</si>
  <si>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</si>
  <si>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</si>
  <si>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</si>
  <si>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</si>
  <si>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</si>
  <si>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</si>
  <si>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</si>
  <si>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</si>
  <si>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</si>
  <si>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</si>
  <si>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</si>
  <si>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</si>
  <si>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</si>
  <si>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</si>
  <si>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</si>
  <si>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</si>
  <si>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</si>
  <si>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</si>
  <si>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</si>
  <si>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</si>
  <si>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</si>
  <si>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</si>
  <si>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</si>
  <si>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</si>
  <si>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</si>
  <si>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</si>
  <si>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</si>
  <si>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</si>
  <si>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</si>
  <si>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</si>
  <si>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</si>
  <si>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</si>
  <si>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</si>
  <si>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</si>
  <si>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</si>
  <si>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</si>
  <si>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</si>
  <si>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</si>
  <si>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</si>
  <si>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</si>
  <si>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</si>
  <si>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</si>
  <si>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</si>
  <si>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</si>
  <si>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</si>
  <si>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</si>
  <si>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</si>
  <si>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</si>
  <si>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</si>
  <si>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</si>
  <si>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</si>
  <si>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</si>
  <si>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</si>
  <si>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</si>
  <si>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</si>
  <si>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</si>
  <si>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</si>
  <si>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</si>
  <si>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</si>
  <si>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</si>
  <si>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</si>
  <si>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</si>
  <si>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</si>
  <si>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</si>
  <si>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</si>
  <si>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</si>
  <si>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</si>
  <si>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</si>
  <si>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</si>
  <si>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</si>
  <si>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</si>
  <si>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</si>
  <si>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</si>
  <si>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</si>
  <si>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</si>
  <si>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</si>
  <si>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</si>
  <si>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</si>
  <si>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</si>
  <si>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</si>
  <si>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</si>
  <si>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</si>
  <si>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</si>
  <si>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</si>
  <si>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</si>
  <si>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</si>
  <si>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</si>
  <si>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</si>
  <si>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</si>
  <si>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</si>
  <si>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</si>
  <si>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</si>
  <si>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</si>
  <si>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</si>
  <si>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</si>
  <si>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</si>
  <si>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</si>
  <si>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</si>
  <si>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</si>
  <si>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</si>
  <si>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</si>
  <si>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</si>
  <si>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</si>
  <si>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</si>
  <si>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</si>
  <si>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</si>
  <si>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</si>
  <si>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</si>
  <si>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</si>
  <si>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</si>
  <si>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</si>
  <si>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</si>
  <si>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</si>
  <si>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</si>
  <si>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</si>
  <si>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</si>
  <si>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</si>
  <si>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</si>
  <si>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</si>
  <si>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</si>
  <si>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</si>
  <si>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</si>
  <si>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</si>
  <si>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</si>
  <si>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</si>
  <si>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</si>
  <si>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</si>
  <si>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</si>
  <si>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</si>
  <si>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</si>
  <si>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</si>
  <si>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</si>
  <si>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</si>
  <si>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</si>
  <si>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</si>
  <si>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</si>
  <si>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</si>
  <si>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</si>
  <si>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</si>
  <si>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</si>
  <si>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</si>
  <si>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</si>
  <si>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</si>
  <si>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</si>
  <si>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</si>
  <si>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</si>
  <si>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</si>
  <si>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</si>
  <si>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</si>
  <si>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</si>
  <si>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</si>
  <si>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</si>
  <si>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</si>
  <si>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</si>
  <si>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</si>
  <si>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</si>
  <si>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</si>
  <si>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</si>
  <si>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</si>
  <si>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</si>
  <si>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</si>
  <si>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</si>
  <si>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</si>
  <si>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</si>
  <si>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</si>
  <si>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</si>
  <si>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</si>
  <si>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</si>
  <si>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</si>
  <si>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</si>
  <si>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</si>
  <si>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</si>
  <si>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</si>
  <si>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</si>
  <si>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</si>
  <si>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</si>
  <si>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</si>
  <si>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</si>
  <si>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</si>
  <si>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</si>
  <si>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</si>
  <si>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</si>
  <si>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</si>
  <si>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</si>
  <si>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</si>
  <si>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</si>
  <si>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</si>
  <si>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</si>
  <si>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</si>
  <si>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</si>
  <si>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</si>
  <si>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</si>
  <si>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</si>
  <si>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</si>
  <si>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</si>
  <si>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</si>
  <si>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</si>
  <si>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</si>
  <si>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</si>
  <si>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</si>
  <si>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</si>
  <si>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</si>
  <si>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</si>
  <si>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</si>
  <si>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</si>
  <si>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</si>
  <si>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</si>
  <si>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</si>
  <si>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</si>
  <si>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</si>
  <si>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</si>
  <si>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</si>
  <si>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</si>
  <si>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</si>
  <si>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</si>
  <si>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</si>
  <si>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</si>
  <si>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</si>
  <si>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</si>
  <si>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</si>
  <si>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</si>
  <si>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</si>
  <si>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</si>
  <si>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</si>
  <si>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</si>
  <si>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</si>
  <si>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</si>
  <si>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</si>
  <si>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</si>
  <si>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</si>
  <si>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</si>
  <si>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</si>
  <si>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</si>
  <si>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</si>
  <si>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</si>
  <si>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</si>
  <si>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</si>
  <si>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</si>
  <si>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</si>
  <si>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</si>
  <si>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</si>
  <si>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</si>
  <si>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</si>
  <si>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</si>
  <si>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</si>
  <si>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</si>
  <si>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</si>
  <si>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</si>
  <si>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</si>
  <si>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</si>
  <si>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</si>
  <si>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</si>
  <si>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</si>
  <si>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</si>
  <si>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</si>
  <si>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</si>
  <si>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</si>
  <si>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</si>
  <si>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</si>
  <si>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</si>
  <si>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</si>
  <si>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</si>
  <si>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</si>
  <si>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</si>
  <si>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</si>
  <si>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</si>
  <si>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</si>
  <si>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</si>
  <si>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</si>
  <si>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</si>
  <si>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</si>
  <si>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</si>
  <si>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</si>
  <si>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</si>
  <si>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</si>
  <si>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</si>
  <si>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</si>
  <si>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</si>
  <si>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</si>
  <si>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</si>
  <si>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</si>
  <si>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</si>
  <si>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</si>
  <si>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</si>
  <si>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</si>
  <si>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</si>
  <si>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</si>
  <si>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</si>
  <si>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</si>
  <si>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</si>
  <si>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</si>
  <si>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</si>
  <si>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</si>
  <si>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</si>
  <si>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</si>
  <si>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</si>
  <si>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</si>
  <si>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</si>
  <si>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</si>
  <si>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</si>
  <si>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</si>
  <si>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</si>
  <si>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</si>
  <si>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</si>
  <si>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</si>
  <si>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</si>
  <si>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</si>
  <si>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</si>
  <si>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</si>
  <si>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</si>
  <si>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</si>
  <si>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</si>
  <si>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</si>
  <si>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</si>
  <si>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</si>
  <si>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</si>
  <si>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</si>
  <si>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</si>
  <si>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</si>
  <si>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</si>
  <si>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</si>
  <si>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</si>
  <si>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</si>
  <si>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</si>
  <si>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</si>
  <si>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</si>
  <si>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</si>
  <si>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</si>
  <si>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</si>
  <si>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</si>
  <si>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</si>
  <si>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</si>
  <si>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</si>
  <si>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</si>
  <si>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</si>
  <si>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</si>
  <si>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</si>
  <si>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</si>
  <si>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</si>
  <si>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</si>
  <si>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</si>
  <si>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</si>
  <si>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</si>
  <si>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</si>
  <si>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</si>
  <si>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</si>
  <si>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</si>
  <si>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</si>
  <si>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</si>
  <si>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</si>
  <si>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</si>
  <si>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</si>
  <si>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</si>
  <si>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</si>
  <si>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</si>
  <si>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</si>
  <si>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</si>
  <si>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</si>
  <si>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</si>
  <si>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</si>
  <si>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</si>
  <si>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</si>
  <si>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</si>
  <si>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</si>
  <si>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</si>
  <si>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</si>
  <si>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</si>
  <si>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</si>
  <si>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</si>
  <si>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</si>
  <si>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</si>
  <si>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</si>
  <si>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</si>
  <si>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</si>
  <si>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</si>
  <si>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</si>
  <si>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</si>
  <si>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</si>
  <si>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</si>
  <si>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</si>
  <si>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</si>
  <si>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</si>
  <si>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</si>
  <si>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</si>
  <si>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</si>
  <si>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</si>
  <si>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</si>
  <si>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</si>
  <si>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</si>
  <si>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</si>
  <si>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</si>
  <si>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</si>
  <si>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</si>
  <si>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</si>
  <si>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</si>
  <si>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</si>
  <si>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</si>
  <si>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</si>
  <si>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</si>
  <si>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</si>
  <si>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</si>
  <si>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</si>
  <si>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</si>
  <si>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</si>
  <si>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</si>
  <si>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</si>
  <si>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</si>
  <si>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</si>
  <si>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</si>
  <si>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</si>
  <si>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</si>
  <si>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</si>
  <si>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</si>
  <si>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</si>
  <si>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</si>
  <si>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</si>
  <si>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</si>
  <si>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</si>
  <si>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</si>
  <si>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</si>
  <si>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</si>
  <si>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</si>
  <si>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</si>
  <si>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</si>
  <si>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</si>
  <si>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</si>
  <si>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</si>
  <si>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</si>
  <si>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</si>
  <si>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</si>
  <si>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</si>
  <si>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</si>
  <si>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</si>
  <si>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</si>
  <si>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</si>
  <si>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</si>
  <si>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</si>
  <si>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</si>
  <si>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</si>
  <si>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</si>
  <si>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</si>
  <si>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</si>
  <si>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</si>
  <si>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</si>
  <si>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</si>
  <si>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</si>
  <si>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</si>
  <si>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</si>
  <si>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</si>
  <si>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</si>
  <si>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</si>
  <si>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</si>
  <si>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</si>
  <si>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</si>
  <si>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</si>
  <si>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</si>
  <si>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</si>
  <si>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</si>
  <si>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</si>
  <si>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</si>
  <si>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</si>
  <si>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</si>
  <si>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</si>
  <si>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</si>
  <si>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</si>
  <si>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</si>
  <si>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</si>
  <si>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</si>
  <si>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</si>
  <si>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</si>
  <si>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</si>
  <si>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</si>
  <si>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</si>
  <si>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</si>
  <si>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</si>
  <si>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</si>
  <si>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</si>
  <si>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</si>
  <si>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</si>
  <si>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</si>
  <si>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</si>
  <si>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</si>
  <si>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</si>
  <si>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</si>
  <si>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</si>
  <si>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</si>
  <si>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</si>
  <si>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</si>
  <si>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</si>
  <si>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</si>
  <si>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</si>
  <si>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</si>
  <si>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</si>
  <si>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</si>
  <si>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</si>
  <si>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</si>
  <si>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</si>
  <si>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</si>
  <si>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</si>
  <si>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</si>
  <si>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</si>
  <si>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</si>
  <si>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</si>
  <si>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</si>
  <si>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</si>
  <si>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</si>
  <si>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</si>
  <si>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</si>
  <si>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</si>
  <si>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</si>
  <si>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</si>
  <si>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</si>
  <si>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</si>
  <si>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</si>
  <si>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</si>
  <si>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</si>
  <si>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</si>
  <si>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</si>
  <si>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</si>
  <si>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</si>
  <si>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</si>
  <si>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</si>
  <si>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</si>
  <si>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</si>
  <si>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</si>
  <si>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</si>
  <si>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</si>
  <si>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</si>
  <si>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</si>
  <si>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</si>
  <si>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</si>
  <si>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</si>
  <si>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</si>
  <si>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</si>
  <si>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</si>
  <si>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</si>
  <si>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</si>
  <si>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</si>
  <si>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</si>
  <si>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</si>
  <si>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</si>
  <si>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</si>
  <si>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</si>
  <si>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</si>
  <si>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</si>
  <si>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</si>
  <si>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</si>
  <si>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</si>
  <si>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</si>
  <si>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</si>
  <si>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</si>
  <si>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</si>
  <si>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</si>
  <si>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</si>
  <si>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</si>
  <si>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</si>
  <si>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</si>
  <si>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</si>
  <si>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</si>
  <si>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</si>
  <si>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</si>
  <si>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</si>
  <si>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</si>
  <si>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</si>
  <si>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</si>
  <si>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</si>
  <si>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</si>
  <si>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</si>
  <si>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</si>
  <si>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</si>
  <si>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</si>
  <si>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</si>
  <si>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</si>
  <si>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</si>
  <si>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</si>
  <si>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</si>
  <si>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</si>
  <si>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</si>
  <si>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</si>
  <si>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</si>
  <si>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</si>
  <si>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</si>
  <si>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</si>
  <si>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</si>
  <si>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</si>
  <si>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</si>
  <si>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</si>
  <si>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</si>
  <si>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</si>
  <si>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</si>
  <si>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</si>
  <si>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</si>
  <si>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</si>
  <si>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</si>
  <si>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</si>
  <si>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</si>
  <si>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</si>
  <si>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</si>
  <si>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</si>
  <si>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</si>
  <si>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</si>
  <si>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</si>
  <si>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</si>
  <si>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</si>
  <si>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</si>
  <si>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</si>
  <si>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</si>
  <si>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</si>
  <si>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</si>
  <si>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</si>
  <si>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</si>
  <si>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</si>
  <si>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</si>
  <si>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</si>
  <si>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</si>
  <si>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</si>
  <si>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</si>
  <si>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</si>
  <si>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</si>
  <si>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</si>
  <si>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</si>
  <si>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</si>
  <si>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</si>
  <si>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</si>
  <si>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</si>
  <si>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</si>
  <si>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</si>
  <si>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</si>
  <si>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</si>
  <si>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</si>
  <si>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</si>
  <si>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</si>
  <si>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</si>
  <si>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</si>
  <si>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</si>
  <si>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</si>
  <si>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</si>
  <si>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</si>
  <si>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</si>
  <si>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</si>
  <si>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</si>
  <si>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</si>
  <si>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</si>
  <si>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</si>
  <si>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</si>
  <si>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</si>
  <si>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</si>
  <si>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</si>
  <si>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</si>
  <si>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</si>
  <si>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</si>
  <si>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</si>
  <si>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</si>
  <si>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</si>
  <si>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</si>
  <si>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</si>
  <si>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</si>
  <si>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</si>
  <si>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</si>
  <si>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</si>
  <si>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</si>
  <si>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</si>
  <si>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</si>
  <si>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</si>
  <si>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</si>
  <si>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</si>
  <si>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</si>
  <si>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</si>
  <si>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</si>
  <si>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</si>
  <si>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</si>
  <si>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</si>
  <si>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</si>
  <si>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</si>
  <si>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</si>
  <si>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</si>
  <si>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</si>
  <si>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</si>
  <si>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</si>
  <si>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</si>
  <si>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</si>
  <si>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</si>
  <si>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</si>
  <si>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</si>
  <si>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</si>
  <si>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</si>
  <si>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</si>
  <si>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</si>
  <si>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</si>
  <si>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</si>
  <si>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</si>
  <si>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</si>
  <si>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</si>
  <si>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</si>
  <si>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</si>
  <si>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</si>
  <si>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</si>
  <si>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</si>
  <si>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</si>
  <si>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</si>
  <si>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</si>
  <si>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</si>
  <si>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</si>
  <si>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</si>
  <si>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</si>
  <si>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</si>
  <si>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</si>
  <si>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</si>
  <si>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</si>
  <si>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</si>
  <si>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</si>
  <si>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</si>
  <si>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</si>
  <si>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</si>
  <si>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</si>
  <si>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</si>
  <si>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</si>
  <si>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</si>
  <si>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</si>
  <si>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</si>
  <si>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</si>
  <si>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</si>
  <si>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</si>
  <si>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</si>
  <si>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</si>
  <si>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</si>
  <si>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</si>
  <si>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</si>
  <si>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</si>
  <si>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</si>
  <si>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</si>
  <si>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</si>
  <si>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</si>
  <si>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</si>
  <si>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</si>
  <si>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</si>
  <si>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</si>
  <si>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</si>
  <si>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</si>
  <si>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</si>
  <si>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</si>
  <si>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</si>
  <si>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</si>
  <si>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</si>
  <si>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</si>
  <si>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</si>
  <si>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</si>
  <si>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</si>
  <si>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</si>
  <si>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</si>
  <si>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</si>
  <si>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</si>
  <si>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</si>
  <si>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</si>
  <si>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</si>
  <si>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</si>
  <si>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</si>
  <si>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</si>
  <si>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</si>
  <si>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</si>
  <si>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</si>
  <si>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</si>
  <si>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</si>
  <si>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</si>
  <si>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</si>
  <si>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</si>
  <si>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</si>
  <si>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</si>
  <si>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</si>
  <si>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</si>
  <si>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</si>
  <si>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</si>
  <si>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</si>
  <si>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</si>
  <si>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</si>
  <si>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</si>
  <si>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</si>
  <si>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</si>
  <si>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</si>
  <si>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</si>
  <si>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</si>
  <si>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</si>
  <si>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</si>
  <si>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</si>
  <si>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</si>
  <si>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</si>
  <si>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</si>
  <si>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</si>
  <si>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</si>
  <si>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</si>
  <si>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</si>
  <si>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</si>
  <si>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</si>
  <si>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</si>
  <si>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</si>
  <si>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</si>
  <si>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</si>
  <si>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</si>
  <si>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</si>
  <si>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</si>
  <si>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</si>
  <si>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</si>
  <si>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</si>
  <si>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</si>
  <si>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</si>
  <si>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</si>
  <si>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</si>
  <si>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</si>
  <si>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</si>
  <si>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</si>
  <si>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</si>
  <si>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</si>
  <si>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</si>
  <si>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</si>
  <si>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</si>
  <si>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</si>
  <si>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</si>
  <si>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</si>
  <si>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</si>
  <si>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</si>
  <si>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</si>
  <si>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</si>
  <si>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</si>
  <si>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</si>
  <si>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</si>
  <si>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</si>
  <si>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</si>
  <si>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</si>
  <si>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</si>
  <si>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</si>
  <si>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</si>
  <si>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</si>
  <si>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</si>
  <si>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</si>
  <si>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</si>
  <si>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</si>
  <si>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</si>
  <si>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</si>
  <si>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</si>
  <si>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</si>
  <si>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</si>
  <si>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</si>
  <si>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</si>
  <si>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</si>
  <si>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</si>
  <si>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</si>
  <si>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</si>
  <si>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</si>
  <si>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</si>
  <si>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</si>
  <si>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</si>
  <si>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</si>
  <si>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</si>
  <si>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</si>
  <si>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</si>
  <si>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</si>
  <si>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</si>
  <si>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</si>
  <si>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</si>
  <si>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</si>
  <si>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</si>
  <si>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</si>
  <si>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</si>
  <si>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</si>
  <si>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</si>
  <si>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</si>
  <si>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</si>
  <si>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</si>
  <si>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</si>
  <si>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</si>
  <si>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</si>
  <si>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</si>
  <si>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</si>
  <si>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</si>
  <si>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</si>
  <si>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</si>
  <si>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</si>
  <si>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</si>
  <si>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</si>
  <si>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</si>
  <si>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</si>
  <si>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</si>
  <si>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</si>
  <si>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</si>
  <si>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</si>
  <si>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</si>
  <si>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</si>
  <si>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</si>
  <si>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</si>
  <si>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</si>
  <si>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</si>
  <si>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</si>
  <si>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</si>
  <si>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</si>
  <si>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</si>
  <si>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</si>
  <si>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</si>
  <si>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</si>
  <si>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</si>
  <si>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</si>
  <si>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</si>
  <si>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</si>
  <si>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</si>
  <si>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</si>
  <si>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</si>
  <si>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</si>
  <si>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</si>
  <si>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</si>
  <si>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</si>
  <si>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</si>
  <si>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</si>
  <si>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</si>
  <si>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</si>
  <si>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</si>
  <si>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</si>
  <si>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</si>
  <si>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</si>
  <si>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</si>
  <si>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</si>
  <si>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</si>
  <si>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</si>
  <si>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</si>
  <si>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</si>
  <si>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</si>
  <si>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</si>
  <si>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</si>
  <si>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</si>
  <si>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</si>
  <si>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</si>
  <si>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</si>
  <si>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</si>
  <si>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</si>
  <si>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</si>
  <si>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</si>
  <si>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</si>
  <si>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</si>
  <si>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</si>
  <si>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</si>
  <si>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</si>
  <si>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</si>
  <si>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</si>
  <si>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</si>
  <si>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</si>
  <si>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</si>
  <si>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</si>
  <si>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</si>
  <si>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</si>
  <si>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</si>
  <si>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</si>
  <si>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</si>
  <si>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</si>
  <si>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</si>
  <si>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</si>
  <si>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</si>
  <si>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</si>
  <si>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</si>
  <si>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</si>
  <si>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</si>
  <si>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</si>
  <si>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</si>
  <si>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</si>
  <si>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</si>
  <si>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</si>
  <si>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</si>
  <si>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</si>
  <si>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</si>
  <si>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</si>
  <si>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</si>
  <si>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</si>
  <si>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</si>
  <si>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</si>
  <si>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</si>
  <si>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</si>
  <si>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</si>
  <si>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</si>
  <si>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</si>
  <si>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</si>
  <si>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</si>
  <si>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</si>
  <si>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</si>
  <si>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</si>
  <si>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</si>
  <si>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</si>
  <si>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</si>
  <si>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</si>
  <si>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</si>
  <si>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</si>
  <si>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</si>
  <si>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</si>
  <si>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</si>
  <si>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</si>
  <si>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</si>
  <si>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</si>
  <si>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</si>
  <si>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</si>
  <si>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</si>
  <si>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</si>
  <si>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</si>
  <si>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</si>
  <si>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</si>
  <si>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</si>
  <si>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</si>
  <si>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</si>
  <si>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</si>
  <si>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</si>
  <si>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</si>
  <si>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</si>
  <si>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</si>
  <si>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</si>
  <si>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</si>
  <si>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</si>
  <si>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</si>
  <si>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</si>
  <si>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</si>
  <si>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</si>
  <si>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</si>
  <si>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</si>
  <si>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</si>
  <si>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</si>
  <si>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</si>
  <si>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</si>
  <si>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</si>
  <si>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</si>
  <si>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</si>
  <si>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</si>
  <si>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</si>
  <si>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</si>
  <si>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</si>
  <si>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</si>
  <si>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</si>
  <si>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</si>
  <si>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</si>
  <si>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</si>
  <si>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</si>
  <si>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</si>
  <si>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</si>
  <si>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</si>
  <si>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</si>
  <si>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</si>
  <si>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</si>
  <si>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</si>
  <si>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</si>
  <si>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</si>
  <si>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</si>
  <si>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</si>
  <si>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</si>
  <si>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</si>
  <si>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</si>
  <si>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</si>
  <si>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</si>
  <si>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</si>
  <si>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</si>
  <si>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</si>
  <si>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</si>
  <si>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</si>
  <si>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</si>
  <si>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</si>
  <si>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</si>
  <si>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</si>
  <si>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</si>
  <si>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</si>
  <si>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</si>
  <si>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</si>
  <si>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</si>
  <si>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</si>
  <si>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</si>
  <si>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</si>
  <si>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</si>
  <si>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</si>
  <si>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</si>
  <si>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</si>
  <si>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</si>
  <si>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</si>
  <si>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</si>
  <si>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</si>
  <si>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</si>
  <si>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</si>
  <si>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</si>
  <si>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</si>
  <si>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</si>
  <si>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</si>
  <si>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</si>
  <si>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</si>
  <si>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</si>
  <si>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</si>
  <si>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</si>
  <si>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</si>
  <si>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</si>
  <si>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</si>
  <si>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</si>
  <si>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</si>
  <si>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</si>
  <si>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</si>
  <si>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</si>
  <si>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</si>
  <si>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</si>
  <si>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</si>
  <si>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</si>
  <si>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</si>
  <si>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</si>
  <si>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</si>
  <si>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</si>
  <si>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</si>
  <si>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</si>
  <si>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</si>
  <si>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</si>
  <si>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</si>
  <si>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</si>
  <si>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</si>
  <si>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</si>
  <si>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</si>
  <si>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</si>
  <si>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</si>
  <si>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</si>
  <si>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</si>
  <si>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</si>
  <si>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</si>
  <si>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</si>
  <si>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</si>
  <si>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</si>
  <si>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</si>
  <si>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</si>
  <si>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</si>
  <si>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</si>
  <si>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</si>
  <si>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</si>
  <si>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</si>
  <si>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</si>
  <si>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</si>
  <si>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</si>
  <si>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</si>
  <si>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</si>
  <si>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</si>
  <si>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</si>
  <si>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</si>
  <si>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</si>
  <si>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</si>
  <si>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</si>
  <si>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</si>
  <si>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</si>
  <si>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</si>
  <si>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</si>
  <si>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</si>
  <si>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</si>
  <si>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</si>
  <si>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</si>
  <si>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</si>
  <si>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</si>
  <si>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</si>
  <si>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</si>
  <si>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</si>
  <si>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</si>
  <si>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</si>
  <si>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</si>
  <si>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</si>
  <si>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</si>
  <si>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</si>
  <si>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</si>
  <si>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</si>
  <si>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</si>
  <si>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</si>
  <si>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</si>
  <si>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</si>
  <si>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</si>
  <si>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</si>
  <si>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</si>
  <si>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</si>
  <si>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</si>
  <si>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</si>
  <si>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</si>
  <si>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</si>
  <si>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</si>
  <si>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</si>
  <si>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</si>
  <si>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</si>
  <si>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</si>
  <si>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</si>
  <si>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</si>
  <si>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</si>
  <si>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</si>
  <si>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</si>
  <si>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</si>
  <si>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</si>
  <si>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</si>
  <si>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</si>
  <si>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</si>
  <si>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</si>
  <si>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</si>
  <si>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</si>
  <si>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</si>
  <si>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</si>
  <si>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</si>
  <si>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</si>
  <si>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</si>
  <si>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</si>
  <si>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</si>
  <si>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</si>
  <si>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</si>
  <si>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</si>
  <si>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</si>
  <si>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</si>
  <si>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</si>
  <si>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</si>
  <si>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</si>
  <si>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</si>
  <si>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</si>
  <si>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</si>
  <si>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</si>
  <si>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</si>
  <si>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</si>
  <si>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</si>
  <si>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</si>
  <si>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</si>
  <si>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</si>
  <si>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</si>
  <si>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</si>
  <si>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</si>
  <si>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</si>
  <si>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</si>
  <si>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</si>
  <si>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</si>
  <si>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</si>
  <si>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</si>
  <si>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</si>
  <si>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</si>
  <si>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</si>
  <si>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</si>
  <si>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</si>
  <si>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</si>
  <si>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</si>
  <si>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</si>
  <si>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</si>
  <si>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</si>
  <si>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</si>
  <si>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</si>
  <si>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</si>
  <si>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</si>
  <si>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</si>
  <si>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</si>
  <si>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</si>
  <si>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</si>
  <si>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</si>
  <si>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</si>
  <si>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</si>
  <si>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</si>
  <si>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</si>
  <si>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</si>
  <si>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</si>
  <si>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</si>
  <si>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</si>
  <si>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</si>
  <si>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</si>
  <si>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</si>
  <si>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</si>
  <si>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</si>
  <si>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</si>
  <si>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</si>
  <si>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</si>
  <si>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</si>
  <si>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</si>
  <si>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</si>
  <si>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</si>
  <si>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</si>
  <si>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</si>
  <si>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</si>
  <si>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</si>
  <si>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</si>
  <si>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</si>
  <si>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</si>
  <si>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</si>
  <si>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</si>
  <si>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</si>
  <si>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</si>
  <si>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</si>
  <si>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</si>
  <si>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</si>
  <si>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</si>
  <si>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</si>
  <si>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</si>
  <si>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</si>
  <si>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</si>
  <si>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</si>
  <si>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</si>
  <si>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</si>
  <si>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</si>
  <si>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</si>
  <si>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</si>
  <si>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</si>
  <si>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</si>
  <si>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</si>
  <si>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</si>
  <si>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</si>
  <si>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</si>
  <si>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</si>
  <si>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</si>
  <si>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</si>
  <si>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</si>
  <si>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</si>
  <si>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</si>
  <si>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</si>
  <si>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</si>
  <si>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</si>
  <si>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</si>
  <si>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</si>
  <si>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</si>
  <si>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</si>
  <si>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</si>
  <si>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</si>
  <si>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</si>
  <si>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</si>
  <si>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</si>
  <si>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</si>
  <si>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</si>
  <si>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</si>
  <si>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</si>
  <si>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</si>
  <si>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</si>
  <si>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</si>
  <si>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</si>
  <si>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</si>
  <si>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</si>
  <si>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</si>
  <si>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</si>
  <si>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</si>
  <si>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</si>
  <si>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</si>
  <si>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</si>
  <si>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</si>
  <si>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</si>
  <si>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</si>
  <si>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</si>
  <si>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</si>
  <si>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</si>
  <si>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</si>
  <si>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</si>
  <si>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</si>
  <si>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</si>
  <si>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</si>
  <si>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</si>
  <si>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</si>
  <si>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</si>
  <si>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</si>
  <si>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</si>
  <si>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</si>
  <si>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</si>
  <si>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</si>
  <si>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</si>
  <si>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</si>
  <si>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</si>
  <si>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</si>
  <si>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</si>
  <si>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</si>
  <si>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</si>
  <si>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</si>
  <si>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</si>
  <si>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</si>
  <si>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</si>
  <si>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</si>
  <si>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</si>
  <si>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</si>
  <si>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</si>
  <si>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</si>
  <si>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</si>
  <si>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</si>
  <si>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</si>
  <si>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</si>
  <si>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</si>
  <si>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</si>
  <si>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</si>
  <si>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</si>
  <si>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</si>
  <si>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</si>
  <si>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</si>
  <si>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</si>
  <si>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</si>
  <si>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</si>
  <si>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</si>
  <si>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</si>
  <si>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</si>
  <si>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</si>
  <si>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</si>
  <si>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</si>
  <si>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</si>
  <si>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</si>
  <si>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</si>
  <si>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</si>
  <si>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</si>
  <si>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</si>
  <si>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</si>
  <si>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</si>
  <si>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</si>
  <si>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</si>
  <si>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</si>
  <si>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</si>
  <si>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</si>
  <si>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</si>
  <si>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</si>
  <si>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</si>
  <si>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</si>
  <si>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</si>
  <si>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</si>
  <si>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</si>
  <si>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</si>
  <si>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</si>
  <si>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</si>
  <si>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</si>
  <si>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</si>
  <si>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</si>
  <si>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</si>
  <si>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</si>
  <si>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</si>
  <si>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</si>
  <si>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</si>
  <si>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</si>
  <si>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</si>
  <si>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</si>
  <si>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</si>
  <si>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</si>
  <si>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</si>
  <si>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</si>
  <si>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</si>
  <si>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</si>
  <si>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</si>
  <si>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</si>
  <si>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</si>
  <si>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</si>
  <si>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</si>
  <si>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</si>
  <si>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</si>
  <si>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</si>
  <si>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</si>
  <si>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</si>
  <si>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</si>
  <si>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</si>
  <si>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</si>
  <si>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</si>
  <si>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</si>
  <si>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</si>
  <si>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</si>
  <si>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</si>
  <si>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</si>
  <si>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</si>
  <si>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</si>
  <si>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</si>
  <si>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</si>
  <si>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</si>
  <si>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</si>
  <si>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</si>
  <si>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</si>
  <si>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</si>
  <si>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</si>
  <si>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</si>
  <si>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</si>
  <si>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</si>
  <si>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</si>
  <si>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</si>
  <si>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</si>
  <si>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</si>
  <si>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</si>
  <si>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</si>
  <si>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</si>
  <si>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</si>
  <si>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</si>
  <si>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</si>
  <si>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</si>
  <si>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</si>
  <si>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</si>
  <si>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</si>
  <si>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</si>
  <si>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</si>
  <si>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</si>
  <si>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</si>
  <si>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</si>
  <si>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</si>
  <si>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</si>
  <si>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</si>
  <si>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</si>
  <si>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</si>
  <si>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</si>
  <si>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</si>
  <si>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</si>
  <si>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</si>
  <si>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</si>
  <si>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</si>
  <si>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</si>
  <si>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</si>
  <si>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</si>
  <si>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</si>
  <si>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</si>
  <si>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</si>
  <si>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</si>
  <si>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</si>
  <si>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</si>
  <si>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</si>
  <si>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</si>
  <si>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</si>
  <si>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</si>
  <si>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</si>
  <si>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</si>
  <si>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</si>
  <si>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</si>
  <si>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</si>
  <si>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</si>
  <si>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</si>
  <si>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</si>
  <si>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</si>
  <si>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</si>
  <si>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</si>
  <si>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</si>
  <si>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</si>
  <si>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</si>
  <si>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</si>
  <si>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</si>
  <si>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</si>
  <si>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</si>
  <si>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</si>
  <si>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</si>
  <si>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</si>
  <si>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</si>
  <si>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</si>
  <si>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</si>
  <si>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</si>
  <si>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</si>
  <si>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</si>
  <si>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</si>
  <si>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</si>
  <si>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</si>
  <si>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</si>
  <si>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</si>
  <si>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</si>
  <si>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</si>
  <si>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</si>
  <si>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</si>
  <si>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</si>
  <si>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</si>
  <si>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</si>
  <si>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</si>
  <si>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</si>
  <si>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</si>
  <si>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</si>
  <si>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</si>
  <si>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</si>
  <si>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</si>
  <si>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</si>
  <si>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</si>
  <si>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</si>
  <si>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</si>
  <si>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</si>
  <si>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</si>
  <si>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</si>
  <si>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</si>
  <si>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</si>
  <si>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</si>
  <si>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</si>
  <si>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</si>
  <si>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</si>
  <si>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</si>
  <si>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</si>
  <si>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</si>
  <si>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</si>
  <si>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</si>
  <si>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</si>
  <si>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</si>
  <si>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</si>
  <si>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</si>
  <si>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</si>
  <si>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</si>
  <si>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</si>
  <si>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</si>
  <si>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</si>
  <si>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</si>
  <si>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</si>
  <si>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</si>
  <si>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</si>
  <si>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</si>
  <si>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</si>
  <si>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</si>
  <si>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</si>
  <si>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</si>
  <si>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</si>
  <si>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</si>
  <si>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</si>
  <si>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</si>
  <si>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</si>
  <si>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</si>
  <si>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</si>
  <si>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</si>
  <si>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</si>
  <si>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</si>
  <si>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</si>
  <si>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</si>
  <si>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</si>
  <si>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</si>
  <si>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</si>
  <si>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</si>
  <si>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</si>
  <si>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</si>
  <si>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</si>
  <si>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</si>
  <si>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</si>
  <si>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</si>
  <si>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</si>
  <si>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</si>
  <si>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</si>
  <si>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</si>
  <si>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</si>
  <si>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</si>
  <si>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</si>
  <si>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</si>
  <si>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</si>
  <si>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</si>
  <si>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</si>
  <si>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</si>
  <si>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</si>
  <si>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</si>
  <si>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</si>
  <si>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</si>
  <si>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</si>
  <si>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</si>
  <si>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</si>
  <si>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</si>
  <si>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</si>
  <si>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</si>
  <si>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</si>
  <si>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</si>
  <si>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</si>
  <si>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</si>
  <si>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</si>
  <si>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</si>
  <si>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</si>
  <si>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</si>
  <si>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</si>
  <si>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</si>
  <si>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</si>
  <si>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</si>
  <si>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</si>
  <si>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</si>
  <si>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</si>
  <si>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</si>
  <si>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</si>
  <si>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</si>
  <si>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</si>
  <si>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</si>
  <si>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</si>
  <si>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</si>
  <si>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</si>
  <si>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</si>
  <si>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</si>
  <si>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</si>
  <si>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</si>
  <si>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</si>
  <si>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</si>
  <si>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</si>
  <si>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</si>
  <si>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</si>
  <si>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</si>
  <si>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</si>
  <si>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</si>
  <si>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</si>
  <si>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</si>
  <si>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</si>
  <si>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</si>
  <si>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</si>
  <si>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</si>
  <si>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</si>
  <si>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</si>
  <si>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</si>
  <si>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</si>
  <si>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</si>
  <si>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</si>
  <si>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</si>
  <si>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</si>
  <si>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</si>
  <si>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</si>
  <si>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</si>
  <si>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</si>
  <si>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</si>
  <si>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</si>
  <si>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</si>
  <si>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</si>
  <si>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</si>
  <si>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</si>
  <si>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</si>
  <si>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</si>
  <si>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</si>
  <si>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</si>
  <si>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</si>
  <si>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</si>
  <si>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</si>
  <si>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</si>
  <si>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</si>
  <si>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</si>
  <si>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</si>
  <si>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</si>
  <si>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</si>
  <si>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</si>
  <si>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</si>
  <si>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</si>
  <si>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</si>
  <si>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</si>
  <si>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</si>
  <si>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</si>
  <si>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</si>
  <si>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</si>
  <si>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</si>
  <si>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</si>
  <si>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</si>
  <si>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</si>
  <si>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</si>
  <si>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</si>
  <si>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</si>
  <si>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</si>
  <si>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</si>
  <si>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</si>
  <si>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</si>
  <si>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</si>
  <si>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</si>
  <si>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</si>
  <si>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</si>
  <si>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</si>
  <si>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</si>
  <si>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</si>
  <si>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</si>
  <si>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</si>
  <si>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</si>
  <si>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</si>
  <si>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</si>
  <si>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</si>
  <si>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</si>
  <si>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</si>
  <si>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</si>
  <si>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</si>
  <si>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</si>
  <si>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</si>
  <si>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</si>
  <si>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</si>
  <si>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</si>
  <si>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</si>
  <si>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</si>
  <si>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</si>
  <si>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</si>
  <si>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</si>
  <si>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</si>
  <si>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</si>
  <si>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</si>
  <si>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</si>
  <si>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</si>
  <si>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</si>
  <si>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</si>
  <si>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</si>
  <si>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</si>
  <si>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</si>
  <si>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</si>
  <si>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</si>
  <si>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</si>
  <si>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</si>
  <si>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</si>
  <si>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</si>
  <si>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</si>
  <si>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</si>
  <si>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</si>
  <si>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</si>
  <si>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</si>
  <si>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</si>
  <si>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</si>
  <si>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</si>
  <si>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</si>
  <si>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</si>
  <si>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</si>
  <si>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</si>
  <si>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</si>
  <si>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</si>
  <si>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</si>
  <si>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</si>
  <si>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</si>
  <si>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</si>
  <si>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</si>
  <si>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</si>
  <si>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</si>
  <si>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</si>
  <si>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</si>
  <si>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</si>
  <si>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</si>
  <si>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</si>
  <si>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</si>
  <si>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</si>
  <si>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</si>
  <si>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</si>
  <si>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</si>
  <si>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</si>
  <si>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</si>
  <si>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</si>
  <si>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</si>
  <si>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</si>
  <si>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</si>
  <si>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</si>
  <si>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</si>
  <si>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</si>
  <si>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</si>
  <si>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</si>
  <si>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</si>
  <si>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</si>
  <si>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</si>
  <si>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</si>
  <si>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</si>
  <si>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</si>
  <si>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</si>
  <si>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</si>
  <si>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</si>
  <si>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</si>
  <si>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</si>
  <si>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</si>
  <si>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</si>
  <si>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</si>
  <si>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</si>
  <si>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</si>
  <si>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</si>
  <si>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</si>
  <si>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</si>
  <si>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</si>
  <si>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</si>
  <si>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</si>
  <si>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</si>
  <si>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</si>
  <si>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</si>
  <si>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</si>
  <si>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</si>
  <si>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</si>
  <si>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</si>
  <si>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</si>
  <si>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</si>
  <si>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</si>
  <si>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</si>
  <si>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</si>
  <si>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</si>
  <si>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</si>
  <si>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</si>
  <si>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</si>
  <si>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</si>
  <si>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</si>
  <si>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</si>
  <si>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</si>
  <si>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</si>
  <si>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</si>
  <si>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</si>
  <si>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</si>
  <si>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</si>
  <si>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</si>
  <si>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</si>
  <si>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</si>
  <si>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</si>
  <si>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</si>
  <si>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</si>
  <si>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</si>
  <si>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</si>
  <si>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</si>
  <si>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</si>
  <si>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</si>
  <si>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</si>
  <si>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</si>
  <si>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</si>
  <si>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</si>
  <si>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</si>
  <si>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</si>
  <si>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</si>
  <si>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</si>
  <si>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</si>
  <si>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</si>
  <si>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</si>
  <si>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</si>
  <si>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</si>
  <si>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</si>
  <si>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</si>
  <si>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</si>
  <si>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</si>
  <si>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</si>
  <si>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</si>
  <si>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</si>
  <si>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</si>
  <si>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</si>
  <si>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</si>
  <si>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</si>
  <si>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</si>
  <si>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</si>
  <si>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</si>
  <si>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</si>
  <si>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</si>
  <si>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</si>
  <si>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</si>
  <si>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</si>
  <si>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</si>
  <si>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</si>
  <si>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</si>
  <si>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</si>
  <si>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</si>
  <si>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</si>
  <si>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</si>
  <si>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</si>
  <si>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</si>
  <si>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</si>
  <si>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</si>
  <si>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</si>
  <si>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</si>
  <si>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</si>
  <si>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</si>
  <si>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</si>
  <si>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</si>
  <si>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</si>
  <si>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</si>
  <si>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</si>
  <si>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</si>
  <si>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</si>
  <si>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</si>
  <si>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</si>
  <si>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</si>
  <si>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</si>
  <si>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</si>
  <si>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</si>
  <si>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</si>
  <si>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</si>
  <si>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</si>
  <si>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</si>
  <si>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</si>
  <si>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</si>
  <si>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</si>
  <si>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</si>
  <si>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</si>
  <si>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</si>
  <si>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</si>
  <si>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</si>
  <si>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</si>
  <si>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</si>
  <si>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</si>
  <si>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</si>
  <si>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</si>
  <si>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</si>
  <si>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</si>
  <si>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</si>
  <si>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</si>
  <si>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</si>
  <si>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</si>
  <si>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</si>
  <si>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</si>
  <si>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</si>
  <si>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</si>
  <si>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</si>
  <si>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</si>
  <si>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</si>
  <si>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</si>
  <si>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</si>
  <si>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</si>
  <si>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</si>
  <si>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</si>
  <si>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</si>
  <si>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</si>
  <si>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</si>
  <si>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</si>
  <si>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</si>
  <si>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</si>
  <si>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</si>
  <si>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</si>
  <si>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</si>
  <si>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</si>
  <si>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</si>
  <si>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</si>
  <si>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</si>
  <si>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</si>
  <si>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</si>
  <si>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</si>
  <si>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</si>
  <si>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</si>
  <si>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</si>
  <si>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</si>
  <si>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</si>
  <si>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</si>
  <si>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</si>
  <si>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</si>
  <si>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</si>
  <si>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</si>
  <si>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</si>
  <si>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</si>
  <si>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</si>
  <si>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</si>
  <si>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</si>
  <si>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</si>
  <si>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</si>
  <si>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</si>
  <si>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</si>
  <si>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</si>
  <si>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</si>
  <si>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</si>
  <si>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</si>
  <si>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</si>
  <si>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</si>
  <si>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</si>
  <si>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</si>
  <si>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</si>
  <si>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</si>
  <si>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</si>
  <si>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</si>
  <si>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</si>
  <si>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</si>
  <si>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</si>
  <si>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</si>
  <si>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</si>
  <si>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</si>
  <si>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</si>
  <si>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</si>
  <si>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</si>
  <si>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</si>
  <si>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</si>
  <si>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</si>
  <si>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</si>
  <si>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</si>
  <si>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</si>
  <si>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</si>
  <si>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</si>
  <si>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</si>
  <si>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</si>
  <si>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</si>
  <si>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</si>
  <si>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</si>
  <si>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</si>
  <si>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</si>
  <si>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</si>
  <si>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</si>
  <si>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</si>
  <si>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</si>
  <si>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</si>
  <si>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</si>
  <si>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</si>
  <si>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</si>
  <si>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</si>
  <si>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</si>
  <si>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</si>
  <si>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</si>
  <si>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</si>
  <si>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</si>
  <si>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</si>
  <si>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</si>
  <si>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</si>
  <si>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</si>
  <si>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</si>
  <si>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</si>
  <si>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</si>
  <si>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</si>
  <si>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</si>
  <si>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</si>
  <si>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</si>
  <si>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</si>
  <si>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</si>
  <si>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</si>
  <si>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</si>
  <si>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</si>
  <si>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</si>
  <si>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</si>
  <si>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</si>
  <si>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</si>
  <si>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</si>
  <si>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</si>
  <si>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</si>
  <si>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</si>
  <si>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</si>
  <si>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</si>
  <si>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</si>
  <si>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</si>
  <si>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</si>
  <si>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</si>
  <si>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</si>
  <si>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</si>
  <si>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</si>
  <si>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</si>
  <si>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</si>
  <si>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</si>
  <si>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</si>
  <si>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</si>
  <si>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</si>
  <si>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</si>
  <si>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</si>
  <si>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</si>
  <si>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</si>
  <si>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</si>
  <si>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</si>
  <si>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</si>
  <si>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</si>
  <si>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</si>
  <si>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</si>
  <si>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</si>
  <si>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</si>
  <si>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</si>
  <si>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</si>
  <si>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</si>
  <si>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</si>
  <si>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</si>
  <si>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</si>
  <si>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</si>
  <si>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</si>
  <si>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</si>
  <si>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</si>
  <si>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</si>
  <si>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</si>
  <si>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</si>
  <si>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</si>
  <si>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</si>
  <si>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</si>
  <si>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</si>
  <si>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</si>
  <si>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</si>
  <si>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</si>
  <si>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</si>
  <si>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</si>
  <si>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</si>
  <si>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</si>
  <si>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</si>
  <si>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</si>
  <si>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</si>
  <si>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</si>
  <si>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</si>
  <si>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</si>
  <si>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</si>
  <si>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</si>
  <si>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</si>
  <si>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</si>
  <si>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</si>
  <si>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</si>
  <si>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</si>
  <si>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</si>
  <si>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</si>
  <si>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</si>
  <si>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</si>
  <si>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</si>
  <si>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</si>
  <si>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</si>
  <si>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</si>
  <si>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</si>
  <si>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</si>
  <si>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</si>
  <si>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</si>
  <si>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</si>
  <si>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</si>
  <si>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</si>
  <si>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</si>
  <si>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</si>
  <si>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</si>
  <si>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</si>
  <si>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</si>
  <si>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</si>
  <si>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</si>
  <si>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</si>
  <si>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</si>
  <si>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</si>
  <si>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</si>
  <si>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</si>
  <si>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</si>
  <si>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</si>
  <si>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</si>
  <si>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</si>
  <si>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</si>
  <si>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</si>
  <si>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</si>
  <si>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</si>
  <si>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</si>
  <si>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</si>
  <si>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</si>
  <si>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</si>
  <si>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</si>
  <si>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</si>
  <si>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</si>
  <si>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</si>
  <si>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</si>
  <si>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</si>
  <si>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</si>
  <si>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</si>
  <si>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</si>
  <si>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</si>
  <si>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</si>
  <si>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</si>
  <si>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</si>
  <si>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</si>
  <si>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</si>
  <si>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</si>
  <si>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</si>
  <si>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</si>
  <si>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</si>
  <si>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</si>
  <si>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</si>
  <si>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</si>
  <si>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</si>
  <si>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</si>
  <si>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</si>
  <si>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</si>
  <si>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</si>
  <si>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</si>
  <si>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</si>
  <si>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</si>
  <si>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</si>
  <si>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</si>
  <si>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</si>
  <si>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</si>
  <si>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</si>
  <si>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</si>
  <si>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</si>
  <si>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</si>
  <si>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</si>
  <si>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</si>
  <si>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</si>
  <si>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</si>
  <si>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</si>
  <si>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</si>
  <si>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</si>
  <si>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</si>
  <si>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</si>
  <si>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</si>
  <si>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</si>
  <si>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</si>
  <si>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</si>
  <si>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</si>
  <si>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</si>
  <si>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</si>
  <si>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</si>
  <si>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</si>
  <si>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</si>
  <si>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</si>
  <si>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</si>
  <si>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</si>
  <si>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</si>
  <si>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</si>
  <si>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</si>
  <si>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</si>
  <si>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</si>
  <si>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</si>
  <si>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</si>
  <si>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</si>
  <si>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</si>
  <si>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</si>
  <si>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</si>
  <si>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</si>
  <si>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</si>
  <si>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</si>
  <si>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</si>
  <si>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</si>
  <si>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</si>
  <si>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</si>
  <si>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</si>
  <si>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</si>
  <si>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</si>
  <si>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</si>
  <si>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</si>
  <si>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</si>
  <si>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</si>
  <si>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</si>
  <si>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</si>
  <si>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</si>
  <si>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</si>
  <si>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</si>
  <si>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</si>
  <si>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</si>
  <si>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</si>
  <si>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</si>
  <si>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</si>
  <si>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</si>
  <si>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</si>
  <si>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</si>
  <si>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</si>
  <si>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</si>
  <si>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</si>
  <si>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</si>
  <si>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</si>
  <si>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</si>
  <si>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</si>
  <si>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</si>
  <si>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</si>
  <si>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</si>
  <si>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</si>
  <si>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</si>
  <si>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</si>
  <si>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</si>
  <si>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</si>
  <si>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</si>
  <si>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</si>
  <si>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</si>
  <si>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</si>
  <si>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</si>
  <si>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</si>
  <si>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</si>
  <si>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</si>
  <si>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</si>
  <si>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</si>
  <si>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</si>
  <si>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</si>
  <si>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</si>
  <si>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</si>
  <si>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</si>
  <si>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</si>
  <si>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</si>
  <si>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</si>
  <si>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</si>
  <si>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</si>
  <si>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</si>
  <si>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</si>
  <si>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</si>
  <si>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</si>
  <si>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</si>
  <si>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</si>
  <si>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</si>
  <si>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</si>
  <si>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</si>
  <si>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</si>
  <si>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</si>
  <si>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</si>
  <si>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</si>
  <si>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</si>
  <si>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</si>
  <si>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</si>
  <si>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</si>
  <si>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</si>
  <si>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</si>
  <si>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</si>
  <si>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</si>
  <si>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</si>
  <si>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</si>
  <si>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</si>
  <si>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</si>
  <si>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</si>
  <si>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</si>
  <si>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</si>
  <si>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</si>
  <si>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</si>
  <si>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</si>
  <si>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</si>
  <si>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</si>
  <si>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</si>
  <si>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</si>
  <si>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</si>
  <si>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</si>
  <si>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</si>
  <si>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</si>
  <si>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</si>
  <si>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</si>
  <si>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</si>
  <si>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</si>
  <si>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</si>
  <si>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</si>
  <si>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</si>
  <si>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</si>
  <si>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</si>
  <si>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</si>
  <si>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</si>
  <si>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</si>
  <si>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</si>
  <si>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</si>
  <si>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</si>
  <si>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</si>
  <si>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</si>
  <si>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</si>
  <si>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</si>
  <si>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</si>
  <si>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</si>
  <si>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</si>
  <si>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</si>
  <si>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</si>
  <si>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</si>
  <si>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</si>
  <si>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</si>
  <si>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</si>
  <si>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</si>
  <si>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</si>
  <si>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</si>
  <si>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</si>
  <si>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</si>
  <si>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</si>
  <si>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</si>
  <si>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</si>
  <si>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</si>
  <si>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</si>
  <si>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</si>
  <si>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</si>
  <si>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</si>
  <si>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</si>
  <si>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</si>
  <si>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</si>
  <si>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</si>
  <si>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</si>
  <si>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</si>
  <si>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</si>
  <si>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</si>
  <si>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</si>
  <si>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</si>
  <si>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</si>
  <si>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</si>
  <si>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</si>
  <si>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</si>
  <si>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</si>
  <si>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</si>
  <si>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</si>
  <si>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</si>
  <si>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</si>
  <si>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</si>
  <si>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</si>
  <si>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</si>
  <si>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</si>
  <si>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</si>
  <si>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</si>
  <si>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</si>
  <si>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</si>
  <si>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</si>
  <si>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</si>
  <si>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</si>
  <si>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</si>
  <si>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</si>
  <si>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</si>
  <si>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</si>
  <si>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</si>
  <si>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</si>
  <si>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</si>
  <si>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</si>
  <si>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</si>
  <si>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</si>
  <si>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</si>
  <si>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</si>
  <si>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</si>
  <si>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</si>
  <si>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</si>
  <si>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</si>
  <si>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</si>
  <si>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</si>
  <si>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</si>
  <si>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</si>
  <si>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</si>
  <si>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</si>
  <si>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</si>
  <si>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</si>
  <si>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</si>
  <si>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</si>
  <si>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</si>
  <si>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</si>
  <si>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</si>
  <si>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</si>
  <si>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</si>
  <si>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</si>
  <si>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</si>
  <si>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</si>
  <si>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</si>
  <si>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</si>
  <si>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</si>
  <si>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</si>
  <si>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</si>
  <si>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</si>
  <si>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</si>
  <si>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</si>
  <si>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</si>
  <si>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</si>
  <si>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</si>
  <si>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</si>
  <si>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</si>
  <si>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</si>
  <si>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</si>
  <si>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</si>
  <si>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</si>
  <si>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</si>
  <si>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</si>
  <si>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</si>
  <si>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</si>
  <si>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</si>
  <si>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</si>
  <si>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</si>
  <si>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</si>
  <si>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</si>
  <si>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</si>
  <si>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</si>
  <si>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</si>
  <si>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</si>
  <si>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</si>
  <si>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</si>
  <si>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</si>
  <si>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</si>
  <si>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</si>
  <si>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</si>
  <si>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</si>
  <si>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</si>
  <si>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</si>
  <si>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</si>
  <si>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</si>
  <si>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</si>
  <si>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</si>
  <si>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</si>
  <si>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</si>
  <si>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</si>
  <si>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</si>
  <si>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</si>
  <si>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</si>
  <si>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</si>
  <si>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</si>
  <si>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</si>
  <si>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</si>
  <si>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</si>
  <si>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</si>
  <si>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</si>
  <si>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</si>
  <si>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</si>
  <si>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</si>
  <si>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</si>
  <si>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</si>
  <si>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</si>
  <si>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</si>
  <si>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</si>
  <si>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</si>
  <si>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</si>
  <si>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</si>
  <si>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</si>
  <si>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</si>
  <si>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</si>
  <si>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</si>
  <si>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</si>
  <si>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</si>
  <si>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</si>
  <si>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</si>
  <si>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</si>
  <si>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</si>
  <si>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</si>
  <si>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</si>
  <si>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</si>
  <si>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</si>
  <si>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</si>
  <si>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</si>
  <si>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</si>
  <si>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</si>
  <si>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</si>
  <si>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</si>
  <si>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</si>
  <si>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</si>
  <si>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</si>
  <si>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</si>
  <si>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</si>
  <si>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</si>
  <si>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</si>
  <si>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</si>
  <si>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</si>
  <si>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</si>
  <si>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</si>
  <si>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</si>
  <si>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</si>
  <si>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</si>
  <si>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</si>
  <si>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</si>
  <si>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</si>
  <si>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</si>
  <si>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</si>
  <si>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</si>
  <si>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</si>
  <si>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</si>
  <si>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</si>
  <si>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</si>
  <si>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</si>
  <si>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</si>
  <si>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</si>
  <si>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</si>
  <si>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</si>
  <si>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</si>
  <si>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</si>
  <si>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</si>
  <si>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</si>
  <si>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</si>
  <si>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</si>
  <si>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</si>
  <si>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</si>
  <si>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</si>
  <si>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</si>
  <si>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</si>
  <si>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</si>
  <si>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王鹏</t>
  </si>
  <si>
    <t>郑燚</t>
  </si>
  <si>
    <t>抵押价格</t>
  </si>
  <si>
    <t>其他：</t>
  </si>
  <si>
    <t>企业</t>
  </si>
  <si>
    <t>一致</t>
  </si>
  <si>
    <t>咸阳市秦都区文兴路335亩项目</t>
    <phoneticPr fontId="6" type="noConversion"/>
  </si>
  <si>
    <t>项目名称</t>
    <phoneticPr fontId="228" type="noConversion"/>
  </si>
  <si>
    <t>项目所在城市</t>
    <phoneticPr fontId="228" type="noConversion"/>
  </si>
  <si>
    <t>陕西省咸阳市秦都区</t>
    <phoneticPr fontId="228" type="noConversion"/>
  </si>
  <si>
    <t>高铁站板块</t>
    <phoneticPr fontId="228" type="noConversion"/>
  </si>
  <si>
    <t>项目所在区位</t>
    <phoneticPr fontId="228" type="noConversion"/>
  </si>
  <si>
    <t>当前土地性质</t>
    <phoneticPr fontId="228" type="noConversion"/>
  </si>
  <si>
    <t>交易方式</t>
    <phoneticPr fontId="228" type="noConversion"/>
  </si>
  <si>
    <t>二类居住用地</t>
    <phoneticPr fontId="228" type="noConversion"/>
  </si>
  <si>
    <t>（勾地+股权收购）</t>
    <phoneticPr fontId="228" type="noConversion"/>
  </si>
  <si>
    <t>规划指标</t>
    <phoneticPr fontId="228" type="noConversion"/>
  </si>
  <si>
    <t>净地容积率</t>
    <phoneticPr fontId="228" type="noConversion"/>
  </si>
  <si>
    <t>计容总建筑面积</t>
    <phoneticPr fontId="228" type="noConversion"/>
  </si>
  <si>
    <t>商业计容面积</t>
    <phoneticPr fontId="228" type="noConversion"/>
  </si>
  <si>
    <t>限高</t>
    <phoneticPr fontId="228" type="noConversion"/>
  </si>
  <si>
    <t>100m</t>
    <phoneticPr fontId="228" type="noConversion"/>
  </si>
  <si>
    <t>建筑密度/绿地率</t>
    <phoneticPr fontId="228" type="noConversion"/>
  </si>
  <si>
    <t>20%/35%</t>
    <phoneticPr fontId="228" type="noConversion"/>
  </si>
  <si>
    <t>车位配比</t>
    <phoneticPr fontId="228" type="noConversion"/>
  </si>
  <si>
    <t>住宅1个/㎡，配套公建1.1/100㎡</t>
    <phoneticPr fontId="228" type="noConversion"/>
  </si>
  <si>
    <t>配建及其他要求</t>
    <phoneticPr fontId="228" type="noConversion"/>
  </si>
  <si>
    <t>咸阳市秦都区文兴路335亩项目</t>
    <phoneticPr fontId="228" type="noConversion"/>
  </si>
  <si>
    <t>户型配比方案</t>
    <phoneticPr fontId="228" type="noConversion"/>
  </si>
  <si>
    <t>序号</t>
    <phoneticPr fontId="228" type="noConversion"/>
  </si>
  <si>
    <t>可建设用地面积</t>
    <phoneticPr fontId="228" type="noConversion"/>
  </si>
  <si>
    <t>产品</t>
    <phoneticPr fontId="228" type="noConversion"/>
  </si>
  <si>
    <t>T4高层</t>
    <phoneticPr fontId="228" type="noConversion"/>
  </si>
  <si>
    <t>商业</t>
  </si>
  <si>
    <t>商业</t>
    <phoneticPr fontId="228" type="noConversion"/>
  </si>
  <si>
    <t>建筑面积</t>
    <phoneticPr fontId="228" type="noConversion"/>
  </si>
  <si>
    <t>套数</t>
    <phoneticPr fontId="228" type="noConversion"/>
  </si>
  <si>
    <t>——</t>
    <phoneticPr fontId="228" type="noConversion"/>
  </si>
  <si>
    <t>占比</t>
    <phoneticPr fontId="228" type="noConversion"/>
  </si>
  <si>
    <t>合计</t>
    <phoneticPr fontId="228" type="noConversion"/>
  </si>
  <si>
    <t>地上</t>
  </si>
  <si>
    <t>用地面积</t>
    <phoneticPr fontId="228" type="noConversion"/>
  </si>
  <si>
    <t>建筑面积</t>
    <phoneticPr fontId="228" type="noConversion"/>
  </si>
  <si>
    <t>用地面积</t>
    <phoneticPr fontId="228" type="noConversion"/>
  </si>
  <si>
    <t>建筑面积</t>
    <phoneticPr fontId="228" type="noConversion"/>
  </si>
  <si>
    <t>幼儿园</t>
    <phoneticPr fontId="228" type="noConversion"/>
  </si>
  <si>
    <t>住宅</t>
    <phoneticPr fontId="3" type="noConversion"/>
  </si>
  <si>
    <t>商业</t>
    <phoneticPr fontId="3" type="noConversion"/>
  </si>
  <si>
    <t>是</t>
    <phoneticPr fontId="3" type="noConversion"/>
  </si>
  <si>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</si>
  <si>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</si>
  <si>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</si>
  <si>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</si>
  <si>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</si>
  <si>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</si>
  <si>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</si>
  <si>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</si>
  <si>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</si>
  <si>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</si>
  <si>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</si>
  <si>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</si>
  <si>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</si>
  <si>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</si>
  <si>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</si>
  <si>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中华西路以北、宝瑞阳光小区以西区域</t>
  </si>
  <si>
    <t>咸阳市</t>
  </si>
  <si>
    <t>住宅用地</t>
  </si>
  <si>
    <t>大于或等于1.2并且小于或等于3.5</t>
  </si>
  <si>
    <t>挂牌</t>
  </si>
  <si>
    <t>2019-11-14</t>
  </si>
  <si>
    <t>3星</t>
  </si>
  <si>
    <t>咸平路以东、中华西路以北、西环路以西、劳动路以南区域</t>
  </si>
  <si>
    <t>大于1.2并且小于3.5</t>
  </si>
  <si>
    <t>拍卖</t>
  </si>
  <si>
    <t>2019-10-18</t>
  </si>
  <si>
    <t>咸阳碧润房地产开发有限公司</t>
  </si>
  <si>
    <t>咸北大道以东、绿地高铁新城A地块以北、丰塬一路以南、经十南路以西区域</t>
  </si>
  <si>
    <t>大于或等于1.2并且小于或等于5.3</t>
  </si>
  <si>
    <t>绿地集团成阳置业有限公司</t>
  </si>
  <si>
    <t>4星</t>
  </si>
  <si>
    <t>咸平路以东、中华西路以北、西环路以西、劳动路以北区域</t>
  </si>
  <si>
    <t>西环路以东、劳动路以南、柳仓街以西、中华西路以北区域</t>
  </si>
  <si>
    <t>规划支路以东、绿地高铁新城C地块以北、丰塬一路以南区域</t>
  </si>
  <si>
    <t>大于或等于1.2并且小于或等于5</t>
  </si>
  <si>
    <t>绿地集团咸阳置业有限公司</t>
  </si>
  <si>
    <t>咸平路以东、渭阳西路以南、西环路以西、劳动路以北区域</t>
  </si>
  <si>
    <t>咸平路以东、渭阳西路以南、西环路以西、劳动路以南区域</t>
  </si>
  <si>
    <t>经十南路以东、绿地高铁新城B地块以北、丰塬一路以南、规划支路以西区域</t>
  </si>
  <si>
    <t>大于或等于1.2并且小于或等于4.3</t>
  </si>
  <si>
    <t>沣二路以东、沣太四路以南、北营村以西、沣太五路*以北区域</t>
  </si>
  <si>
    <t>综合用地(含住宅)</t>
  </si>
  <si>
    <t>≤2.88</t>
  </si>
  <si>
    <t>2019-10-16</t>
  </si>
  <si>
    <t>咸阳恒泰置业有限公司</t>
  </si>
  <si>
    <t>陕西远东实业有限公司以东、统一路以南、沣赵村以西、以北区域</t>
  </si>
  <si>
    <t>≤2.08</t>
  </si>
  <si>
    <t>浴康路以东、珠泉路以南、陕西恒兴房地产开发有限责任公司以西、玉泉路以北区域</t>
  </si>
  <si>
    <t>≥1.2,≤3.3</t>
  </si>
  <si>
    <t>陕西恒兴房地产开发有限责任公司、陕西恒兴房地产开发有限责任公司咸阳秦都分公司</t>
  </si>
  <si>
    <t>企业路以东、统一路以南、沣东路以西、长安区以北区域</t>
  </si>
  <si>
    <t>≤2.34</t>
  </si>
  <si>
    <t>沣东路以东、统一路以南、陕西远东实业有限公司以西区域</t>
  </si>
  <si>
    <t>≤2.29</t>
  </si>
  <si>
    <t>包容路以东、平福大道以西、秦明路以北、支六路以南区域</t>
  </si>
  <si>
    <t>≥1.2,≤3.5</t>
  </si>
  <si>
    <t>2019-05-07</t>
  </si>
  <si>
    <t>咸阳市北塬新城发展集团有限公司</t>
  </si>
  <si>
    <t>宝泉路以南、彩虹一路以西、华电路以东区域</t>
  </si>
  <si>
    <t>≥1.2,≤3.1</t>
  </si>
  <si>
    <t>2019-01-25</t>
  </si>
  <si>
    <t>咸阳龙湖彩虹置业有限公司</t>
  </si>
  <si>
    <t>宝泉路以南、彩虹一路以西、荧光屏路以东区域</t>
  </si>
  <si>
    <t>≥1.2,≤3.45</t>
  </si>
  <si>
    <t>情侣路以南、新民路以东、英才学校以西,清华科技园以北区域</t>
  </si>
  <si>
    <t>＞1.2,＜3.9</t>
  </si>
  <si>
    <t>2018-11-29</t>
  </si>
  <si>
    <t>陕西义合房地产开发有限公司和陕西鸿源丰房地产开发有限公司</t>
  </si>
  <si>
    <t>秦皇路以东、规划路以北区域</t>
  </si>
  <si>
    <t>＞1.2,＜5.14</t>
  </si>
  <si>
    <t>陕西华宇盈丰置业有限公司</t>
  </si>
  <si>
    <t>联盟四路以西、文林路以南、规划路以北区域</t>
  </si>
  <si>
    <t>＞1.2,＜2.74</t>
  </si>
  <si>
    <t>秦皇路以西,文林西路以北</t>
  </si>
  <si>
    <t>＞1.2,≤2.2</t>
  </si>
  <si>
    <t>2018-08-17</t>
  </si>
  <si>
    <t>咸阳桦洋里置业有限公司</t>
  </si>
  <si>
    <t>星光大道以南、高科一路以西、高科二路以东、城市绿化带以北区域。</t>
  </si>
  <si>
    <t>≥1.2,≤2.5</t>
  </si>
  <si>
    <t>2018-07-27</t>
  </si>
  <si>
    <t>咸阳彩虹光电科技有限公司</t>
  </si>
  <si>
    <t>2星</t>
  </si>
  <si>
    <t>珠泉路北侧、规划路以东、咸阳丽莱房地产开发有限公司以西、以南区域。</t>
  </si>
  <si>
    <t>＞1.2,≤5</t>
  </si>
  <si>
    <t>咸阳丽莱房地产开发有限公司</t>
  </si>
  <si>
    <t>秦皇路以东、陕西华润印染有限公司以西、陇海铁路以南、人民路以北区域。</t>
  </si>
  <si>
    <t>＞1.2,＜3.6</t>
  </si>
  <si>
    <t>咸阳碧浩房地产开发有限公司</t>
  </si>
  <si>
    <t>秦皇路以东、陕西华润印染有限公司以西、陇海铁路以南、规划路以北区域。</t>
  </si>
  <si>
    <t>咸阳华润纺织有限公司以东、陕西纺织品公司咸阳分公司、咸阳市印染厂以西、陇海铁路以南、第二印染厂以北区域。</t>
  </si>
  <si>
    <t>咸平路以东、力高房地产公司以南、西环路以西、创业路以北区域。</t>
  </si>
  <si>
    <t>＞1.2,≤3</t>
  </si>
  <si>
    <t>2018-07-18</t>
  </si>
  <si>
    <t>咸阳高新恒润置业有限公司</t>
  </si>
  <si>
    <t>富安路以西、市规划局家属院以东、市房地产开发公司以南。</t>
  </si>
  <si>
    <t>＞1.2,≤6.1</t>
  </si>
  <si>
    <t>2018-06-26</t>
  </si>
  <si>
    <t>咸阳永泰园房地产开发有限公司</t>
  </si>
  <si>
    <t>秦皇路以西、文林西路以南、杨家台村以东。</t>
  </si>
  <si>
    <t>＞1.2,≤5.9</t>
  </si>
  <si>
    <t>咸阳光达房地产开发有限公司</t>
  </si>
  <si>
    <t>中华路以南、西北有色地质勘查局七一二总队以东</t>
  </si>
  <si>
    <t>＞1.2且＜4.78</t>
  </si>
  <si>
    <t>2018-05-10</t>
  </si>
  <si>
    <t>咸阳建苑房地产开发有限公司</t>
  </si>
  <si>
    <t>光明路以南,白马河路以东区域</t>
  </si>
  <si>
    <t>＞1.2且≤4.2</t>
  </si>
  <si>
    <t>2018-04-11</t>
  </si>
  <si>
    <t>咸阳城投置业有限公司</t>
  </si>
  <si>
    <t>1星</t>
  </si>
  <si>
    <t>学森二路以南,励志西路以西,励志南路以北,竹园东路以东</t>
  </si>
  <si>
    <t>≥1.5且≤2</t>
  </si>
  <si>
    <t>2018-02-24</t>
  </si>
  <si>
    <t>西咸新区交大科技创新港实业有限公司</t>
  </si>
  <si>
    <t>劳动路以南、704厂锅炉房西侧</t>
  </si>
  <si>
    <t>＞1.2且≤4.31</t>
  </si>
  <si>
    <t>陕西丰圣华房地产开发有限公司</t>
  </si>
  <si>
    <t>永昌路以南、西华路以东、城西快速干道以西。</t>
  </si>
  <si>
    <t>＞1.2且≤3.47</t>
  </si>
  <si>
    <t>咸阳高新锦业房地产有限公司</t>
  </si>
  <si>
    <t>西宝高速公路以北、永昌路以南、西华路以东、城西快速干道以西区域</t>
  </si>
  <si>
    <t>＞1.2且≤3.37</t>
  </si>
  <si>
    <t>咸阳高科建设开发有限责任公司</t>
  </si>
  <si>
    <t>文兴路以南、彩虹一路以东、咸通北路以西、铁路北环线以北</t>
  </si>
  <si>
    <t>≥1.2且≤4.73</t>
  </si>
  <si>
    <t>2017-12-26</t>
  </si>
  <si>
    <t>咸阳市公租房建设投资管理有限公司</t>
  </si>
  <si>
    <t>渭滨公园以西,咸阳湖堤顶路以北、陕西汉道置业有限公司以南、以东</t>
  </si>
  <si>
    <t>＞1.2且＜4.8</t>
  </si>
  <si>
    <t>2017-12-07</t>
  </si>
  <si>
    <t>咸阳市城市建设投资控股集团有限公司和陕西汉道置业有限公司</t>
  </si>
  <si>
    <t>人民西路北侧,咸阳秦皇路以西、毛纺厂以南</t>
  </si>
  <si>
    <t>＞1.2且＜6.3</t>
  </si>
  <si>
    <t>陕西合晟置业有限公司</t>
  </si>
  <si>
    <t>永沣路以南,同心路以东,白马河路以西,统一路以北</t>
  </si>
  <si>
    <t>≥2.3且≤2.8</t>
  </si>
  <si>
    <t>2017-10-31</t>
  </si>
  <si>
    <t>安博(西咸新区)仓储有限公司</t>
  </si>
  <si>
    <t>经二路以东、支六路以北、纬五路以南、经三路以西区域。</t>
  </si>
  <si>
    <t>＞1.2且＜3.5</t>
  </si>
  <si>
    <t>2017-07-27</t>
  </si>
  <si>
    <t>渭阳西路以南,阳光小区以东,陕西福安房地产开发有限公司以西、以北。</t>
  </si>
  <si>
    <t>＞1.2且≤6</t>
  </si>
  <si>
    <t>陕西福安房地产开发有限公司</t>
  </si>
  <si>
    <t>经十路以东、纬四路以北、纬一路以南、经十路以西。</t>
  </si>
  <si>
    <t>咸北大道以东、纬四路以北、纬一路以南、经十路以西。</t>
  </si>
  <si>
    <t>陕西第一毛纺织厂以东、秦都区军队离退休干部休养所以北、秦都区人民法院用地以南。</t>
  </si>
  <si>
    <t>≤9.35</t>
  </si>
  <si>
    <t>2017-07-13</t>
  </si>
  <si>
    <t>陕西景天房地产开发有限公司</t>
  </si>
  <si>
    <t>煤店通道以东、华瑞苑小区以南、秦皇路以西、荔枝湾酒店以北</t>
  </si>
  <si>
    <t>＜5.5</t>
  </si>
  <si>
    <t>陕西飞运置业有限公司</t>
  </si>
  <si>
    <t>渭明西路以南,钓鱼台路以西</t>
  </si>
  <si>
    <t>≥3.0且≤3.5</t>
  </si>
  <si>
    <t>2017-07-06</t>
  </si>
  <si>
    <t>西安新城万博房地产开发有限公司</t>
  </si>
  <si>
    <t>≥2.5且≤3.0</t>
  </si>
  <si>
    <t>≥2.5且≤3</t>
  </si>
  <si>
    <t>泾河新城崇文一路以东、崇文塔三路以南、崇文二路以西、崇文塔四路以北</t>
  </si>
  <si>
    <t>西安市</t>
  </si>
  <si>
    <t>2.7≤far≤3.2</t>
  </si>
  <si>
    <t>2020-02-25</t>
  </si>
  <si>
    <t>陕西西咸新区泾河新城地产开发有限公司</t>
  </si>
  <si>
    <t>沣西新城兴信路以西,天府路以南</t>
  </si>
  <si>
    <t>3.0≤far≤3.5</t>
  </si>
  <si>
    <t>陕西省西咸新区沣西新城开发建设(集团)有限公司</t>
  </si>
  <si>
    <t>沣西新城咸户路以东,天府路以南</t>
  </si>
  <si>
    <t>能源金融贸易区文韵三路以东、沣柳路以西、文教六路以北、文教二路以南</t>
  </si>
  <si>
    <t>住宅:1.5≤far≤2.0;商服:2.0≤far≤3.0</t>
  </si>
  <si>
    <t>2020-01-17</t>
  </si>
  <si>
    <t>西安谷郡房地产开发有限公司</t>
  </si>
  <si>
    <t>沣西新城精勤路以北、临渭路以东、学镇东路以南、学镇环路以西</t>
  </si>
  <si>
    <t>≥1.8,≤2.2</t>
  </si>
  <si>
    <t>2019-12-19</t>
  </si>
  <si>
    <t>西安沣谷发展有限公司</t>
  </si>
  <si>
    <t>空港新城景平大街以南、北杜大街以北、万联大道以东、安善路以西</t>
  </si>
  <si>
    <t>1.2≤far≤1.7</t>
  </si>
  <si>
    <t>2019-11-27</t>
  </si>
  <si>
    <t>陕西省西成新区空港新城房屋管理和保障房管理中心</t>
  </si>
  <si>
    <t>空港新城正平大街以南、万联大道以东、安善路以西、长兴大街以北</t>
  </si>
  <si>
    <t>汉书一路以东、汉高大道以西、韩信路以南、李广街以北</t>
  </si>
  <si>
    <t>1.5≤far≤2.0</t>
  </si>
  <si>
    <t>绿地集团西咸新区源北置业有限公司</t>
  </si>
  <si>
    <t>空港新城正平大街以南、广德路以西、安善路以东、长兴大街以北</t>
  </si>
  <si>
    <t>秦汉大道以东、汉书一路以西、李广街以北、韩信路以南</t>
  </si>
  <si>
    <t>空港新城景平大街以北、广德路以西、安善路以东、长兴大街以南</t>
  </si>
  <si>
    <t>空港新城景平大街以北、万联大道以东、安善路以西、长兴大街以南</t>
  </si>
  <si>
    <t>空港新城景平大街以南、北杜大街以北、广德路以西、安善路以东</t>
  </si>
  <si>
    <t>崇文塔四路以北、崇文塔三路以南、崇文二路以东、崇文环路以西</t>
  </si>
  <si>
    <t>2.5≤far≤3.2</t>
  </si>
  <si>
    <t>2019-11-26</t>
  </si>
  <si>
    <t>泾河湾路以南、乐华二路以西</t>
  </si>
  <si>
    <t>陕西晟锦房地产开发有限公司</t>
  </si>
  <si>
    <t>空港新城慈恩大街以北、天翼大道以西、崇礼路以东、奉化街以南</t>
  </si>
  <si>
    <t>绿地集团西咸新区绿源业有限公司</t>
  </si>
  <si>
    <t>泾河湾一路以北、乐华一路以西、泾河湾路以南</t>
  </si>
  <si>
    <t>2.0≤far≤2.5</t>
  </si>
  <si>
    <t>空港新城慈恩大街以北、崇文路以东、崇礼路以西、奉化街以南</t>
  </si>
  <si>
    <t>绿地集团西咸新区绿源置业有限公司</t>
  </si>
  <si>
    <t>空港新城熙平大街以南、延平大街以北、万联大道以东、敦化路以西</t>
  </si>
  <si>
    <t>陕西省西咸新区空港新城安居置业有限公司</t>
  </si>
  <si>
    <t>泾河湾路以南、乐华三路以东</t>
  </si>
  <si>
    <t>空港新城慈恩大街以南、崇礼路以东、天翼大道以西</t>
  </si>
  <si>
    <t>空港新城慈恩大街以南、安远路以东、延庆街以北、开远路以西</t>
  </si>
  <si>
    <t>大于等于2小于等于2.8</t>
  </si>
  <si>
    <t>2019-09-05</t>
  </si>
  <si>
    <t>陕西省西咸新区空港新城房屋管理和保障房管理中心</t>
  </si>
  <si>
    <t>东南二路以东,东南三路以南,东南三路以西,东南四路以北</t>
  </si>
  <si>
    <t>≥2.5,≤3</t>
  </si>
  <si>
    <t>2019-08-08</t>
  </si>
  <si>
    <t>丰登路以南,金融西路以西</t>
  </si>
  <si>
    <t>大于或等于2并且小于或等于2.5</t>
  </si>
  <si>
    <t>西安中天尚玺实业有限公司</t>
  </si>
  <si>
    <t>沣泾大道以北、曹参路以南、汉韵一路以东、汉高大道以西</t>
  </si>
  <si>
    <t>≥2,≤2.5</t>
  </si>
  <si>
    <t>陕西西咸新区秦汉新城天汉投资有限公司</t>
  </si>
  <si>
    <t>丰安路以北,金融三路以西</t>
  </si>
  <si>
    <t>西安金边顺晟置业有限公司</t>
  </si>
  <si>
    <t>丰登路以南,金融三路以西</t>
  </si>
  <si>
    <t>东南二路以东,东南四路以南,东南三路以西,东南五路以北</t>
  </si>
  <si>
    <t>广仁大街以南、立政路以西、立义路以东、奉化街以北</t>
  </si>
  <si>
    <t>大于或等于1.5并且小于或等于2</t>
  </si>
  <si>
    <t>上海东航置业有限公司</t>
  </si>
  <si>
    <t>广仁大街以南、崇义路以东、立义路以西、奉化街以北</t>
  </si>
  <si>
    <t>东南二路以东,东南三路以西,东南五路以南</t>
  </si>
  <si>
    <t>兰池四路以北、张裕路以东、酒庄路以西、景致一路以南</t>
  </si>
  <si>
    <t>西安万科共筑房地产开发有限公司</t>
  </si>
  <si>
    <t>≥1.5,≤2</t>
  </si>
  <si>
    <t>陕西际华园开发建设有限公司</t>
  </si>
  <si>
    <t>净业大街以南、章义路以西、顺义路以东、兴教大街以北</t>
  </si>
  <si>
    <t>2019-04-19</t>
  </si>
  <si>
    <t>西咸新区空港新城东上医院管理有限公司</t>
  </si>
  <si>
    <t>丰裕路以南、丰登路以北、金融西路以西、金融三路以东</t>
  </si>
  <si>
    <t>绿地集团西安置业有限公司</t>
  </si>
  <si>
    <t>沣泾大道以南、汉惠大道以东</t>
  </si>
  <si>
    <t>≥1.3,≤1.8</t>
  </si>
  <si>
    <t>西安恒昌旅游开发有限公司</t>
  </si>
  <si>
    <t>净业大街以南、永和路以西、永松路以东、兴教大街以北</t>
  </si>
  <si>
    <t>≥1.2,≤1.7</t>
  </si>
  <si>
    <t>沣泾大道以南、汉风四路以东、汉惠大道以西</t>
  </si>
  <si>
    <t>西安诚铭旅游开发有限公司</t>
  </si>
  <si>
    <t>丰宁路以南、贸易路以东、金融三路以西、丰裕路以北</t>
  </si>
  <si>
    <t>陕西建工发展集团有限公司</t>
  </si>
  <si>
    <t>沣泾大道以南</t>
  </si>
  <si>
    <t>≥2.5,≤3.2</t>
  </si>
  <si>
    <t>丰宁路以南,丰裕路以北,金融西路以西,金融三路以东</t>
  </si>
  <si>
    <t>≥2,≤2.8</t>
  </si>
  <si>
    <t>北至规划用地,西至规划用地,东至乐华一路,南至瀛洲一街</t>
  </si>
  <si>
    <t>陕西沣德置业有限公司</t>
  </si>
  <si>
    <t>秦泉路以东、秦宫二路以西、兰池二路以北</t>
  </si>
  <si>
    <t>≥1.112,≤2.275</t>
  </si>
  <si>
    <t>西安新城万嘉房地产开发有限公司</t>
  </si>
  <si>
    <t>沣泾大道以南、汉风五路以东</t>
  </si>
  <si>
    <t>咸户路以西,南洋北路以南,南洋大道以北,学镇环路以东</t>
  </si>
  <si>
    <t>≥1.2,≤1.3</t>
  </si>
  <si>
    <t>2019-03-28</t>
  </si>
  <si>
    <t>仲英北路以西,南洋南路以北,南洋大道以南,南洋环路以东</t>
  </si>
  <si>
    <t>≥2,≤2.4</t>
  </si>
  <si>
    <t>仲英中路以北,启德路以南,南洋环路以东,仲英南路以西</t>
  </si>
  <si>
    <t>天雄西路以南,横十一路以北,纵十路以东,兴科路以西</t>
  </si>
  <si>
    <t>陕西翱翔小镇发展建设有限公司</t>
  </si>
  <si>
    <t>仲英北路以东,南洋南路以南,启德路以北,南洋环路以西</t>
  </si>
  <si>
    <t>仲英北路以东,南洋南路以北,南洋大道以南,南洋环路以西</t>
  </si>
  <si>
    <t>慈恩大街以南、立政路以西、草堂大街以北</t>
  </si>
  <si>
    <t>2019-03-21</t>
  </si>
  <si>
    <t>净业大街以南、立政路以西</t>
  </si>
  <si>
    <t>陕西朗坤投资有限公司</t>
  </si>
  <si>
    <t>信平大街以南、万联大道以东、敦化路以西、熙平大街以北</t>
  </si>
  <si>
    <t>2019-03-11</t>
  </si>
  <si>
    <t>李广街以南、萧何路以北、汉书一路以东、汉高大道以西</t>
  </si>
  <si>
    <t>西安鸿投置业有限公司</t>
  </si>
  <si>
    <t>熙平大街以南、延平大街以北、万联大道以东、敦化路以西</t>
  </si>
  <si>
    <t>丰安路以北、西三环以西</t>
  </si>
  <si>
    <t>2019-01-22</t>
  </si>
  <si>
    <t>西安炬坤房地产开发有限公司</t>
  </si>
  <si>
    <t>丰镐大道以西、昆明四路以南、沣河东路以东</t>
  </si>
  <si>
    <t>≥1.2,≤1.5</t>
  </si>
  <si>
    <t>西安沣东华侨城发展有限公司</t>
  </si>
  <si>
    <t>昆明八路以北,昆明七路以南,丰镐大道以西,沣河东路以东</t>
  </si>
  <si>
    <t>≥1.5,≤1.8</t>
  </si>
  <si>
    <t>镐京大道以北,昆明二路以南,沣东三路以西,丰镐大道以东</t>
  </si>
  <si>
    <t>≥1.5,≤2.0</t>
  </si>
  <si>
    <t>世纪大道以南、水井路以西、世纪一路以北、沣东一路以东</t>
  </si>
  <si>
    <t>2019-01-21</t>
  </si>
  <si>
    <t>西咸新区绿城颐观房地产有限公司</t>
  </si>
  <si>
    <t>5星</t>
  </si>
  <si>
    <t>沣东新城阿房一路以南、西三环以东、阿房路以西</t>
  </si>
  <si>
    <t>2019-01-16</t>
  </si>
  <si>
    <t>陕西巨威房地产开发有限公司</t>
  </si>
  <si>
    <t>天府路以北,横五路以南,渭东路以东,咸户路以西</t>
  </si>
  <si>
    <t>2018-12-25</t>
  </si>
  <si>
    <t>西安品诺实业有限公司</t>
  </si>
  <si>
    <t>永沣西路以北,康定路以南,白马河路以西,同心路以东</t>
  </si>
  <si>
    <t>天雄西路以北,横七路以南,兴信路以东,兴园路以西</t>
  </si>
  <si>
    <t>陕西智飞置业有限公司</t>
  </si>
  <si>
    <t>兰池大道以北、咸铜铁路以南、五陵大道以东、制陶遗址作坊以西</t>
  </si>
  <si>
    <t>秦汉新城中灿置业有限公司</t>
  </si>
  <si>
    <t>陕西西咸新区沣西发展集团有限公司</t>
  </si>
  <si>
    <t>丰安路以南,石化大道以北,尚航六路以西,尚航七路以东</t>
  </si>
  <si>
    <t>2018-11-26</t>
  </si>
  <si>
    <t>西安中电建置业有限公司</t>
  </si>
  <si>
    <t>枣园西路以北、阿房路以西</t>
  </si>
  <si>
    <t>2018-11-20</t>
  </si>
  <si>
    <t>西安世元申川置业有限公司</t>
  </si>
  <si>
    <t>净业大街以北</t>
  </si>
  <si>
    <t>2018-11-14</t>
  </si>
  <si>
    <t>绿地集团陕西西咸空港置业有限公司</t>
  </si>
  <si>
    <t>兰池二路以南、兰池大道以北、秦宫三路以东、秦宫四路以西</t>
  </si>
  <si>
    <t>住宅1.5-2,商业4-4.5</t>
  </si>
  <si>
    <t>西安西北航空中心有限公司</t>
  </si>
  <si>
    <t>慈恩大街以南、永和路以西</t>
  </si>
  <si>
    <t>兰启路以南、兰池二路以北、秦宫三路以东、秦宫四路以西</t>
  </si>
  <si>
    <t>中铁二十局集团房地产开发有限公司</t>
  </si>
  <si>
    <t>秦宫五路以东,秦宫六路以西,兰池二路以北,兰明路以南</t>
  </si>
  <si>
    <t>≥1.5,≤2.5</t>
  </si>
  <si>
    <t>2018-09-14</t>
  </si>
  <si>
    <t>西咸新区秦鹰居房地产开发有限公司</t>
  </si>
  <si>
    <t>征和三路以北,征和四路以南,太宁路以西,太平路以东</t>
  </si>
  <si>
    <t>dk1:≥3,≤4;dk2、dk3:≥2,≤2.8</t>
  </si>
  <si>
    <t>2018-09-05</t>
  </si>
  <si>
    <t>陕西保利房地产开发有限公司</t>
  </si>
  <si>
    <t>天元路以南、纵二路以西、兴咸路以东、横十二东路以北</t>
  </si>
  <si>
    <t>≥2,≤3.2</t>
  </si>
  <si>
    <t>2018-08-29</t>
  </si>
  <si>
    <t>陕西西咸新区沣西新城开发建设(集团)有限公司</t>
  </si>
  <si>
    <t>果毅南路以南、力行路以东、樱花西路以西、学镇环路以北</t>
  </si>
  <si>
    <t>横十二东路以南、纵二路以西、兴咸路以东、新元路以北</t>
  </si>
  <si>
    <t>新元路以南、纵五路以东、兴咸路以西、横十四路以北</t>
  </si>
  <si>
    <t>学森二路以南,果毅南路以北,力行路以东,樱花西路以西</t>
  </si>
  <si>
    <t>新元路以南、纵二路以西、兴咸路以东、横十四路以北</t>
  </si>
  <si>
    <t>秦汉大道以东、汉书一路以西、韩信路以南、李广街以北</t>
  </si>
  <si>
    <t>2018-08-08</t>
  </si>
  <si>
    <t>崇文新街与泾河二街十字西南角</t>
  </si>
  <si>
    <t>2018-08-01</t>
  </si>
  <si>
    <t>西安经发地产有限公司</t>
  </si>
  <si>
    <t>西延高速(G65W)泾阳立交以东,汉阳大道西段以南</t>
  </si>
  <si>
    <t>≥1.2,＜1.8</t>
  </si>
  <si>
    <t>陕西省沣西置业有限公司</t>
  </si>
  <si>
    <t>≥1.2,≤1.8</t>
  </si>
  <si>
    <t>西安金辉房地产开发有限公司</t>
  </si>
  <si>
    <t>学苑二路以南,学苑五路以北,中央大街以西,文韵四路以东</t>
  </si>
  <si>
    <t>＞1.7,＜2.2</t>
  </si>
  <si>
    <t>西安沣东城建开发有限公司</t>
  </si>
  <si>
    <t>学苑五路以南,学苑八路以北,中央大街以西,文韵四路以东</t>
  </si>
  <si>
    <t>重庆招商依云房地产有限公司</t>
  </si>
  <si>
    <t>学森二路以南,竹园东路以西,学森三路以北</t>
  </si>
  <si>
    <t>≥1.2且≤1.7</t>
  </si>
  <si>
    <t>2018-06-14</t>
  </si>
  <si>
    <t>车站东路以南,果毅南路以北,力行路以西</t>
  </si>
  <si>
    <t>力行路以东,樱花西路以西,学森二路以南,果毅南路以北</t>
  </si>
  <si>
    <t>征和四路以北、征和六路以南、太宁路以西、太安路以东</t>
  </si>
  <si>
    <t>≥2.48且≤3.14</t>
  </si>
  <si>
    <t>2018-06-13</t>
  </si>
  <si>
    <t>西安盛和源房地产开发有限公司</t>
  </si>
  <si>
    <t>征和九路以南、太安路以西、太平路以东、征和六路以北</t>
  </si>
  <si>
    <t>≥1.79且≤2.29</t>
  </si>
  <si>
    <t>2018-06-12</t>
  </si>
  <si>
    <t>西安智晟达置业有限公司</t>
  </si>
  <si>
    <t>规划三路以东、秦央四路以西、兰池二路以北、东西八路以南</t>
  </si>
  <si>
    <t>≥1.2且≤1.3</t>
  </si>
  <si>
    <t>2018-04-25</t>
  </si>
  <si>
    <t>陕西西咸新区秦汉新城瑞通立体城房地产开发有限公司</t>
  </si>
  <si>
    <t>汉惠大道以东、规划路以北</t>
  </si>
  <si>
    <t>西安恒大童世界旅游开发有限公司</t>
  </si>
  <si>
    <t>秦苑五路以东、规划一路以西、东西四路以北</t>
  </si>
  <si>
    <t>≥1.3且≤1.8</t>
  </si>
  <si>
    <t>陕西西咸新区秦汉新城盛浩立体城房地产开发有限公司</t>
  </si>
  <si>
    <t>秦央三路以东、规划四路以西、兰池二路以北、东西八路以南</t>
  </si>
  <si>
    <t>≥1.2且≤1.5</t>
  </si>
  <si>
    <t>陕西西咸新区秦汉新城铭超立体城房地产开发有限公司</t>
  </si>
  <si>
    <t>崇文路以东、延政街以南、崇礼路以西、净业大街以北</t>
  </si>
  <si>
    <t>陕西空港美术城置业有限公司</t>
  </si>
  <si>
    <t>正常</t>
  </si>
  <si>
    <t>剩余法-待开发</t>
  </si>
  <si>
    <t>住宅</t>
    <phoneticPr fontId="228" type="noConversion"/>
  </si>
  <si>
    <t>高速</t>
    <phoneticPr fontId="228" type="noConversion"/>
  </si>
  <si>
    <t>快速</t>
    <phoneticPr fontId="228" type="noConversion"/>
  </si>
  <si>
    <t>主干道</t>
    <phoneticPr fontId="228" type="noConversion"/>
  </si>
  <si>
    <t>次干道</t>
    <phoneticPr fontId="228" type="noConversion"/>
  </si>
  <si>
    <t>支路</t>
    <phoneticPr fontId="228" type="noConversion"/>
  </si>
  <si>
    <t>一般</t>
  </si>
  <si>
    <t>一般</t>
    <phoneticPr fontId="3" type="noConversion"/>
  </si>
  <si>
    <t>一般</t>
    <phoneticPr fontId="3" type="noConversion"/>
  </si>
  <si>
    <t>七通</t>
  </si>
  <si>
    <t>七通</t>
    <phoneticPr fontId="3" type="noConversion"/>
  </si>
  <si>
    <t>主干道——文兴路</t>
    <phoneticPr fontId="21" type="noConversion"/>
  </si>
  <si>
    <t>较好</t>
  </si>
  <si>
    <t>70</t>
    <phoneticPr fontId="228" type="noConversion"/>
  </si>
  <si>
    <t>不动产收益法</t>
  </si>
  <si>
    <t>楼面地价</t>
  </si>
  <si>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(2)</t>
    </r>
    <phoneticPr fontId="14" type="noConversion"/>
  </si>
  <si>
    <t>比较法-住宅、综合 (2)</t>
  </si>
  <si>
    <t>押一</t>
  </si>
  <si>
    <t>按租金收入计税</t>
  </si>
  <si>
    <t>钢混</t>
  </si>
  <si>
    <t>土地（套用方法）</t>
  </si>
  <si>
    <t>住宅</t>
    <phoneticPr fontId="26" type="noConversion"/>
  </si>
  <si>
    <t>70</t>
    <phoneticPr fontId="26" type="noConversion"/>
  </si>
  <si>
    <t>较规则</t>
  </si>
  <si>
    <t>较规则</t>
    <phoneticPr fontId="26" type="noConversion"/>
  </si>
  <si>
    <t>较适宜</t>
  </si>
  <si>
    <t>较适宜</t>
    <phoneticPr fontId="26" type="noConversion"/>
  </si>
  <si>
    <t>三通</t>
  </si>
  <si>
    <t>三通</t>
    <phoneticPr fontId="26" type="noConversion"/>
  </si>
  <si>
    <t>较好</t>
    <phoneticPr fontId="26" type="noConversion"/>
  </si>
  <si>
    <t>售价</t>
  </si>
  <si>
    <r>
      <rPr>
        <sz val="11"/>
        <color theme="9" tint="-0.249977111117893"/>
        <rFont val="宋体"/>
        <family val="3"/>
        <charset val="134"/>
      </rPr>
      <t>龙湖</t>
    </r>
    <r>
      <rPr>
        <sz val="11"/>
        <color theme="9" tint="-0.249977111117893"/>
        <rFont val="Arial"/>
        <family val="3"/>
      </rPr>
      <t>·</t>
    </r>
    <r>
      <rPr>
        <sz val="11"/>
        <color theme="9" tint="-0.249977111117893"/>
        <rFont val="宋体"/>
        <family val="3"/>
        <charset val="134"/>
      </rPr>
      <t>彩虹郦城</t>
    </r>
    <phoneticPr fontId="3" type="noConversion"/>
  </si>
  <si>
    <t>万科金域华府</t>
    <phoneticPr fontId="3" type="noConversion"/>
  </si>
  <si>
    <t>万科金域华府</t>
    <phoneticPr fontId="228" type="noConversion"/>
  </si>
  <si>
    <t>龙湖·彩虹郦城</t>
    <phoneticPr fontId="228" type="noConversion"/>
  </si>
  <si>
    <t>融创·中央学府</t>
    <phoneticPr fontId="228" type="noConversion"/>
  </si>
  <si>
    <t>住宅</t>
    <phoneticPr fontId="21" type="noConversion"/>
  </si>
  <si>
    <t>60-70（含）</t>
  </si>
  <si>
    <t>精装</t>
  </si>
  <si>
    <t>精装</t>
    <phoneticPr fontId="21" type="noConversion"/>
  </si>
  <si>
    <t>普装</t>
    <phoneticPr fontId="21" type="noConversion"/>
  </si>
  <si>
    <t>简装</t>
    <phoneticPr fontId="21" type="noConversion"/>
  </si>
  <si>
    <t>毛坯</t>
  </si>
  <si>
    <t>毛坯</t>
    <phoneticPr fontId="21" type="noConversion"/>
  </si>
  <si>
    <t>书香河畔</t>
    <phoneticPr fontId="228" type="noConversion"/>
  </si>
  <si>
    <t>大秦御港城</t>
    <phoneticPr fontId="228" type="noConversion"/>
  </si>
  <si>
    <t>较规则</t>
    <phoneticPr fontId="228" type="noConversion"/>
  </si>
  <si>
    <t>较适宜</t>
    <phoneticPr fontId="228" type="noConversion"/>
  </si>
  <si>
    <t>三通</t>
    <phoneticPr fontId="228" type="noConversion"/>
  </si>
  <si>
    <t>较好</t>
    <phoneticPr fontId="228" type="noConversion"/>
  </si>
  <si>
    <t>咸阳万和林房地产开发有限公司、咸阳万玉科置业有限公司</t>
    <phoneticPr fontId="228" type="noConversion"/>
  </si>
  <si>
    <t>天地源</t>
    <phoneticPr fontId="3" type="noConversion"/>
  </si>
  <si>
    <t>坐落</t>
    <phoneticPr fontId="228" type="noConversion"/>
  </si>
  <si>
    <t>幼儿园</t>
    <phoneticPr fontId="3" type="noConversion"/>
  </si>
  <si>
    <t>楼面单价
（㎡/元）</t>
    <phoneticPr fontId="228" type="noConversion"/>
  </si>
  <si>
    <t>地面单价
（㎡/元）</t>
    <phoneticPr fontId="228" type="noConversion"/>
  </si>
  <si>
    <t>总地价
（万元）</t>
    <phoneticPr fontId="228" type="noConversion"/>
  </si>
  <si>
    <t>建筑面积
（㎡）</t>
    <phoneticPr fontId="228" type="noConversion"/>
  </si>
  <si>
    <t>土地面积
（㎡）</t>
    <phoneticPr fontId="228" type="noConversion"/>
  </si>
  <si>
    <t>2020-1-0139-P01DYGJ2</t>
    <phoneticPr fontId="6" type="noConversion"/>
  </si>
  <si>
    <t>中诚信托</t>
    <phoneticPr fontId="6" type="noConversion"/>
  </si>
  <si>
    <t>编号</t>
  </si>
  <si>
    <r>
      <t>土地</t>
    </r>
    <r>
      <rPr>
        <b/>
        <sz val="9"/>
        <color rgb="FF2B2B2B"/>
        <rFont val="宋体"/>
        <family val="3"/>
        <charset val="134"/>
      </rPr>
      <t>位置</t>
    </r>
  </si>
  <si>
    <r>
      <t>土</t>
    </r>
    <r>
      <rPr>
        <b/>
        <sz val="9"/>
        <color rgb="FF2B2B2B"/>
        <rFont val="宋体"/>
        <family val="3"/>
        <charset val="134"/>
      </rPr>
      <t>地面积</t>
    </r>
    <r>
      <rPr>
        <b/>
        <sz val="9"/>
        <color rgb="FF2B2B2B"/>
        <rFont val="Times New Roman"/>
        <family val="1"/>
      </rPr>
      <t>(</t>
    </r>
    <r>
      <rPr>
        <b/>
        <sz val="9"/>
        <color rgb="FF2B2B2B"/>
        <rFont val="仿宋"/>
        <family val="3"/>
        <charset val="134"/>
      </rPr>
      <t>亩/㎡</t>
    </r>
    <r>
      <rPr>
        <b/>
        <sz val="9"/>
        <color rgb="FF2B2B2B"/>
        <rFont val="Times New Roman"/>
        <family val="1"/>
      </rPr>
      <t>)</t>
    </r>
  </si>
  <si>
    <t>土地</t>
  </si>
  <si>
    <t>用途</t>
  </si>
  <si>
    <r>
      <t>规划</t>
    </r>
    <r>
      <rPr>
        <b/>
        <sz val="9"/>
        <color rgb="FF2B2B2B"/>
        <rFont val="仿宋"/>
        <family val="3"/>
        <charset val="134"/>
      </rPr>
      <t>指标要求</t>
    </r>
  </si>
  <si>
    <t>（年）</t>
  </si>
  <si>
    <t>土地估价</t>
  </si>
  <si>
    <t>备案号</t>
  </si>
  <si>
    <t>竞买</t>
  </si>
  <si>
    <t>保证金</t>
  </si>
  <si>
    <t>（万元）</t>
  </si>
  <si>
    <t>建筑</t>
  </si>
  <si>
    <t>密度</t>
  </si>
  <si>
    <t>(%)</t>
  </si>
  <si>
    <t>绿地率</t>
  </si>
  <si>
    <r>
      <t>（</t>
    </r>
    <r>
      <rPr>
        <b/>
        <sz val="9"/>
        <color rgb="FF2B2B2B"/>
        <rFont val="Times New Roman"/>
        <family val="1"/>
      </rPr>
      <t>%</t>
    </r>
    <r>
      <rPr>
        <b/>
        <sz val="9"/>
        <color rgb="FF2B2B2B"/>
        <rFont val="仿宋"/>
        <family val="3"/>
        <charset val="134"/>
      </rPr>
      <t>）</t>
    </r>
  </si>
  <si>
    <t>城镇住宅用地</t>
  </si>
  <si>
    <t>＜3.5</t>
  </si>
  <si>
    <t>≤20</t>
  </si>
  <si>
    <t>≥35</t>
  </si>
  <si>
    <t>6103019BB0150</t>
  </si>
  <si>
    <t>彩虹二路以东、姜台路以南、经电路以西，兴业中路以北区域</t>
  </si>
  <si>
    <t>6103019BC0149</t>
  </si>
  <si>
    <t>年限</t>
    <phoneticPr fontId="228" type="noConversion"/>
  </si>
  <si>
    <t>彩虹二路以东、文兴路绿地以南、经电北路以西，姜台路以北区域</t>
    <phoneticPr fontId="228" type="noConversion"/>
  </si>
  <si>
    <t>170.65亩/113766.31㎡</t>
    <phoneticPr fontId="228" type="noConversion"/>
  </si>
  <si>
    <t>164.09亩/109394.66㎡</t>
    <phoneticPr fontId="228" type="noConversion"/>
  </si>
  <si>
    <t>高层</t>
  </si>
  <si>
    <t>高层</t>
    <phoneticPr fontId="21" type="noConversion"/>
  </si>
  <si>
    <t>钢混</t>
    <phoneticPr fontId="21" type="noConversion"/>
  </si>
  <si>
    <t>高档</t>
    <phoneticPr fontId="21" type="noConversion"/>
  </si>
  <si>
    <t>中高档</t>
  </si>
  <si>
    <t>中高档</t>
    <phoneticPr fontId="21" type="noConversion"/>
  </si>
  <si>
    <t>中档</t>
    <phoneticPr fontId="21" type="noConversion"/>
  </si>
  <si>
    <t>中低档</t>
    <phoneticPr fontId="21" type="noConversion"/>
  </si>
  <si>
    <t>低档</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</si>
  <si>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</si>
  <si>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</si>
  <si>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</si>
  <si>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</si>
  <si>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</si>
  <si>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</si>
  <si>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</si>
  <si>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</si>
  <si>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平层</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</si>
</sst>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1"/>
      <name val="宋体"/>
      <family val="2"/>
      <charset val="134"/>
    </font>
    <font>
      <sz val="11"/>
      <color rgb="FF000000"/>
      <name val="宋体"/>
      <family val="2"/>
      <charset val="134"/>
    </font>
    <font>
      <sz val="11"/>
      <color rgb="FF000000"/>
      <name val="宋体"/>
      <family val="3"/>
      <charset val="134"/>
    </font>
    <font>
      <sz val="11"/>
      <color theme="9" tint="-0.249977111117893"/>
      <name val="Arial"/>
      <family val="3"/>
    </font>
    <font>
      <sz val="11"/>
      <color theme="9" tint="-0.249977111117893"/>
      <name val="Arial"/>
      <family val="3"/>
      <charset val="134"/>
    </font>
    <font>
      <sz val="10"/>
      <color rgb="FF000000"/>
      <name val="Microsoft YaHei UI"/>
      <family val="3"/>
      <charset val="134"/>
    </font>
    <font>
      <sz val="12"/>
      <color rgb="FF000000"/>
      <name val="宋体"/>
      <family val="3"/>
      <charset val="134"/>
    </font>
    <font>
      <b/>
      <sz val="9"/>
      <color rgb="FF2B2B2B"/>
      <name val="Times New Roman"/>
      <family val="1"/>
    </font>
    <font>
      <sz val="9"/>
      <color rgb="FF2B2B2B"/>
      <name val="宋体"/>
      <family val="3"/>
      <charset val="134"/>
    </font>
    <font>
      <b/>
      <sz val="9"/>
      <color rgb="FF2B2B2B"/>
      <name val="仿宋"/>
      <family val="3"/>
      <charset val="134"/>
    </font>
    <font>
      <b/>
      <sz val="9"/>
      <color rgb="FF2B2B2B"/>
      <name val="宋体"/>
      <family val="3"/>
      <charset val="134"/>
    </font>
    <font>
      <b/>
      <sz val="9"/>
      <color rgb="FF2B2B2B"/>
      <name val="Calibri"/>
      <family val="2"/>
    </font>
    <font>
      <b/>
      <sz val="7.5"/>
      <color rgb="FF2B2B2B"/>
      <name val="仿宋"/>
      <family val="3"/>
      <charset val="134"/>
    </font>
    <font>
      <sz val="9"/>
      <color rgb="FF2B2B2B"/>
      <name val="仿宋"/>
      <family val="3"/>
      <charset val="134"/>
    </font>
    <font>
      <sz val="9"/>
      <color rgb="FF2B2B2B"/>
      <name val="Times New Roman"/>
      <family val="1"/>
    </font>
    <font>
      <sz val="9"/>
      <color rgb="FF2B2B2B"/>
      <name val="Calibri"/>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64" fillId="0" borderId="0" xfId="0" applyFont="1" applyAlignment="1">
      <alignment horizontal="left" vertical="center"/>
    </xf>
    <xf numFmtId="0" fontId="164" fillId="6" borderId="0" xfId="0" applyFont="1" applyFill="1" applyAlignment="1">
      <alignment horizontal="left" vertical="center"/>
    </xf>
    <xf numFmtId="0" fontId="164" fillId="0" borderId="2" xfId="0" applyFont="1" applyBorder="1" applyAlignment="1">
      <alignment horizontal="left" vertical="center"/>
    </xf>
    <xf numFmtId="10" fontId="164" fillId="0" borderId="2" xfId="0" applyNumberFormat="1" applyFont="1" applyBorder="1" applyAlignment="1">
      <alignment horizontal="left" vertical="center"/>
    </xf>
    <xf numFmtId="9" fontId="164" fillId="0" borderId="2" xfId="0" applyNumberFormat="1" applyFont="1" applyBorder="1" applyAlignment="1">
      <alignment horizontal="left" vertical="center"/>
    </xf>
    <xf numFmtId="0" fontId="86" fillId="0" borderId="0" xfId="16"/>
    <xf numFmtId="0" fontId="86" fillId="6" borderId="0" xfId="16" applyFill="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applyFill="1"/>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158" fillId="0" borderId="0" xfId="16" applyFont="1"/>
    <xf numFmtId="0" fontId="158" fillId="6" borderId="0" xfId="16" applyFont="1" applyFill="1"/>
    <xf numFmtId="0" fontId="275" fillId="0" borderId="74" xfId="0" applyNumberFormat="1" applyFont="1" applyFill="1" applyBorder="1" applyAlignment="1" applyProtection="1">
      <alignment horizontal="center" vertical="center" wrapText="1"/>
      <protection locked="0"/>
    </xf>
    <xf numFmtId="0" fontId="276" fillId="0" borderId="74" xfId="0" applyNumberFormat="1" applyFont="1" applyFill="1" applyBorder="1" applyAlignment="1" applyProtection="1">
      <alignment horizontal="center" vertical="center" wrapText="1"/>
      <protection locked="0"/>
    </xf>
    <xf numFmtId="0" fontId="277" fillId="0" borderId="74" xfId="0" applyNumberFormat="1" applyFont="1" applyFill="1" applyBorder="1" applyAlignment="1" applyProtection="1">
      <alignment horizontal="center" vertical="center" wrapText="1"/>
      <protection locked="0"/>
    </xf>
    <xf numFmtId="0" fontId="145" fillId="6" borderId="0" xfId="0" applyFont="1" applyFill="1">
      <alignment vertical="center"/>
    </xf>
    <xf numFmtId="0" fontId="276" fillId="0" borderId="59" xfId="0" applyNumberFormat="1" applyFont="1" applyFill="1" applyBorder="1" applyAlignment="1" applyProtection="1">
      <alignment horizontal="center" vertical="center" wrapText="1"/>
      <protection locked="0"/>
    </xf>
    <xf numFmtId="177" fontId="71" fillId="18" borderId="12" xfId="2" applyNumberFormat="1" applyFont="1" applyFill="1" applyBorder="1" applyAlignment="1" applyProtection="1">
      <alignment horizontal="center" vertical="center"/>
      <protection locked="0"/>
    </xf>
    <xf numFmtId="0" fontId="108" fillId="18" borderId="59" xfId="0" applyNumberFormat="1" applyFont="1" applyFill="1" applyBorder="1" applyAlignment="1" applyProtection="1">
      <alignment vertical="center" wrapText="1"/>
      <protection locked="0"/>
    </xf>
    <xf numFmtId="0" fontId="86" fillId="18" borderId="0" xfId="16" applyFill="1"/>
    <xf numFmtId="0" fontId="108" fillId="18" borderId="30" xfId="0" applyFont="1" applyFill="1" applyBorder="1" applyAlignment="1" applyProtection="1">
      <alignment vertical="center" wrapText="1"/>
      <protection locked="0"/>
    </xf>
    <xf numFmtId="0" fontId="84" fillId="18" borderId="1" xfId="0" applyNumberFormat="1" applyFont="1" applyFill="1" applyBorder="1" applyAlignment="1" applyProtection="1">
      <alignment horizontal="center" vertical="center" wrapText="1"/>
      <protection locked="0"/>
    </xf>
    <xf numFmtId="0" fontId="108" fillId="18" borderId="59" xfId="0" applyFont="1" applyFill="1" applyBorder="1" applyAlignment="1" applyProtection="1">
      <alignment vertical="center" wrapText="1"/>
      <protection locked="0"/>
    </xf>
    <xf numFmtId="0" fontId="84" fillId="18" borderId="6" xfId="0" applyNumberFormat="1" applyFont="1" applyFill="1" applyBorder="1" applyAlignment="1" applyProtection="1">
      <alignment horizontal="center" vertical="center" wrapText="1"/>
      <protection locked="0"/>
    </xf>
    <xf numFmtId="0" fontId="71" fillId="18" borderId="19" xfId="0" applyNumberFormat="1" applyFont="1" applyFill="1" applyBorder="1" applyAlignment="1" applyProtection="1">
      <alignment horizontal="center" vertical="center" wrapText="1"/>
      <protection locked="0"/>
    </xf>
    <xf numFmtId="182" fontId="71" fillId="18" borderId="2" xfId="0" applyNumberFormat="1" applyFont="1" applyFill="1" applyBorder="1" applyAlignment="1" applyProtection="1">
      <alignment vertical="center"/>
      <protection locked="0"/>
    </xf>
    <xf numFmtId="182" fontId="71" fillId="18" borderId="5" xfId="0" applyNumberFormat="1" applyFont="1" applyFill="1" applyBorder="1" applyAlignment="1" applyProtection="1">
      <alignment horizontal="center" vertical="center"/>
      <protection locked="0"/>
    </xf>
    <xf numFmtId="0" fontId="127" fillId="6" borderId="0" xfId="16" applyFont="1" applyFill="1"/>
    <xf numFmtId="0" fontId="71" fillId="18" borderId="11" xfId="0" applyNumberFormat="1" applyFont="1" applyFill="1" applyBorder="1" applyAlignment="1" applyProtection="1">
      <alignment horizontal="center" vertical="center" wrapText="1"/>
      <protection locked="0"/>
    </xf>
    <xf numFmtId="0" fontId="247" fillId="18" borderId="24" xfId="0" applyFont="1" applyFill="1" applyBorder="1" applyAlignment="1" applyProtection="1">
      <alignment vertical="center" wrapText="1"/>
    </xf>
    <xf numFmtId="49" fontId="84" fillId="18" borderId="9" xfId="0" applyNumberFormat="1" applyFont="1" applyFill="1" applyBorder="1" applyAlignment="1" applyProtection="1">
      <alignment horizontal="center" vertical="center" wrapText="1"/>
      <protection locked="0"/>
    </xf>
    <xf numFmtId="0" fontId="108" fillId="18" borderId="30" xfId="0" applyNumberFormat="1" applyFont="1" applyFill="1" applyBorder="1" applyAlignment="1" applyProtection="1">
      <alignment vertical="center" wrapText="1"/>
      <protection locked="0"/>
    </xf>
    <xf numFmtId="0" fontId="106" fillId="18" borderId="16"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wrapText="1"/>
    </xf>
    <xf numFmtId="0" fontId="0" fillId="0" borderId="2" xfId="0" applyBorder="1" applyAlignment="1">
      <alignment horizontal="center" vertical="center"/>
    </xf>
    <xf numFmtId="0" fontId="280" fillId="0" borderId="2" xfId="0" applyFont="1" applyBorder="1" applyAlignment="1" applyProtection="1">
      <alignment vertical="center" wrapText="1"/>
      <protection locked="0"/>
    </xf>
    <xf numFmtId="0" fontId="145" fillId="0" borderId="2" xfId="0" applyFont="1" applyBorder="1" applyAlignment="1">
      <alignment horizontal="center" vertical="center" wrapText="1"/>
    </xf>
    <xf numFmtId="0" fontId="281" fillId="8" borderId="5" xfId="0" applyFont="1" applyFill="1" applyBorder="1" applyAlignment="1" applyProtection="1">
      <alignment vertical="center"/>
      <protection locked="0"/>
    </xf>
    <xf numFmtId="0" fontId="282" fillId="0" borderId="35" xfId="0" applyFont="1" applyBorder="1" applyAlignment="1">
      <alignment horizontal="center" vertical="center" wrapText="1"/>
    </xf>
    <xf numFmtId="0" fontId="284" fillId="0" borderId="79" xfId="0" applyFont="1" applyBorder="1" applyAlignment="1">
      <alignment horizontal="center" vertical="center" wrapText="1"/>
    </xf>
    <xf numFmtId="0" fontId="282" fillId="0" borderId="79" xfId="0" applyFont="1" applyBorder="1" applyAlignment="1">
      <alignment horizontal="center" vertical="center" wrapText="1"/>
    </xf>
    <xf numFmtId="0" fontId="0" fillId="0" borderId="79" xfId="0" applyBorder="1" applyAlignment="1">
      <alignment vertical="center" wrapText="1"/>
    </xf>
    <xf numFmtId="0" fontId="0" fillId="0" borderId="80" xfId="0" applyBorder="1" applyAlignment="1">
      <alignment vertical="center" wrapText="1"/>
    </xf>
    <xf numFmtId="0" fontId="284" fillId="0" borderId="39" xfId="0" applyFont="1" applyBorder="1" applyAlignment="1">
      <alignment horizontal="center" vertical="center" wrapText="1"/>
    </xf>
    <xf numFmtId="0" fontId="286" fillId="0" borderId="39" xfId="0" applyFont="1" applyBorder="1" applyAlignment="1">
      <alignment horizontal="center" vertical="center" wrapText="1"/>
    </xf>
    <xf numFmtId="0" fontId="284" fillId="0" borderId="65" xfId="0" applyFont="1" applyBorder="1" applyAlignment="1">
      <alignment horizontal="center" vertical="center" wrapText="1"/>
    </xf>
    <xf numFmtId="0" fontId="282" fillId="0" borderId="65" xfId="0" applyFont="1" applyBorder="1" applyAlignment="1">
      <alignment horizontal="center" vertical="center" wrapText="1"/>
    </xf>
    <xf numFmtId="0" fontId="0" fillId="0" borderId="65" xfId="0" applyBorder="1" applyAlignment="1">
      <alignment vertical="center" wrapText="1"/>
    </xf>
    <xf numFmtId="0" fontId="0" fillId="0" borderId="66" xfId="0" applyBorder="1" applyAlignment="1">
      <alignment vertical="center" wrapText="1"/>
    </xf>
    <xf numFmtId="0" fontId="285" fillId="0" borderId="39" xfId="0" applyFont="1" applyBorder="1" applyAlignment="1">
      <alignment horizontal="center" vertical="center" wrapText="1"/>
    </xf>
    <xf numFmtId="0" fontId="285" fillId="0" borderId="65" xfId="0" applyFont="1" applyBorder="1" applyAlignment="1">
      <alignment horizontal="center" vertical="center" wrapText="1"/>
    </xf>
    <xf numFmtId="0" fontId="287" fillId="0" borderId="65" xfId="0" applyFont="1" applyBorder="1" applyAlignment="1">
      <alignment horizontal="center" vertical="center" wrapText="1"/>
    </xf>
    <xf numFmtId="0" fontId="282" fillId="0" borderId="66" xfId="0" applyFont="1" applyBorder="1" applyAlignment="1">
      <alignment horizontal="center" vertical="center" wrapText="1"/>
    </xf>
    <xf numFmtId="0" fontId="288" fillId="0" borderId="65" xfId="0" applyFont="1" applyBorder="1" applyAlignment="1">
      <alignment horizontal="center" vertical="center" wrapText="1"/>
    </xf>
    <xf numFmtId="0" fontId="290" fillId="0" borderId="65" xfId="0" applyFont="1" applyBorder="1" applyAlignment="1">
      <alignment horizontal="center" vertical="center" wrapText="1"/>
    </xf>
    <xf numFmtId="0" fontId="290" fillId="0" borderId="66" xfId="0" applyFont="1" applyBorder="1" applyAlignment="1">
      <alignment horizontal="center" vertical="center" wrapText="1"/>
    </xf>
    <xf numFmtId="0" fontId="289" fillId="0" borderId="65" xfId="0" applyFont="1" applyBorder="1" applyAlignment="1">
      <alignment horizontal="center" vertical="center" wrapText="1"/>
    </xf>
    <xf numFmtId="0" fontId="289" fillId="0" borderId="66" xfId="0" applyFont="1" applyBorder="1" applyAlignment="1">
      <alignment horizontal="center" vertical="center" wrapText="1"/>
    </xf>
    <xf numFmtId="0" fontId="275"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14" fontId="288" fillId="0" borderId="35" xfId="0" applyNumberFormat="1" applyFont="1" applyBorder="1" applyAlignment="1">
      <alignment horizontal="center" vertical="center" wrapText="1"/>
    </xf>
    <xf numFmtId="14" fontId="288" fillId="0" borderId="79" xfId="0" applyNumberFormat="1" applyFont="1" applyBorder="1" applyAlignment="1">
      <alignment horizontal="center" vertical="center" wrapText="1"/>
    </xf>
    <xf numFmtId="14" fontId="288" fillId="0" borderId="80" xfId="0" applyNumberFormat="1" applyFont="1" applyBorder="1" applyAlignment="1">
      <alignment horizontal="center" vertical="center" wrapText="1"/>
    </xf>
    <xf numFmtId="0" fontId="288" fillId="0" borderId="35" xfId="0" applyFont="1" applyBorder="1" applyAlignment="1">
      <alignment horizontal="left" vertical="center" wrapText="1"/>
    </xf>
    <xf numFmtId="0" fontId="288" fillId="0" borderId="79" xfId="0" applyFont="1" applyBorder="1" applyAlignment="1">
      <alignment horizontal="left" vertical="center" wrapText="1"/>
    </xf>
    <xf numFmtId="0" fontId="288" fillId="0" borderId="80" xfId="0" applyFont="1" applyBorder="1" applyAlignment="1">
      <alignment horizontal="left" vertical="center" wrapText="1"/>
    </xf>
    <xf numFmtId="0" fontId="288" fillId="0" borderId="35" xfId="0" applyFont="1" applyBorder="1" applyAlignment="1">
      <alignment horizontal="center" vertical="center" wrapText="1"/>
    </xf>
    <xf numFmtId="0" fontId="288" fillId="0" borderId="79" xfId="0" applyFont="1" applyBorder="1" applyAlignment="1">
      <alignment horizontal="center" vertical="center" wrapText="1"/>
    </xf>
    <xf numFmtId="0" fontId="288" fillId="0" borderId="80" xfId="0" applyFont="1" applyBorder="1" applyAlignment="1">
      <alignment horizontal="center" vertical="center" wrapText="1"/>
    </xf>
    <xf numFmtId="0" fontId="283" fillId="0" borderId="35" xfId="0" applyFont="1" applyBorder="1" applyAlignment="1">
      <alignment horizontal="center" vertical="center" wrapText="1"/>
    </xf>
    <xf numFmtId="0" fontId="283" fillId="0" borderId="79" xfId="0" applyFont="1" applyBorder="1" applyAlignment="1">
      <alignment horizontal="center" vertical="center" wrapText="1"/>
    </xf>
    <xf numFmtId="0" fontId="283" fillId="0" borderId="80" xfId="0" applyFont="1" applyBorder="1" applyAlignment="1">
      <alignment horizontal="center" vertical="center" wrapText="1"/>
    </xf>
    <xf numFmtId="0" fontId="284" fillId="0" borderId="35" xfId="0" applyFont="1" applyBorder="1" applyAlignment="1">
      <alignment horizontal="center" vertical="center" wrapText="1"/>
    </xf>
    <xf numFmtId="0" fontId="284" fillId="0" borderId="79" xfId="0" applyFont="1" applyBorder="1" applyAlignment="1">
      <alignment horizontal="center" vertical="center" wrapText="1"/>
    </xf>
    <xf numFmtId="0" fontId="284" fillId="0" borderId="80" xfId="0" applyFont="1" applyBorder="1" applyAlignment="1">
      <alignment horizontal="center" vertical="center" wrapText="1"/>
    </xf>
    <xf numFmtId="0" fontId="285" fillId="0" borderId="26" xfId="0" applyFont="1" applyBorder="1" applyAlignment="1">
      <alignment horizontal="center" vertical="center" wrapText="1"/>
    </xf>
    <xf numFmtId="0" fontId="285" fillId="0" borderId="28" xfId="0" applyFont="1" applyBorder="1" applyAlignment="1">
      <alignment horizontal="center" vertical="center" wrapText="1"/>
    </xf>
    <xf numFmtId="0" fontId="285" fillId="0" borderId="39" xfId="0" applyFont="1" applyBorder="1" applyAlignment="1">
      <alignment horizontal="center" vertical="center" wrapText="1"/>
    </xf>
    <xf numFmtId="0" fontId="285" fillId="0" borderId="31" xfId="0" applyFont="1" applyBorder="1" applyAlignment="1">
      <alignment horizontal="center" vertical="center" wrapText="1"/>
    </xf>
    <xf numFmtId="0" fontId="285" fillId="0" borderId="0" xfId="0" applyFont="1" applyBorder="1" applyAlignment="1">
      <alignment horizontal="center" vertical="center" wrapText="1"/>
    </xf>
    <xf numFmtId="0" fontId="285" fillId="0" borderId="65" xfId="0" applyFont="1" applyBorder="1" applyAlignment="1">
      <alignment horizontal="center" vertical="center" wrapText="1"/>
    </xf>
    <xf numFmtId="0" fontId="285" fillId="0" borderId="54" xfId="0" applyFont="1" applyBorder="1" applyAlignment="1">
      <alignment horizontal="center" vertical="center" wrapText="1"/>
    </xf>
    <xf numFmtId="0" fontId="285" fillId="0" borderId="61" xfId="0" applyFont="1" applyBorder="1" applyAlignment="1">
      <alignment horizontal="center" vertical="center" wrapText="1"/>
    </xf>
    <xf numFmtId="0" fontId="285" fillId="0" borderId="66" xfId="0" applyFont="1" applyBorder="1" applyAlignment="1">
      <alignment horizontal="center" vertical="center" wrapText="1"/>
    </xf>
    <xf numFmtId="0" fontId="285" fillId="0" borderId="35" xfId="0" applyFont="1" applyBorder="1" applyAlignment="1">
      <alignment horizontal="center" vertical="center" wrapText="1"/>
    </xf>
    <xf numFmtId="0" fontId="285" fillId="0" borderId="79" xfId="0" applyFont="1" applyBorder="1" applyAlignment="1">
      <alignment horizontal="center" vertical="center" wrapText="1"/>
    </xf>
    <xf numFmtId="0" fontId="285" fillId="0" borderId="80"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protection locked="0"/>
    </xf>
    <xf numFmtId="0" fontId="71" fillId="0" borderId="3" xfId="0" applyFont="1" applyFill="1" applyBorder="1" applyAlignment="1" applyProtection="1">
      <alignment horizontal="center" vertical="center"/>
      <protection locked="0"/>
    </xf>
    <xf numFmtId="0" fontId="71" fillId="0" borderId="21" xfId="0" applyFont="1" applyFill="1" applyBorder="1" applyAlignment="1" applyProtection="1">
      <alignment horizontal="center" vertical="center"/>
      <protection locked="0"/>
    </xf>
    <xf numFmtId="0" fontId="71" fillId="0"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18" borderId="11" xfId="0" applyFont="1" applyFill="1" applyBorder="1" applyAlignment="1" applyProtection="1">
      <alignment horizontal="center" vertical="center" wrapText="1"/>
      <protection locked="0"/>
    </xf>
    <xf numFmtId="0" fontId="262" fillId="18"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74" fillId="0" borderId="9" xfId="0" applyFont="1" applyFill="1" applyBorder="1" applyAlignment="1" applyProtection="1">
      <alignment horizontal="center" vertical="center" wrapText="1"/>
      <protection locked="0"/>
    </xf>
    <xf numFmtId="0" fontId="274" fillId="0" borderId="11" xfId="0" applyFont="1" applyFill="1" applyBorder="1" applyAlignment="1" applyProtection="1">
      <alignment horizontal="center" vertical="center" wrapText="1"/>
      <protection locked="0"/>
    </xf>
    <xf numFmtId="0" fontId="279"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9" fontId="71" fillId="5" borderId="0" xfId="0" applyNumberFormat="1" applyFont="1" applyFill="1" applyAlignment="1" applyProtection="1">
      <alignment vertical="center"/>
      <protection locked="0"/>
    </xf>
    <xf numFmtId="180" fontId="71" fillId="5" borderId="11" xfId="2" applyNumberFormat="1" applyFont="1" applyFill="1" applyBorder="1" applyAlignment="1" applyProtection="1">
      <alignment horizontal="center" vertical="center"/>
      <protection locked="0"/>
    </xf>
    <xf numFmtId="180" fontId="76" fillId="5" borderId="0" xfId="0" applyNumberFormat="1" applyFont="1" applyFill="1" applyAlignment="1" applyProtection="1">
      <alignment horizontal="center" vertical="center"/>
      <protection locked="0"/>
    </xf>
    <xf numFmtId="178" fontId="86" fillId="0" borderId="0" xfId="16" applyNumberFormat="1" applyAlignment="1">
      <alignment horizontal="left"/>
    </xf>
    <xf numFmtId="178" fontId="86" fillId="6" borderId="0" xfId="16" applyNumberFormat="1" applyFill="1" applyAlignment="1">
      <alignment horizontal="left"/>
    </xf>
    <xf numFmtId="178" fontId="86" fillId="0" borderId="0" xfId="16" applyNumberFormat="1" applyFill="1" applyAlignment="1">
      <alignment horizontal="left"/>
    </xf>
    <xf numFmtId="178" fontId="86" fillId="18" borderId="0" xfId="16" applyNumberFormat="1" applyFill="1" applyAlignment="1">
      <alignment horizontal="left"/>
    </xf>
    <xf numFmtId="0" fontId="86" fillId="0" borderId="0" xfId="16" applyAlignment="1">
      <alignment horizontal="right"/>
    </xf>
    <xf numFmtId="0" fontId="86" fillId="6" borderId="0" xfId="16" applyFill="1" applyAlignment="1">
      <alignment horizontal="right"/>
    </xf>
    <xf numFmtId="0" fontId="86" fillId="0" borderId="0" xfId="16" applyFill="1" applyAlignment="1">
      <alignment horizontal="right"/>
    </xf>
    <xf numFmtId="0" fontId="86" fillId="18" borderId="0" xfId="16" applyFill="1" applyAlignment="1">
      <alignment horizontal="right"/>
    </xf>
    <xf numFmtId="0" fontId="83" fillId="5" borderId="60" xfId="0" applyNumberFormat="1" applyFont="1" applyFill="1" applyBorder="1" applyAlignment="1" applyProtection="1">
      <alignment vertical="center" wrapText="1"/>
      <protection locked="0"/>
    </xf>
    <xf numFmtId="182" fontId="71" fillId="5" borderId="45" xfId="0" applyNumberFormat="1"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5512D122-5CC6-11CF-8D67-00AA00BDCE1D}" ax:persistence="persistStream" r:id="rId1"/>
</file>

<file path=xl/activeX/activeX2.xml><?xml version="1.0" encoding="utf-8"?>
<ax:ocx xmlns:ax="http://schemas.microsoft.com/office/2006/activeX" xmlns:r="http://schemas.openxmlformats.org/officeDocument/2006/relationships" ax:classid="{5512D122-5CC6-11CF-8D67-00AA00BDCE1D}" ax:persistence="persistStream" r:id="rId1"/>
</file>

<file path=xl/activeX/activeX3.xml><?xml version="1.0" encoding="utf-8"?>
<ax:ocx xmlns:ax="http://schemas.microsoft.com/office/2006/activeX" xmlns:r="http://schemas.openxmlformats.org/officeDocument/2006/relationships" ax:classid="{5512D122-5CC6-11CF-8D67-00AA00BDCE1D}" ax:persistence="persistStream" r:id="rId1"/>
</file>

<file path=xl/activeX/activeX4.xml><?xml version="1.0" encoding="utf-8"?>
<ax:ocx xmlns:ax="http://schemas.microsoft.com/office/2006/activeX" xmlns:r="http://schemas.openxmlformats.org/officeDocument/2006/relationships" ax:classid="{5512D122-5CC6-11CF-8D67-00AA00BDCE1D}" ax:persistence="persistStream" r:id="rId1"/>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8" Type="http://schemas.openxmlformats.org/officeDocument/2006/relationships/image" Target="../media/image35.png"/><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10" Type="http://schemas.openxmlformats.org/officeDocument/2006/relationships/image" Target="../media/image37.png"/><Relationship Id="rId4" Type="http://schemas.openxmlformats.org/officeDocument/2006/relationships/image" Target="../media/image31.png"/><Relationship Id="rId9" Type="http://schemas.openxmlformats.org/officeDocument/2006/relationships/image" Target="../media/image36.png"/></Relationships>
</file>

<file path=xl/drawings/_rels/drawing5.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18" Type="http://schemas.openxmlformats.org/officeDocument/2006/relationships/image" Target="../media/image55.png"/><Relationship Id="rId3" Type="http://schemas.openxmlformats.org/officeDocument/2006/relationships/image" Target="../media/image40.png"/><Relationship Id="rId21" Type="http://schemas.openxmlformats.org/officeDocument/2006/relationships/image" Target="../media/image58.png"/><Relationship Id="rId7" Type="http://schemas.openxmlformats.org/officeDocument/2006/relationships/image" Target="../media/image44.png"/><Relationship Id="rId12" Type="http://schemas.openxmlformats.org/officeDocument/2006/relationships/image" Target="../media/image49.png"/><Relationship Id="rId17" Type="http://schemas.openxmlformats.org/officeDocument/2006/relationships/image" Target="../media/image54.png"/><Relationship Id="rId2" Type="http://schemas.openxmlformats.org/officeDocument/2006/relationships/image" Target="../media/image39.png"/><Relationship Id="rId16" Type="http://schemas.openxmlformats.org/officeDocument/2006/relationships/image" Target="../media/image53.png"/><Relationship Id="rId20" Type="http://schemas.openxmlformats.org/officeDocument/2006/relationships/image" Target="../media/image57.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5" Type="http://schemas.openxmlformats.org/officeDocument/2006/relationships/image" Target="../media/image42.png"/><Relationship Id="rId15" Type="http://schemas.openxmlformats.org/officeDocument/2006/relationships/image" Target="../media/image52.png"/><Relationship Id="rId10" Type="http://schemas.openxmlformats.org/officeDocument/2006/relationships/image" Target="../media/image47.png"/><Relationship Id="rId19" Type="http://schemas.openxmlformats.org/officeDocument/2006/relationships/image" Target="../media/image56.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s>
</file>

<file path=xl/drawings/_rels/drawing6.xml.rels><?xml version="1.0" encoding="UTF-8" standalone="yes"?>
<Relationships xmlns="http://schemas.openxmlformats.org/package/2006/relationships"><Relationship Id="rId8" Type="http://schemas.openxmlformats.org/officeDocument/2006/relationships/image" Target="../media/image66.png"/><Relationship Id="rId3" Type="http://schemas.openxmlformats.org/officeDocument/2006/relationships/image" Target="../media/image61.png"/><Relationship Id="rId7" Type="http://schemas.openxmlformats.org/officeDocument/2006/relationships/image" Target="../media/image65.png"/><Relationship Id="rId2" Type="http://schemas.openxmlformats.org/officeDocument/2006/relationships/image" Target="../media/image60.png"/><Relationship Id="rId1" Type="http://schemas.openxmlformats.org/officeDocument/2006/relationships/image" Target="../media/image59.png"/><Relationship Id="rId6" Type="http://schemas.openxmlformats.org/officeDocument/2006/relationships/image" Target="../media/image64.png"/><Relationship Id="rId5" Type="http://schemas.openxmlformats.org/officeDocument/2006/relationships/image" Target="../media/image63.png"/><Relationship Id="rId4" Type="http://schemas.openxmlformats.org/officeDocument/2006/relationships/image" Target="../media/image6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6</xdr:col>
      <xdr:colOff>19050</xdr:colOff>
      <xdr:row>0</xdr:row>
      <xdr:rowOff>0</xdr:rowOff>
    </xdr:from>
    <xdr:to>
      <xdr:col>14</xdr:col>
      <xdr:colOff>521740</xdr:colOff>
      <xdr:row>23</xdr:row>
      <xdr:rowOff>94800</xdr:rowOff>
    </xdr:to>
    <xdr:pic>
      <xdr:nvPicPr>
        <xdr:cNvPr id="2" name="图片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stretch>
          <a:fillRect/>
        </a:stretch>
      </xdr:blipFill>
      <xdr:spPr>
        <a:xfrm>
          <a:off x="4733925" y="0"/>
          <a:ext cx="5989090" cy="3600000"/>
        </a:xfrm>
        <a:prstGeom prst="rect">
          <a:avLst/>
        </a:prstGeom>
      </xdr:spPr>
    </xdr:pic>
    <xdr:clientData/>
  </xdr:twoCellAnchor>
  <xdr:twoCellAnchor editAs="oneCell">
    <xdr:from>
      <xdr:col>6</xdr:col>
      <xdr:colOff>152400</xdr:colOff>
      <xdr:row>26</xdr:row>
      <xdr:rowOff>85725</xdr:rowOff>
    </xdr:from>
    <xdr:to>
      <xdr:col>14</xdr:col>
      <xdr:colOff>323143</xdr:colOff>
      <xdr:row>50</xdr:row>
      <xdr:rowOff>28125</xdr:rowOff>
    </xdr:to>
    <xdr:pic>
      <xdr:nvPicPr>
        <xdr:cNvPr id="3" name="图片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a:stretch>
          <a:fillRect/>
        </a:stretch>
      </xdr:blipFill>
      <xdr:spPr>
        <a:xfrm>
          <a:off x="4591050" y="4048125"/>
          <a:ext cx="5657143" cy="36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27</xdr:row>
          <xdr:rowOff>0</xdr:rowOff>
        </xdr:from>
        <xdr:to>
          <xdr:col>9</xdr:col>
          <xdr:colOff>281940</xdr:colOff>
          <xdr:row>28</xdr:row>
          <xdr:rowOff>45720</xdr:rowOff>
        </xdr:to>
        <xdr:sp macro="" textlink="">
          <xdr:nvSpPr>
            <xdr:cNvPr id="105473" name="Control 1" hidden="1">
              <a:extLst>
                <a:ext uri="{63B3BB69-23CF-44E3-9099-C40C66FF867C}">
                  <a14:compatExt spid="_x0000_s105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27</xdr:row>
          <xdr:rowOff>0</xdr:rowOff>
        </xdr:from>
        <xdr:to>
          <xdr:col>10</xdr:col>
          <xdr:colOff>129540</xdr:colOff>
          <xdr:row>28</xdr:row>
          <xdr:rowOff>45720</xdr:rowOff>
        </xdr:to>
        <xdr:sp macro="" textlink="">
          <xdr:nvSpPr>
            <xdr:cNvPr id="105474" name="Control 2" hidden="1">
              <a:extLst>
                <a:ext uri="{63B3BB69-23CF-44E3-9099-C40C66FF867C}">
                  <a14:compatExt spid="_x0000_s105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30</xdr:row>
          <xdr:rowOff>0</xdr:rowOff>
        </xdr:from>
        <xdr:to>
          <xdr:col>8</xdr:col>
          <xdr:colOff>129540</xdr:colOff>
          <xdr:row>31</xdr:row>
          <xdr:rowOff>45720</xdr:rowOff>
        </xdr:to>
        <xdr:sp macro="" textlink="">
          <xdr:nvSpPr>
            <xdr:cNvPr id="105475" name="Control 3" hidden="1">
              <a:extLst>
                <a:ext uri="{63B3BB69-23CF-44E3-9099-C40C66FF867C}">
                  <a14:compatExt spid="_x0000_s105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32</xdr:row>
          <xdr:rowOff>0</xdr:rowOff>
        </xdr:from>
        <xdr:to>
          <xdr:col>8</xdr:col>
          <xdr:colOff>129540</xdr:colOff>
          <xdr:row>33</xdr:row>
          <xdr:rowOff>45720</xdr:rowOff>
        </xdr:to>
        <xdr:sp macro="" textlink="">
          <xdr:nvSpPr>
            <xdr:cNvPr id="105476" name="Control 4" hidden="1">
              <a:extLst>
                <a:ext uri="{63B3BB69-23CF-44E3-9099-C40C66FF867C}">
                  <a14:compatExt spid="_x0000_s105476"/>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136</xdr:row>
      <xdr:rowOff>123825</xdr:rowOff>
    </xdr:from>
    <xdr:to>
      <xdr:col>7</xdr:col>
      <xdr:colOff>476267</xdr:colOff>
      <xdr:row>170</xdr:row>
      <xdr:rowOff>18375</xdr:rowOff>
    </xdr:to>
    <xdr:pic>
      <xdr:nvPicPr>
        <xdr:cNvPr id="2" name="图片 1">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a:stretch>
          <a:fillRect/>
        </a:stretch>
      </xdr:blipFill>
      <xdr:spPr>
        <a:xfrm>
          <a:off x="0" y="14049375"/>
          <a:ext cx="8553467" cy="5400000"/>
        </a:xfrm>
        <a:prstGeom prst="rect">
          <a:avLst/>
        </a:prstGeom>
      </xdr:spPr>
    </xdr:pic>
    <xdr:clientData/>
  </xdr:twoCellAnchor>
  <xdr:twoCellAnchor editAs="oneCell">
    <xdr:from>
      <xdr:col>0</xdr:col>
      <xdr:colOff>0</xdr:colOff>
      <xdr:row>171</xdr:row>
      <xdr:rowOff>0</xdr:rowOff>
    </xdr:from>
    <xdr:to>
      <xdr:col>2</xdr:col>
      <xdr:colOff>828062</xdr:colOff>
      <xdr:row>179</xdr:row>
      <xdr:rowOff>47457</xdr:rowOff>
    </xdr:to>
    <xdr:pic>
      <xdr:nvPicPr>
        <xdr:cNvPr id="3" name="图片 2">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2"/>
        <a:stretch>
          <a:fillRect/>
        </a:stretch>
      </xdr:blipFill>
      <xdr:spPr>
        <a:xfrm>
          <a:off x="0" y="19592925"/>
          <a:ext cx="4904762" cy="1342857"/>
        </a:xfrm>
        <a:prstGeom prst="rect">
          <a:avLst/>
        </a:prstGeom>
      </xdr:spPr>
    </xdr:pic>
    <xdr:clientData/>
  </xdr:twoCellAnchor>
  <xdr:twoCellAnchor editAs="oneCell">
    <xdr:from>
      <xdr:col>7</xdr:col>
      <xdr:colOff>466725</xdr:colOff>
      <xdr:row>160</xdr:row>
      <xdr:rowOff>9525</xdr:rowOff>
    </xdr:from>
    <xdr:to>
      <xdr:col>12</xdr:col>
      <xdr:colOff>1609196</xdr:colOff>
      <xdr:row>177</xdr:row>
      <xdr:rowOff>136800</xdr:rowOff>
    </xdr:to>
    <xdr:pic>
      <xdr:nvPicPr>
        <xdr:cNvPr id="4" name="图片 3">
          <a:extLst>
            <a:ext uri="{FF2B5EF4-FFF2-40B4-BE49-F238E27FC236}">
              <a16:creationId xmlns:a16="http://schemas.microsoft.com/office/drawing/2014/main" xmlns="" id="{00000000-0008-0000-1E00-000004000000}"/>
            </a:ext>
          </a:extLst>
        </xdr:cNvPr>
        <xdr:cNvPicPr>
          <a:picLocks noChangeAspect="1"/>
        </xdr:cNvPicPr>
      </xdr:nvPicPr>
      <xdr:blipFill>
        <a:blip xmlns:r="http://schemas.openxmlformats.org/officeDocument/2006/relationships" r:embed="rId3"/>
        <a:stretch>
          <a:fillRect/>
        </a:stretch>
      </xdr:blipFill>
      <xdr:spPr>
        <a:xfrm>
          <a:off x="8543925" y="17821275"/>
          <a:ext cx="4323821" cy="2880000"/>
        </a:xfrm>
        <a:prstGeom prst="rect">
          <a:avLst/>
        </a:prstGeom>
      </xdr:spPr>
    </xdr:pic>
    <xdr:clientData/>
  </xdr:twoCellAnchor>
  <xdr:twoCellAnchor editAs="oneCell">
    <xdr:from>
      <xdr:col>7</xdr:col>
      <xdr:colOff>438150</xdr:colOff>
      <xdr:row>135</xdr:row>
      <xdr:rowOff>133350</xdr:rowOff>
    </xdr:from>
    <xdr:to>
      <xdr:col>13</xdr:col>
      <xdr:colOff>227855</xdr:colOff>
      <xdr:row>159</xdr:row>
      <xdr:rowOff>113817</xdr:rowOff>
    </xdr:to>
    <xdr:pic>
      <xdr:nvPicPr>
        <xdr:cNvPr id="5" name="图片 4">
          <a:extLst>
            <a:ext uri="{FF2B5EF4-FFF2-40B4-BE49-F238E27FC236}">
              <a16:creationId xmlns:a16="http://schemas.microsoft.com/office/drawing/2014/main" xmlns="" id="{00000000-0008-0000-1E00-000005000000}"/>
            </a:ext>
          </a:extLst>
        </xdr:cNvPr>
        <xdr:cNvPicPr>
          <a:picLocks noChangeAspect="1"/>
        </xdr:cNvPicPr>
      </xdr:nvPicPr>
      <xdr:blipFill>
        <a:blip xmlns:r="http://schemas.openxmlformats.org/officeDocument/2006/relationships" r:embed="rId4"/>
        <a:stretch>
          <a:fillRect/>
        </a:stretch>
      </xdr:blipFill>
      <xdr:spPr>
        <a:xfrm>
          <a:off x="8515350" y="13896975"/>
          <a:ext cx="5961905" cy="3866667"/>
        </a:xfrm>
        <a:prstGeom prst="rect">
          <a:avLst/>
        </a:prstGeom>
      </xdr:spPr>
    </xdr:pic>
    <xdr:clientData/>
  </xdr:twoCellAnchor>
  <xdr:twoCellAnchor editAs="oneCell">
    <xdr:from>
      <xdr:col>0</xdr:col>
      <xdr:colOff>0</xdr:colOff>
      <xdr:row>181</xdr:row>
      <xdr:rowOff>0</xdr:rowOff>
    </xdr:from>
    <xdr:to>
      <xdr:col>6</xdr:col>
      <xdr:colOff>220069</xdr:colOff>
      <xdr:row>214</xdr:row>
      <xdr:rowOff>56475</xdr:rowOff>
    </xdr:to>
    <xdr:pic>
      <xdr:nvPicPr>
        <xdr:cNvPr id="6" name="图片 5">
          <a:extLst>
            <a:ext uri="{FF2B5EF4-FFF2-40B4-BE49-F238E27FC236}">
              <a16:creationId xmlns:a16="http://schemas.microsoft.com/office/drawing/2014/main" xmlns="" id="{00000000-0008-0000-1E00-000006000000}"/>
            </a:ext>
          </a:extLst>
        </xdr:cNvPr>
        <xdr:cNvPicPr>
          <a:picLocks noChangeAspect="1"/>
        </xdr:cNvPicPr>
      </xdr:nvPicPr>
      <xdr:blipFill>
        <a:blip xmlns:r="http://schemas.openxmlformats.org/officeDocument/2006/relationships" r:embed="rId5"/>
        <a:stretch>
          <a:fillRect/>
        </a:stretch>
      </xdr:blipFill>
      <xdr:spPr>
        <a:xfrm>
          <a:off x="0" y="21212175"/>
          <a:ext cx="7697194" cy="5400000"/>
        </a:xfrm>
        <a:prstGeom prst="rect">
          <a:avLst/>
        </a:prstGeom>
      </xdr:spPr>
    </xdr:pic>
    <xdr:clientData/>
  </xdr:twoCellAnchor>
  <xdr:twoCellAnchor editAs="oneCell">
    <xdr:from>
      <xdr:col>6</xdr:col>
      <xdr:colOff>266700</xdr:colOff>
      <xdr:row>203</xdr:row>
      <xdr:rowOff>133350</xdr:rowOff>
    </xdr:from>
    <xdr:to>
      <xdr:col>12</xdr:col>
      <xdr:colOff>225630</xdr:colOff>
      <xdr:row>221</xdr:row>
      <xdr:rowOff>98700</xdr:rowOff>
    </xdr:to>
    <xdr:pic>
      <xdr:nvPicPr>
        <xdr:cNvPr id="7" name="图片 6">
          <a:extLst>
            <a:ext uri="{FF2B5EF4-FFF2-40B4-BE49-F238E27FC236}">
              <a16:creationId xmlns:a16="http://schemas.microsoft.com/office/drawing/2014/main" xmlns="" id="{00000000-0008-0000-1E00-000007000000}"/>
            </a:ext>
          </a:extLst>
        </xdr:cNvPr>
        <xdr:cNvPicPr>
          <a:picLocks noChangeAspect="1"/>
        </xdr:cNvPicPr>
      </xdr:nvPicPr>
      <xdr:blipFill>
        <a:blip xmlns:r="http://schemas.openxmlformats.org/officeDocument/2006/relationships" r:embed="rId6"/>
        <a:stretch>
          <a:fillRect/>
        </a:stretch>
      </xdr:blipFill>
      <xdr:spPr>
        <a:xfrm>
          <a:off x="7743825" y="24907875"/>
          <a:ext cx="3740355" cy="2880000"/>
        </a:xfrm>
        <a:prstGeom prst="rect">
          <a:avLst/>
        </a:prstGeom>
      </xdr:spPr>
    </xdr:pic>
    <xdr:clientData/>
  </xdr:twoCellAnchor>
  <xdr:twoCellAnchor editAs="oneCell">
    <xdr:from>
      <xdr:col>6</xdr:col>
      <xdr:colOff>295275</xdr:colOff>
      <xdr:row>180</xdr:row>
      <xdr:rowOff>19050</xdr:rowOff>
    </xdr:from>
    <xdr:to>
      <xdr:col>12</xdr:col>
      <xdr:colOff>2285279</xdr:colOff>
      <xdr:row>203</xdr:row>
      <xdr:rowOff>75728</xdr:rowOff>
    </xdr:to>
    <xdr:pic>
      <xdr:nvPicPr>
        <xdr:cNvPr id="8" name="图片 7">
          <a:extLst>
            <a:ext uri="{FF2B5EF4-FFF2-40B4-BE49-F238E27FC236}">
              <a16:creationId xmlns:a16="http://schemas.microsoft.com/office/drawing/2014/main" xmlns="" id="{00000000-0008-0000-1E00-000008000000}"/>
            </a:ext>
          </a:extLst>
        </xdr:cNvPr>
        <xdr:cNvPicPr>
          <a:picLocks noChangeAspect="1"/>
        </xdr:cNvPicPr>
      </xdr:nvPicPr>
      <xdr:blipFill>
        <a:blip xmlns:r="http://schemas.openxmlformats.org/officeDocument/2006/relationships" r:embed="rId7"/>
        <a:stretch>
          <a:fillRect/>
        </a:stretch>
      </xdr:blipFill>
      <xdr:spPr>
        <a:xfrm>
          <a:off x="7772400" y="21069300"/>
          <a:ext cx="5771429" cy="3780953"/>
        </a:xfrm>
        <a:prstGeom prst="rect">
          <a:avLst/>
        </a:prstGeom>
      </xdr:spPr>
    </xdr:pic>
    <xdr:clientData/>
  </xdr:twoCellAnchor>
  <xdr:twoCellAnchor editAs="oneCell">
    <xdr:from>
      <xdr:col>0</xdr:col>
      <xdr:colOff>1</xdr:colOff>
      <xdr:row>225</xdr:row>
      <xdr:rowOff>0</xdr:rowOff>
    </xdr:from>
    <xdr:to>
      <xdr:col>8</xdr:col>
      <xdr:colOff>376092</xdr:colOff>
      <xdr:row>258</xdr:row>
      <xdr:rowOff>56475</xdr:rowOff>
    </xdr:to>
    <xdr:pic>
      <xdr:nvPicPr>
        <xdr:cNvPr id="9" name="图片 8">
          <a:extLst>
            <a:ext uri="{FF2B5EF4-FFF2-40B4-BE49-F238E27FC236}">
              <a16:creationId xmlns:a16="http://schemas.microsoft.com/office/drawing/2014/main" xmlns="" id="{00000000-0008-0000-1E00-000009000000}"/>
            </a:ext>
          </a:extLst>
        </xdr:cNvPr>
        <xdr:cNvPicPr>
          <a:picLocks noChangeAspect="1"/>
        </xdr:cNvPicPr>
      </xdr:nvPicPr>
      <xdr:blipFill>
        <a:blip xmlns:r="http://schemas.openxmlformats.org/officeDocument/2006/relationships" r:embed="rId8"/>
        <a:stretch>
          <a:fillRect/>
        </a:stretch>
      </xdr:blipFill>
      <xdr:spPr>
        <a:xfrm>
          <a:off x="1" y="36433125"/>
          <a:ext cx="9139091" cy="5400000"/>
        </a:xfrm>
        <a:prstGeom prst="rect">
          <a:avLst/>
        </a:prstGeom>
      </xdr:spPr>
    </xdr:pic>
    <xdr:clientData/>
  </xdr:twoCellAnchor>
  <xdr:twoCellAnchor editAs="oneCell">
    <xdr:from>
      <xdr:col>9</xdr:col>
      <xdr:colOff>0</xdr:colOff>
      <xdr:row>225</xdr:row>
      <xdr:rowOff>0</xdr:rowOff>
    </xdr:from>
    <xdr:to>
      <xdr:col>15</xdr:col>
      <xdr:colOff>189706</xdr:colOff>
      <xdr:row>249</xdr:row>
      <xdr:rowOff>18562</xdr:rowOff>
    </xdr:to>
    <xdr:pic>
      <xdr:nvPicPr>
        <xdr:cNvPr id="10" name="图片 9">
          <a:extLst>
            <a:ext uri="{FF2B5EF4-FFF2-40B4-BE49-F238E27FC236}">
              <a16:creationId xmlns:a16="http://schemas.microsoft.com/office/drawing/2014/main" xmlns="" id="{00000000-0008-0000-1E00-00000A000000}"/>
            </a:ext>
          </a:extLst>
        </xdr:cNvPr>
        <xdr:cNvPicPr>
          <a:picLocks noChangeAspect="1"/>
        </xdr:cNvPicPr>
      </xdr:nvPicPr>
      <xdr:blipFill>
        <a:blip xmlns:r="http://schemas.openxmlformats.org/officeDocument/2006/relationships" r:embed="rId9"/>
        <a:stretch>
          <a:fillRect/>
        </a:stretch>
      </xdr:blipFill>
      <xdr:spPr>
        <a:xfrm>
          <a:off x="9372600" y="36433125"/>
          <a:ext cx="6352381" cy="3904762"/>
        </a:xfrm>
        <a:prstGeom prst="rect">
          <a:avLst/>
        </a:prstGeom>
      </xdr:spPr>
    </xdr:pic>
    <xdr:clientData/>
  </xdr:twoCellAnchor>
  <xdr:twoCellAnchor editAs="oneCell">
    <xdr:from>
      <xdr:col>0</xdr:col>
      <xdr:colOff>0</xdr:colOff>
      <xdr:row>102</xdr:row>
      <xdr:rowOff>0</xdr:rowOff>
    </xdr:from>
    <xdr:to>
      <xdr:col>5</xdr:col>
      <xdr:colOff>672549</xdr:colOff>
      <xdr:row>135</xdr:row>
      <xdr:rowOff>56475</xdr:rowOff>
    </xdr:to>
    <xdr:pic>
      <xdr:nvPicPr>
        <xdr:cNvPr id="12" name="图片 11">
          <a:extLst>
            <a:ext uri="{FF2B5EF4-FFF2-40B4-BE49-F238E27FC236}">
              <a16:creationId xmlns:a16="http://schemas.microsoft.com/office/drawing/2014/main" xmlns="" id="{00000000-0008-0000-1E00-00000C000000}"/>
            </a:ext>
          </a:extLst>
        </xdr:cNvPr>
        <xdr:cNvPicPr>
          <a:picLocks noChangeAspect="1"/>
        </xdr:cNvPicPr>
      </xdr:nvPicPr>
      <xdr:blipFill>
        <a:blip xmlns:r="http://schemas.openxmlformats.org/officeDocument/2006/relationships" r:embed="rId10"/>
        <a:stretch>
          <a:fillRect/>
        </a:stretch>
      </xdr:blipFill>
      <xdr:spPr>
        <a:xfrm>
          <a:off x="0" y="16516350"/>
          <a:ext cx="7197174" cy="5400000"/>
        </a:xfrm>
        <a:prstGeom prst="rect">
          <a:avLst/>
        </a:prstGeom>
      </xdr:spPr>
    </xdr:pic>
    <xdr:clientData/>
  </xdr:twoCellAnchor>
  <xdr:twoCellAnchor editAs="oneCell">
    <xdr:from>
      <xdr:col>0</xdr:col>
      <xdr:colOff>1</xdr:colOff>
      <xdr:row>265</xdr:row>
      <xdr:rowOff>0</xdr:rowOff>
    </xdr:from>
    <xdr:to>
      <xdr:col>8</xdr:col>
      <xdr:colOff>506734</xdr:colOff>
      <xdr:row>298</xdr:row>
      <xdr:rowOff>56475</xdr:rowOff>
    </xdr:to>
    <xdr:pic>
      <xdr:nvPicPr>
        <xdr:cNvPr id="13" name="图片 12">
          <a:extLst>
            <a:ext uri="{FF2B5EF4-FFF2-40B4-BE49-F238E27FC236}">
              <a16:creationId xmlns:a16="http://schemas.microsoft.com/office/drawing/2014/main" xmlns="" id="{00000000-0008-0000-1E00-00000D000000}"/>
            </a:ext>
          </a:extLst>
        </xdr:cNvPr>
        <xdr:cNvPicPr>
          <a:picLocks noChangeAspect="1"/>
        </xdr:cNvPicPr>
      </xdr:nvPicPr>
      <xdr:blipFill>
        <a:blip xmlns:r="http://schemas.openxmlformats.org/officeDocument/2006/relationships" r:embed="rId11"/>
        <a:stretch>
          <a:fillRect/>
        </a:stretch>
      </xdr:blipFill>
      <xdr:spPr>
        <a:xfrm>
          <a:off x="1" y="42910125"/>
          <a:ext cx="9269733" cy="5400000"/>
        </a:xfrm>
        <a:prstGeom prst="rect">
          <a:avLst/>
        </a:prstGeom>
      </xdr:spPr>
    </xdr:pic>
    <xdr:clientData/>
  </xdr:twoCellAnchor>
  <xdr:twoCellAnchor editAs="oneCell">
    <xdr:from>
      <xdr:col>9</xdr:col>
      <xdr:colOff>0</xdr:colOff>
      <xdr:row>265</xdr:row>
      <xdr:rowOff>0</xdr:rowOff>
    </xdr:from>
    <xdr:to>
      <xdr:col>14</xdr:col>
      <xdr:colOff>65983</xdr:colOff>
      <xdr:row>288</xdr:row>
      <xdr:rowOff>151916</xdr:rowOff>
    </xdr:to>
    <xdr:pic>
      <xdr:nvPicPr>
        <xdr:cNvPr id="14" name="图片 13">
          <a:extLst>
            <a:ext uri="{FF2B5EF4-FFF2-40B4-BE49-F238E27FC236}">
              <a16:creationId xmlns:a16="http://schemas.microsoft.com/office/drawing/2014/main" xmlns="" id="{00000000-0008-0000-1E00-00000E000000}"/>
            </a:ext>
          </a:extLst>
        </xdr:cNvPr>
        <xdr:cNvPicPr>
          <a:picLocks noChangeAspect="1"/>
        </xdr:cNvPicPr>
      </xdr:nvPicPr>
      <xdr:blipFill>
        <a:blip xmlns:r="http://schemas.openxmlformats.org/officeDocument/2006/relationships" r:embed="rId12"/>
        <a:stretch>
          <a:fillRect/>
        </a:stretch>
      </xdr:blipFill>
      <xdr:spPr>
        <a:xfrm>
          <a:off x="9372600" y="42910125"/>
          <a:ext cx="5542858" cy="3876191"/>
        </a:xfrm>
        <a:prstGeom prst="rect">
          <a:avLst/>
        </a:prstGeom>
      </xdr:spPr>
    </xdr:pic>
    <xdr:clientData/>
  </xdr:twoCellAnchor>
  <xdr:twoCellAnchor editAs="oneCell">
    <xdr:from>
      <xdr:col>9</xdr:col>
      <xdr:colOff>0</xdr:colOff>
      <xdr:row>289</xdr:row>
      <xdr:rowOff>0</xdr:rowOff>
    </xdr:from>
    <xdr:to>
      <xdr:col>12</xdr:col>
      <xdr:colOff>1740164</xdr:colOff>
      <xdr:row>306</xdr:row>
      <xdr:rowOff>127275</xdr:rowOff>
    </xdr:to>
    <xdr:pic>
      <xdr:nvPicPr>
        <xdr:cNvPr id="15" name="图片 14">
          <a:extLst>
            <a:ext uri="{FF2B5EF4-FFF2-40B4-BE49-F238E27FC236}">
              <a16:creationId xmlns:a16="http://schemas.microsoft.com/office/drawing/2014/main" xmlns="" id="{00000000-0008-0000-1E00-00000F000000}"/>
            </a:ext>
          </a:extLst>
        </xdr:cNvPr>
        <xdr:cNvPicPr>
          <a:picLocks noChangeAspect="1"/>
        </xdr:cNvPicPr>
      </xdr:nvPicPr>
      <xdr:blipFill>
        <a:blip xmlns:r="http://schemas.openxmlformats.org/officeDocument/2006/relationships" r:embed="rId13"/>
        <a:stretch>
          <a:fillRect/>
        </a:stretch>
      </xdr:blipFill>
      <xdr:spPr>
        <a:xfrm>
          <a:off x="9372600" y="46796325"/>
          <a:ext cx="3626114" cy="2880000"/>
        </a:xfrm>
        <a:prstGeom prst="rect">
          <a:avLst/>
        </a:prstGeom>
      </xdr:spPr>
    </xdr:pic>
    <xdr:clientData/>
  </xdr:twoCellAnchor>
  <xdr:twoCellAnchor editAs="oneCell">
    <xdr:from>
      <xdr:col>0</xdr:col>
      <xdr:colOff>0</xdr:colOff>
      <xdr:row>308</xdr:row>
      <xdr:rowOff>0</xdr:rowOff>
    </xdr:from>
    <xdr:to>
      <xdr:col>8</xdr:col>
      <xdr:colOff>342110</xdr:colOff>
      <xdr:row>341</xdr:row>
      <xdr:rowOff>56475</xdr:rowOff>
    </xdr:to>
    <xdr:pic>
      <xdr:nvPicPr>
        <xdr:cNvPr id="16" name="图片 15">
          <a:extLst>
            <a:ext uri="{FF2B5EF4-FFF2-40B4-BE49-F238E27FC236}">
              <a16:creationId xmlns:a16="http://schemas.microsoft.com/office/drawing/2014/main" xmlns="" id="{00000000-0008-0000-1E00-000010000000}"/>
            </a:ext>
          </a:extLst>
        </xdr:cNvPr>
        <xdr:cNvPicPr>
          <a:picLocks noChangeAspect="1"/>
        </xdr:cNvPicPr>
      </xdr:nvPicPr>
      <xdr:blipFill>
        <a:blip xmlns:r="http://schemas.openxmlformats.org/officeDocument/2006/relationships" r:embed="rId14"/>
        <a:stretch>
          <a:fillRect/>
        </a:stretch>
      </xdr:blipFill>
      <xdr:spPr>
        <a:xfrm>
          <a:off x="0" y="49872900"/>
          <a:ext cx="9105110" cy="5400000"/>
        </a:xfrm>
        <a:prstGeom prst="rect">
          <a:avLst/>
        </a:prstGeom>
      </xdr:spPr>
    </xdr:pic>
    <xdr:clientData/>
  </xdr:twoCellAnchor>
  <xdr:twoCellAnchor editAs="oneCell">
    <xdr:from>
      <xdr:col>8</xdr:col>
      <xdr:colOff>438150</xdr:colOff>
      <xdr:row>308</xdr:row>
      <xdr:rowOff>28575</xdr:rowOff>
    </xdr:from>
    <xdr:to>
      <xdr:col>12</xdr:col>
      <xdr:colOff>2019577</xdr:colOff>
      <xdr:row>325</xdr:row>
      <xdr:rowOff>155850</xdr:rowOff>
    </xdr:to>
    <xdr:pic>
      <xdr:nvPicPr>
        <xdr:cNvPr id="17" name="图片 16">
          <a:extLst>
            <a:ext uri="{FF2B5EF4-FFF2-40B4-BE49-F238E27FC236}">
              <a16:creationId xmlns:a16="http://schemas.microsoft.com/office/drawing/2014/main" xmlns="" id="{00000000-0008-0000-1E00-000011000000}"/>
            </a:ext>
          </a:extLst>
        </xdr:cNvPr>
        <xdr:cNvPicPr>
          <a:picLocks noChangeAspect="1"/>
        </xdr:cNvPicPr>
      </xdr:nvPicPr>
      <xdr:blipFill>
        <a:blip xmlns:r="http://schemas.openxmlformats.org/officeDocument/2006/relationships" r:embed="rId15"/>
        <a:stretch>
          <a:fillRect/>
        </a:stretch>
      </xdr:blipFill>
      <xdr:spPr>
        <a:xfrm>
          <a:off x="9201150" y="49901475"/>
          <a:ext cx="4076977" cy="2880000"/>
        </a:xfrm>
        <a:prstGeom prst="rect">
          <a:avLst/>
        </a:prstGeom>
      </xdr:spPr>
    </xdr:pic>
    <xdr:clientData/>
  </xdr:twoCellAnchor>
  <xdr:twoCellAnchor editAs="oneCell">
    <xdr:from>
      <xdr:col>8</xdr:col>
      <xdr:colOff>466725</xdr:colOff>
      <xdr:row>326</xdr:row>
      <xdr:rowOff>66675</xdr:rowOff>
    </xdr:from>
    <xdr:to>
      <xdr:col>12</xdr:col>
      <xdr:colOff>2818794</xdr:colOff>
      <xdr:row>349</xdr:row>
      <xdr:rowOff>47162</xdr:rowOff>
    </xdr:to>
    <xdr:pic>
      <xdr:nvPicPr>
        <xdr:cNvPr id="18" name="图片 17">
          <a:extLst>
            <a:ext uri="{FF2B5EF4-FFF2-40B4-BE49-F238E27FC236}">
              <a16:creationId xmlns:a16="http://schemas.microsoft.com/office/drawing/2014/main" xmlns="" id="{00000000-0008-0000-1E00-000012000000}"/>
            </a:ext>
          </a:extLst>
        </xdr:cNvPr>
        <xdr:cNvPicPr>
          <a:picLocks noChangeAspect="1"/>
        </xdr:cNvPicPr>
      </xdr:nvPicPr>
      <xdr:blipFill>
        <a:blip xmlns:r="http://schemas.openxmlformats.org/officeDocument/2006/relationships" r:embed="rId16"/>
        <a:stretch>
          <a:fillRect/>
        </a:stretch>
      </xdr:blipFill>
      <xdr:spPr>
        <a:xfrm>
          <a:off x="9229725" y="52854225"/>
          <a:ext cx="4847619" cy="3704762"/>
        </a:xfrm>
        <a:prstGeom prst="rect">
          <a:avLst/>
        </a:prstGeom>
      </xdr:spPr>
    </xdr:pic>
    <xdr:clientData/>
  </xdr:twoCellAnchor>
  <xdr:twoCellAnchor editAs="oneCell">
    <xdr:from>
      <xdr:col>0</xdr:col>
      <xdr:colOff>0</xdr:colOff>
      <xdr:row>349</xdr:row>
      <xdr:rowOff>0</xdr:rowOff>
    </xdr:from>
    <xdr:to>
      <xdr:col>8</xdr:col>
      <xdr:colOff>397292</xdr:colOff>
      <xdr:row>382</xdr:row>
      <xdr:rowOff>56475</xdr:rowOff>
    </xdr:to>
    <xdr:pic>
      <xdr:nvPicPr>
        <xdr:cNvPr id="19" name="图片 18">
          <a:extLst>
            <a:ext uri="{FF2B5EF4-FFF2-40B4-BE49-F238E27FC236}">
              <a16:creationId xmlns:a16="http://schemas.microsoft.com/office/drawing/2014/main" xmlns="" id="{00000000-0008-0000-1E00-000013000000}"/>
            </a:ext>
          </a:extLst>
        </xdr:cNvPr>
        <xdr:cNvPicPr>
          <a:picLocks noChangeAspect="1"/>
        </xdr:cNvPicPr>
      </xdr:nvPicPr>
      <xdr:blipFill>
        <a:blip xmlns:r="http://schemas.openxmlformats.org/officeDocument/2006/relationships" r:embed="rId17"/>
        <a:stretch>
          <a:fillRect/>
        </a:stretch>
      </xdr:blipFill>
      <xdr:spPr>
        <a:xfrm>
          <a:off x="0" y="56511825"/>
          <a:ext cx="9160292" cy="5400000"/>
        </a:xfrm>
        <a:prstGeom prst="rect">
          <a:avLst/>
        </a:prstGeom>
      </xdr:spPr>
    </xdr:pic>
    <xdr:clientData/>
  </xdr:twoCellAnchor>
  <xdr:twoCellAnchor editAs="oneCell">
    <xdr:from>
      <xdr:col>9</xdr:col>
      <xdr:colOff>0</xdr:colOff>
      <xdr:row>350</xdr:row>
      <xdr:rowOff>0</xdr:rowOff>
    </xdr:from>
    <xdr:to>
      <xdr:col>13</xdr:col>
      <xdr:colOff>18438</xdr:colOff>
      <xdr:row>370</xdr:row>
      <xdr:rowOff>66262</xdr:rowOff>
    </xdr:to>
    <xdr:pic>
      <xdr:nvPicPr>
        <xdr:cNvPr id="20" name="图片 19">
          <a:extLst>
            <a:ext uri="{FF2B5EF4-FFF2-40B4-BE49-F238E27FC236}">
              <a16:creationId xmlns:a16="http://schemas.microsoft.com/office/drawing/2014/main" xmlns="" id="{00000000-0008-0000-1E00-000014000000}"/>
            </a:ext>
          </a:extLst>
        </xdr:cNvPr>
        <xdr:cNvPicPr>
          <a:picLocks noChangeAspect="1"/>
        </xdr:cNvPicPr>
      </xdr:nvPicPr>
      <xdr:blipFill>
        <a:blip xmlns:r="http://schemas.openxmlformats.org/officeDocument/2006/relationships" r:embed="rId18"/>
        <a:stretch>
          <a:fillRect/>
        </a:stretch>
      </xdr:blipFill>
      <xdr:spPr>
        <a:xfrm>
          <a:off x="9372600" y="56673750"/>
          <a:ext cx="4895238" cy="3304762"/>
        </a:xfrm>
        <a:prstGeom prst="rect">
          <a:avLst/>
        </a:prstGeom>
      </xdr:spPr>
    </xdr:pic>
    <xdr:clientData/>
  </xdr:twoCellAnchor>
  <xdr:twoCellAnchor editAs="oneCell">
    <xdr:from>
      <xdr:col>9</xdr:col>
      <xdr:colOff>1</xdr:colOff>
      <xdr:row>371</xdr:row>
      <xdr:rowOff>0</xdr:rowOff>
    </xdr:from>
    <xdr:to>
      <xdr:col>12</xdr:col>
      <xdr:colOff>2016660</xdr:colOff>
      <xdr:row>388</xdr:row>
      <xdr:rowOff>127275</xdr:rowOff>
    </xdr:to>
    <xdr:pic>
      <xdr:nvPicPr>
        <xdr:cNvPr id="21" name="图片 20">
          <a:extLst>
            <a:ext uri="{FF2B5EF4-FFF2-40B4-BE49-F238E27FC236}">
              <a16:creationId xmlns:a16="http://schemas.microsoft.com/office/drawing/2014/main" xmlns="" id="{00000000-0008-0000-1E00-000015000000}"/>
            </a:ext>
          </a:extLst>
        </xdr:cNvPr>
        <xdr:cNvPicPr>
          <a:picLocks noChangeAspect="1"/>
        </xdr:cNvPicPr>
      </xdr:nvPicPr>
      <xdr:blipFill>
        <a:blip xmlns:r="http://schemas.openxmlformats.org/officeDocument/2006/relationships" r:embed="rId19"/>
        <a:stretch>
          <a:fillRect/>
        </a:stretch>
      </xdr:blipFill>
      <xdr:spPr>
        <a:xfrm>
          <a:off x="9372601" y="60074175"/>
          <a:ext cx="3902609" cy="2880000"/>
        </a:xfrm>
        <a:prstGeom prst="rect">
          <a:avLst/>
        </a:prstGeom>
      </xdr:spPr>
    </xdr:pic>
    <xdr:clientData/>
  </xdr:twoCellAnchor>
  <xdr:twoCellAnchor editAs="oneCell">
    <xdr:from>
      <xdr:col>8</xdr:col>
      <xdr:colOff>476250</xdr:colOff>
      <xdr:row>393</xdr:row>
      <xdr:rowOff>123825</xdr:rowOff>
    </xdr:from>
    <xdr:to>
      <xdr:col>15</xdr:col>
      <xdr:colOff>65880</xdr:colOff>
      <xdr:row>417</xdr:row>
      <xdr:rowOff>113816</xdr:rowOff>
    </xdr:to>
    <xdr:pic>
      <xdr:nvPicPr>
        <xdr:cNvPr id="22" name="图片 21">
          <a:extLst>
            <a:ext uri="{FF2B5EF4-FFF2-40B4-BE49-F238E27FC236}">
              <a16:creationId xmlns:a16="http://schemas.microsoft.com/office/drawing/2014/main" xmlns="" id="{00000000-0008-0000-1E00-000016000000}"/>
            </a:ext>
          </a:extLst>
        </xdr:cNvPr>
        <xdr:cNvPicPr>
          <a:picLocks noChangeAspect="1"/>
        </xdr:cNvPicPr>
      </xdr:nvPicPr>
      <xdr:blipFill>
        <a:blip xmlns:r="http://schemas.openxmlformats.org/officeDocument/2006/relationships" r:embed="rId20"/>
        <a:stretch>
          <a:fillRect/>
        </a:stretch>
      </xdr:blipFill>
      <xdr:spPr>
        <a:xfrm>
          <a:off x="9239250" y="63760350"/>
          <a:ext cx="6361905" cy="3876191"/>
        </a:xfrm>
        <a:prstGeom prst="rect">
          <a:avLst/>
        </a:prstGeom>
      </xdr:spPr>
    </xdr:pic>
    <xdr:clientData/>
  </xdr:twoCellAnchor>
  <xdr:twoCellAnchor editAs="oneCell">
    <xdr:from>
      <xdr:col>0</xdr:col>
      <xdr:colOff>0</xdr:colOff>
      <xdr:row>393</xdr:row>
      <xdr:rowOff>152400</xdr:rowOff>
    </xdr:from>
    <xdr:to>
      <xdr:col>8</xdr:col>
      <xdr:colOff>411194</xdr:colOff>
      <xdr:row>427</xdr:row>
      <xdr:rowOff>46950</xdr:rowOff>
    </xdr:to>
    <xdr:pic>
      <xdr:nvPicPr>
        <xdr:cNvPr id="23" name="图片 22">
          <a:extLst>
            <a:ext uri="{FF2B5EF4-FFF2-40B4-BE49-F238E27FC236}">
              <a16:creationId xmlns:a16="http://schemas.microsoft.com/office/drawing/2014/main" xmlns="" id="{00000000-0008-0000-1E00-000017000000}"/>
            </a:ext>
          </a:extLst>
        </xdr:cNvPr>
        <xdr:cNvPicPr>
          <a:picLocks noChangeAspect="1"/>
        </xdr:cNvPicPr>
      </xdr:nvPicPr>
      <xdr:blipFill>
        <a:blip xmlns:r="http://schemas.openxmlformats.org/officeDocument/2006/relationships" r:embed="rId21"/>
        <a:stretch>
          <a:fillRect/>
        </a:stretch>
      </xdr:blipFill>
      <xdr:spPr>
        <a:xfrm>
          <a:off x="0" y="63788925"/>
          <a:ext cx="9174194" cy="5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85</xdr:row>
      <xdr:rowOff>95250</xdr:rowOff>
    </xdr:from>
    <xdr:to>
      <xdr:col>6</xdr:col>
      <xdr:colOff>406339</xdr:colOff>
      <xdr:row>118</xdr:row>
      <xdr:rowOff>151725</xdr:rowOff>
    </xdr:to>
    <xdr:pic>
      <xdr:nvPicPr>
        <xdr:cNvPr id="2" name="图片 1">
          <a:extLst>
            <a:ext uri="{FF2B5EF4-FFF2-40B4-BE49-F238E27FC236}">
              <a16:creationId xmlns:a16="http://schemas.microsoft.com/office/drawing/2014/main" xmlns="" id="{00000000-0008-0000-2100-000002000000}"/>
            </a:ext>
          </a:extLst>
        </xdr:cNvPr>
        <xdr:cNvPicPr>
          <a:picLocks noChangeAspect="1"/>
        </xdr:cNvPicPr>
      </xdr:nvPicPr>
      <xdr:blipFill>
        <a:blip xmlns:r="http://schemas.openxmlformats.org/officeDocument/2006/relationships" r:embed="rId1"/>
        <a:stretch>
          <a:fillRect/>
        </a:stretch>
      </xdr:blipFill>
      <xdr:spPr>
        <a:xfrm>
          <a:off x="1" y="13858875"/>
          <a:ext cx="8778813" cy="5400000"/>
        </a:xfrm>
        <a:prstGeom prst="rect">
          <a:avLst/>
        </a:prstGeom>
      </xdr:spPr>
    </xdr:pic>
    <xdr:clientData/>
  </xdr:twoCellAnchor>
  <xdr:twoCellAnchor editAs="oneCell">
    <xdr:from>
      <xdr:col>12</xdr:col>
      <xdr:colOff>3600450</xdr:colOff>
      <xdr:row>84</xdr:row>
      <xdr:rowOff>123825</xdr:rowOff>
    </xdr:from>
    <xdr:to>
      <xdr:col>16</xdr:col>
      <xdr:colOff>614828</xdr:colOff>
      <xdr:row>103</xdr:row>
      <xdr:rowOff>28203</xdr:rowOff>
    </xdr:to>
    <xdr:pic>
      <xdr:nvPicPr>
        <xdr:cNvPr id="3" name="图片 2">
          <a:extLst>
            <a:ext uri="{FF2B5EF4-FFF2-40B4-BE49-F238E27FC236}">
              <a16:creationId xmlns:a16="http://schemas.microsoft.com/office/drawing/2014/main" xmlns="" id="{00000000-0008-0000-2100-000003000000}"/>
            </a:ext>
          </a:extLst>
        </xdr:cNvPr>
        <xdr:cNvPicPr>
          <a:picLocks noChangeAspect="1"/>
        </xdr:cNvPicPr>
      </xdr:nvPicPr>
      <xdr:blipFill>
        <a:blip xmlns:r="http://schemas.openxmlformats.org/officeDocument/2006/relationships" r:embed="rId2"/>
        <a:stretch>
          <a:fillRect/>
        </a:stretch>
      </xdr:blipFill>
      <xdr:spPr>
        <a:xfrm>
          <a:off x="14735175" y="13725525"/>
          <a:ext cx="3895238" cy="2980953"/>
        </a:xfrm>
        <a:prstGeom prst="rect">
          <a:avLst/>
        </a:prstGeom>
      </xdr:spPr>
    </xdr:pic>
    <xdr:clientData/>
  </xdr:twoCellAnchor>
  <xdr:twoCellAnchor editAs="oneCell">
    <xdr:from>
      <xdr:col>8</xdr:col>
      <xdr:colOff>9525</xdr:colOff>
      <xdr:row>84</xdr:row>
      <xdr:rowOff>123825</xdr:rowOff>
    </xdr:from>
    <xdr:to>
      <xdr:col>12</xdr:col>
      <xdr:colOff>3561625</xdr:colOff>
      <xdr:row>109</xdr:row>
      <xdr:rowOff>18557</xdr:rowOff>
    </xdr:to>
    <xdr:pic>
      <xdr:nvPicPr>
        <xdr:cNvPr id="4" name="图片 3">
          <a:extLst>
            <a:ext uri="{FF2B5EF4-FFF2-40B4-BE49-F238E27FC236}">
              <a16:creationId xmlns:a16="http://schemas.microsoft.com/office/drawing/2014/main" xmlns="" id="{00000000-0008-0000-2100-000004000000}"/>
            </a:ext>
          </a:extLst>
        </xdr:cNvPr>
        <xdr:cNvPicPr>
          <a:picLocks noChangeAspect="1"/>
        </xdr:cNvPicPr>
      </xdr:nvPicPr>
      <xdr:blipFill>
        <a:blip xmlns:r="http://schemas.openxmlformats.org/officeDocument/2006/relationships" r:embed="rId3"/>
        <a:stretch>
          <a:fillRect/>
        </a:stretch>
      </xdr:blipFill>
      <xdr:spPr>
        <a:xfrm>
          <a:off x="8896350" y="13725525"/>
          <a:ext cx="5800000" cy="3942857"/>
        </a:xfrm>
        <a:prstGeom prst="rect">
          <a:avLst/>
        </a:prstGeom>
      </xdr:spPr>
    </xdr:pic>
    <xdr:clientData/>
  </xdr:twoCellAnchor>
  <xdr:twoCellAnchor editAs="oneCell">
    <xdr:from>
      <xdr:col>0</xdr:col>
      <xdr:colOff>0</xdr:colOff>
      <xdr:row>120</xdr:row>
      <xdr:rowOff>0</xdr:rowOff>
    </xdr:from>
    <xdr:to>
      <xdr:col>7</xdr:col>
      <xdr:colOff>370308</xdr:colOff>
      <xdr:row>157</xdr:row>
      <xdr:rowOff>46871</xdr:rowOff>
    </xdr:to>
    <xdr:pic>
      <xdr:nvPicPr>
        <xdr:cNvPr id="5" name="图片 4">
          <a:extLst>
            <a:ext uri="{FF2B5EF4-FFF2-40B4-BE49-F238E27FC236}">
              <a16:creationId xmlns:a16="http://schemas.microsoft.com/office/drawing/2014/main" xmlns="" id="{00000000-0008-0000-2100-000005000000}"/>
            </a:ext>
          </a:extLst>
        </xdr:cNvPr>
        <xdr:cNvPicPr>
          <a:picLocks noChangeAspect="1"/>
        </xdr:cNvPicPr>
      </xdr:nvPicPr>
      <xdr:blipFill>
        <a:blip xmlns:r="http://schemas.openxmlformats.org/officeDocument/2006/relationships" r:embed="rId4"/>
        <a:stretch>
          <a:fillRect/>
        </a:stretch>
      </xdr:blipFill>
      <xdr:spPr>
        <a:xfrm>
          <a:off x="0" y="19431000"/>
          <a:ext cx="9342858" cy="6038096"/>
        </a:xfrm>
        <a:prstGeom prst="rect">
          <a:avLst/>
        </a:prstGeom>
      </xdr:spPr>
    </xdr:pic>
    <xdr:clientData/>
  </xdr:twoCellAnchor>
  <xdr:twoCellAnchor editAs="oneCell">
    <xdr:from>
      <xdr:col>12</xdr:col>
      <xdr:colOff>3790950</xdr:colOff>
      <xdr:row>119</xdr:row>
      <xdr:rowOff>19050</xdr:rowOff>
    </xdr:from>
    <xdr:to>
      <xdr:col>18</xdr:col>
      <xdr:colOff>294684</xdr:colOff>
      <xdr:row>139</xdr:row>
      <xdr:rowOff>56741</xdr:rowOff>
    </xdr:to>
    <xdr:pic>
      <xdr:nvPicPr>
        <xdr:cNvPr id="6" name="图片 5">
          <a:extLst>
            <a:ext uri="{FF2B5EF4-FFF2-40B4-BE49-F238E27FC236}">
              <a16:creationId xmlns:a16="http://schemas.microsoft.com/office/drawing/2014/main" xmlns="" id="{00000000-0008-0000-2100-000006000000}"/>
            </a:ext>
          </a:extLst>
        </xdr:cNvPr>
        <xdr:cNvPicPr>
          <a:picLocks noChangeAspect="1"/>
        </xdr:cNvPicPr>
      </xdr:nvPicPr>
      <xdr:blipFill>
        <a:blip xmlns:r="http://schemas.openxmlformats.org/officeDocument/2006/relationships" r:embed="rId5"/>
        <a:stretch>
          <a:fillRect/>
        </a:stretch>
      </xdr:blipFill>
      <xdr:spPr>
        <a:xfrm>
          <a:off x="14925675" y="19288125"/>
          <a:ext cx="4733334" cy="3276191"/>
        </a:xfrm>
        <a:prstGeom prst="rect">
          <a:avLst/>
        </a:prstGeom>
      </xdr:spPr>
    </xdr:pic>
    <xdr:clientData/>
  </xdr:twoCellAnchor>
  <xdr:twoCellAnchor editAs="oneCell">
    <xdr:from>
      <xdr:col>9</xdr:col>
      <xdr:colOff>0</xdr:colOff>
      <xdr:row>119</xdr:row>
      <xdr:rowOff>0</xdr:rowOff>
    </xdr:from>
    <xdr:to>
      <xdr:col>12</xdr:col>
      <xdr:colOff>3809313</xdr:colOff>
      <xdr:row>142</xdr:row>
      <xdr:rowOff>123344</xdr:rowOff>
    </xdr:to>
    <xdr:pic>
      <xdr:nvPicPr>
        <xdr:cNvPr id="7" name="图片 6">
          <a:extLst>
            <a:ext uri="{FF2B5EF4-FFF2-40B4-BE49-F238E27FC236}">
              <a16:creationId xmlns:a16="http://schemas.microsoft.com/office/drawing/2014/main" xmlns="" id="{00000000-0008-0000-2100-000007000000}"/>
            </a:ext>
          </a:extLst>
        </xdr:cNvPr>
        <xdr:cNvPicPr>
          <a:picLocks noChangeAspect="1"/>
        </xdr:cNvPicPr>
      </xdr:nvPicPr>
      <xdr:blipFill>
        <a:blip xmlns:r="http://schemas.openxmlformats.org/officeDocument/2006/relationships" r:embed="rId6"/>
        <a:stretch>
          <a:fillRect/>
        </a:stretch>
      </xdr:blipFill>
      <xdr:spPr>
        <a:xfrm>
          <a:off x="9448800" y="19269075"/>
          <a:ext cx="5495238" cy="3847619"/>
        </a:xfrm>
        <a:prstGeom prst="rect">
          <a:avLst/>
        </a:prstGeom>
      </xdr:spPr>
    </xdr:pic>
    <xdr:clientData/>
  </xdr:twoCellAnchor>
  <xdr:twoCellAnchor editAs="oneCell">
    <xdr:from>
      <xdr:col>13</xdr:col>
      <xdr:colOff>57150</xdr:colOff>
      <xdr:row>159</xdr:row>
      <xdr:rowOff>38100</xdr:rowOff>
    </xdr:from>
    <xdr:to>
      <xdr:col>20</xdr:col>
      <xdr:colOff>275609</xdr:colOff>
      <xdr:row>182</xdr:row>
      <xdr:rowOff>18587</xdr:rowOff>
    </xdr:to>
    <xdr:pic>
      <xdr:nvPicPr>
        <xdr:cNvPr id="8" name="图片 7">
          <a:extLst>
            <a:ext uri="{FF2B5EF4-FFF2-40B4-BE49-F238E27FC236}">
              <a16:creationId xmlns:a16="http://schemas.microsoft.com/office/drawing/2014/main" xmlns="" id="{00000000-0008-0000-2100-000008000000}"/>
            </a:ext>
          </a:extLst>
        </xdr:cNvPr>
        <xdr:cNvPicPr>
          <a:picLocks noChangeAspect="1"/>
        </xdr:cNvPicPr>
      </xdr:nvPicPr>
      <xdr:blipFill>
        <a:blip xmlns:r="http://schemas.openxmlformats.org/officeDocument/2006/relationships" r:embed="rId7"/>
        <a:stretch>
          <a:fillRect/>
        </a:stretch>
      </xdr:blipFill>
      <xdr:spPr>
        <a:xfrm>
          <a:off x="16078200" y="25784175"/>
          <a:ext cx="4933334" cy="3704762"/>
        </a:xfrm>
        <a:prstGeom prst="rect">
          <a:avLst/>
        </a:prstGeom>
      </xdr:spPr>
    </xdr:pic>
    <xdr:clientData/>
  </xdr:twoCellAnchor>
  <xdr:twoCellAnchor editAs="oneCell">
    <xdr:from>
      <xdr:col>9</xdr:col>
      <xdr:colOff>200025</xdr:colOff>
      <xdr:row>158</xdr:row>
      <xdr:rowOff>66675</xdr:rowOff>
    </xdr:from>
    <xdr:to>
      <xdr:col>12</xdr:col>
      <xdr:colOff>4371243</xdr:colOff>
      <xdr:row>182</xdr:row>
      <xdr:rowOff>28094</xdr:rowOff>
    </xdr:to>
    <xdr:pic>
      <xdr:nvPicPr>
        <xdr:cNvPr id="9" name="图片 8">
          <a:extLst>
            <a:ext uri="{FF2B5EF4-FFF2-40B4-BE49-F238E27FC236}">
              <a16:creationId xmlns:a16="http://schemas.microsoft.com/office/drawing/2014/main" xmlns="" id="{00000000-0008-0000-2100-000009000000}"/>
            </a:ext>
          </a:extLst>
        </xdr:cNvPr>
        <xdr:cNvPicPr>
          <a:picLocks noChangeAspect="1"/>
        </xdr:cNvPicPr>
      </xdr:nvPicPr>
      <xdr:blipFill>
        <a:blip xmlns:r="http://schemas.openxmlformats.org/officeDocument/2006/relationships" r:embed="rId8"/>
        <a:stretch>
          <a:fillRect/>
        </a:stretch>
      </xdr:blipFill>
      <xdr:spPr>
        <a:xfrm>
          <a:off x="9648825" y="25650825"/>
          <a:ext cx="5857143" cy="3847619"/>
        </a:xfrm>
        <a:prstGeom prst="rect">
          <a:avLst/>
        </a:prstGeom>
      </xdr:spPr>
    </xdr:pic>
    <xdr:clientData/>
  </xdr:twoCellAnchor>
  <xdr:twoCellAnchor editAs="oneCell">
    <xdr:from>
      <xdr:col>0</xdr:col>
      <xdr:colOff>0</xdr:colOff>
      <xdr:row>159</xdr:row>
      <xdr:rowOff>0</xdr:rowOff>
    </xdr:from>
    <xdr:to>
      <xdr:col>7</xdr:col>
      <xdr:colOff>150224</xdr:colOff>
      <xdr:row>194</xdr:row>
      <xdr:rowOff>92625</xdr:rowOff>
    </xdr:to>
    <xdr:pic>
      <xdr:nvPicPr>
        <xdr:cNvPr id="10" name="图片 9">
          <a:extLst>
            <a:ext uri="{FF2B5EF4-FFF2-40B4-BE49-F238E27FC236}">
              <a16:creationId xmlns:a16="http://schemas.microsoft.com/office/drawing/2014/main" xmlns="" id="{00000000-0008-0000-2100-00000A000000}"/>
            </a:ext>
          </a:extLst>
        </xdr:cNvPr>
        <xdr:cNvPicPr>
          <a:picLocks noChangeAspect="1"/>
        </xdr:cNvPicPr>
      </xdr:nvPicPr>
      <xdr:blipFill>
        <a:blip xmlns:r="http://schemas.openxmlformats.org/officeDocument/2006/relationships" r:embed="rId9"/>
        <a:stretch>
          <a:fillRect/>
        </a:stretch>
      </xdr:blipFill>
      <xdr:spPr>
        <a:xfrm>
          <a:off x="0" y="25746075"/>
          <a:ext cx="9122774" cy="5760000"/>
        </a:xfrm>
        <a:prstGeom prst="rect">
          <a:avLst/>
        </a:prstGeom>
      </xdr:spPr>
    </xdr:pic>
    <xdr:clientData/>
  </xdr:twoCellAnchor>
  <xdr:twoCellAnchor editAs="oneCell">
    <xdr:from>
      <xdr:col>0</xdr:col>
      <xdr:colOff>57150</xdr:colOff>
      <xdr:row>49</xdr:row>
      <xdr:rowOff>38100</xdr:rowOff>
    </xdr:from>
    <xdr:to>
      <xdr:col>5</xdr:col>
      <xdr:colOff>1046820</xdr:colOff>
      <xdr:row>81</xdr:row>
      <xdr:rowOff>113643</xdr:rowOff>
    </xdr:to>
    <xdr:pic>
      <xdr:nvPicPr>
        <xdr:cNvPr id="11" name="图片 10">
          <a:extLst>
            <a:ext uri="{FF2B5EF4-FFF2-40B4-BE49-F238E27FC236}">
              <a16:creationId xmlns:a16="http://schemas.microsoft.com/office/drawing/2014/main" xmlns="" id="{00000000-0008-0000-2100-00000B000000}"/>
            </a:ext>
          </a:extLst>
        </xdr:cNvPr>
        <xdr:cNvPicPr>
          <a:picLocks noChangeAspect="1"/>
        </xdr:cNvPicPr>
      </xdr:nvPicPr>
      <xdr:blipFill>
        <a:blip xmlns:r="http://schemas.openxmlformats.org/officeDocument/2006/relationships" r:embed="rId10"/>
        <a:stretch>
          <a:fillRect/>
        </a:stretch>
      </xdr:blipFill>
      <xdr:spPr>
        <a:xfrm>
          <a:off x="57150" y="7972425"/>
          <a:ext cx="7447620" cy="5257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60960</xdr:colOff>
      <xdr:row>29</xdr:row>
      <xdr:rowOff>160020</xdr:rowOff>
    </xdr:from>
    <xdr:to>
      <xdr:col>9</xdr:col>
      <xdr:colOff>50422</xdr:colOff>
      <xdr:row>49</xdr:row>
      <xdr:rowOff>102420</xdr:rowOff>
    </xdr:to>
    <xdr:pic>
      <xdr:nvPicPr>
        <xdr:cNvPr id="2" name="图片 1">
          <a:extLst>
            <a:ext uri="{FF2B5EF4-FFF2-40B4-BE49-F238E27FC236}">
              <a16:creationId xmlns:a16="http://schemas.microsoft.com/office/drawing/2014/main" xmlns="" id="{F64EE484-F659-4C53-96BF-43B25A002A0F}"/>
            </a:ext>
          </a:extLst>
        </xdr:cNvPr>
        <xdr:cNvPicPr>
          <a:picLocks noChangeAspect="1"/>
        </xdr:cNvPicPr>
      </xdr:nvPicPr>
      <xdr:blipFill>
        <a:blip xmlns:r="http://schemas.openxmlformats.org/officeDocument/2006/relationships" r:embed="rId1"/>
        <a:stretch>
          <a:fillRect/>
        </a:stretch>
      </xdr:blipFill>
      <xdr:spPr>
        <a:xfrm>
          <a:off x="60960" y="708660"/>
          <a:ext cx="5475862" cy="3600000"/>
        </a:xfrm>
        <a:prstGeom prst="rect">
          <a:avLst/>
        </a:prstGeom>
      </xdr:spPr>
    </xdr:pic>
    <xdr:clientData/>
  </xdr:twoCellAnchor>
  <xdr:twoCellAnchor editAs="oneCell">
    <xdr:from>
      <xdr:col>0</xdr:col>
      <xdr:colOff>83820</xdr:colOff>
      <xdr:row>50</xdr:row>
      <xdr:rowOff>0</xdr:rowOff>
    </xdr:from>
    <xdr:to>
      <xdr:col>9</xdr:col>
      <xdr:colOff>7220</xdr:colOff>
      <xdr:row>69</xdr:row>
      <xdr:rowOff>125280</xdr:rowOff>
    </xdr:to>
    <xdr:pic>
      <xdr:nvPicPr>
        <xdr:cNvPr id="3" name="图片 2">
          <a:extLst>
            <a:ext uri="{FF2B5EF4-FFF2-40B4-BE49-F238E27FC236}">
              <a16:creationId xmlns:a16="http://schemas.microsoft.com/office/drawing/2014/main" xmlns="" id="{A8D535A4-A5DB-411F-BD1B-CDD313A9FBE4}"/>
            </a:ext>
          </a:extLst>
        </xdr:cNvPr>
        <xdr:cNvPicPr>
          <a:picLocks noChangeAspect="1"/>
        </xdr:cNvPicPr>
      </xdr:nvPicPr>
      <xdr:blipFill>
        <a:blip xmlns:r="http://schemas.openxmlformats.org/officeDocument/2006/relationships" r:embed="rId2"/>
        <a:stretch>
          <a:fillRect/>
        </a:stretch>
      </xdr:blipFill>
      <xdr:spPr>
        <a:xfrm>
          <a:off x="83820" y="4389120"/>
          <a:ext cx="5409800" cy="3600000"/>
        </a:xfrm>
        <a:prstGeom prst="rect">
          <a:avLst/>
        </a:prstGeom>
      </xdr:spPr>
    </xdr:pic>
    <xdr:clientData/>
  </xdr:twoCellAnchor>
  <xdr:twoCellAnchor editAs="oneCell">
    <xdr:from>
      <xdr:col>10</xdr:col>
      <xdr:colOff>0</xdr:colOff>
      <xdr:row>29</xdr:row>
      <xdr:rowOff>0</xdr:rowOff>
    </xdr:from>
    <xdr:to>
      <xdr:col>18</xdr:col>
      <xdr:colOff>124628</xdr:colOff>
      <xdr:row>38</xdr:row>
      <xdr:rowOff>154080</xdr:rowOff>
    </xdr:to>
    <xdr:pic>
      <xdr:nvPicPr>
        <xdr:cNvPr id="4" name="图片 3">
          <a:extLst>
            <a:ext uri="{FF2B5EF4-FFF2-40B4-BE49-F238E27FC236}">
              <a16:creationId xmlns:a16="http://schemas.microsoft.com/office/drawing/2014/main" xmlns="" id="{E2F78C4C-F637-4180-94A8-21F9B94E0457}"/>
            </a:ext>
          </a:extLst>
        </xdr:cNvPr>
        <xdr:cNvPicPr>
          <a:picLocks noChangeAspect="1"/>
        </xdr:cNvPicPr>
      </xdr:nvPicPr>
      <xdr:blipFill>
        <a:blip xmlns:r="http://schemas.openxmlformats.org/officeDocument/2006/relationships" r:embed="rId3"/>
        <a:stretch>
          <a:fillRect/>
        </a:stretch>
      </xdr:blipFill>
      <xdr:spPr>
        <a:xfrm>
          <a:off x="6096000" y="548640"/>
          <a:ext cx="5001428" cy="1800000"/>
        </a:xfrm>
        <a:prstGeom prst="rect">
          <a:avLst/>
        </a:prstGeom>
      </xdr:spPr>
    </xdr:pic>
    <xdr:clientData/>
  </xdr:twoCellAnchor>
  <xdr:twoCellAnchor editAs="oneCell">
    <xdr:from>
      <xdr:col>10</xdr:col>
      <xdr:colOff>0</xdr:colOff>
      <xdr:row>39</xdr:row>
      <xdr:rowOff>0</xdr:rowOff>
    </xdr:from>
    <xdr:to>
      <xdr:col>17</xdr:col>
      <xdr:colOff>411480</xdr:colOff>
      <xdr:row>50</xdr:row>
      <xdr:rowOff>182506</xdr:rowOff>
    </xdr:to>
    <xdr:pic>
      <xdr:nvPicPr>
        <xdr:cNvPr id="5" name="图片 4">
          <a:extLst>
            <a:ext uri="{FF2B5EF4-FFF2-40B4-BE49-F238E27FC236}">
              <a16:creationId xmlns:a16="http://schemas.microsoft.com/office/drawing/2014/main" xmlns="" id="{0E4043D5-E02D-46E1-B625-58B1C3F04667}"/>
            </a:ext>
          </a:extLst>
        </xdr:cNvPr>
        <xdr:cNvPicPr>
          <a:picLocks noChangeAspect="1"/>
        </xdr:cNvPicPr>
      </xdr:nvPicPr>
      <xdr:blipFill>
        <a:blip xmlns:r="http://schemas.openxmlformats.org/officeDocument/2006/relationships" r:embed="rId4"/>
        <a:stretch>
          <a:fillRect/>
        </a:stretch>
      </xdr:blipFill>
      <xdr:spPr>
        <a:xfrm>
          <a:off x="6096000" y="2377440"/>
          <a:ext cx="4678680" cy="2194186"/>
        </a:xfrm>
        <a:prstGeom prst="rect">
          <a:avLst/>
        </a:prstGeom>
      </xdr:spPr>
    </xdr:pic>
    <xdr:clientData/>
  </xdr:twoCellAnchor>
  <xdr:twoCellAnchor editAs="oneCell">
    <xdr:from>
      <xdr:col>9</xdr:col>
      <xdr:colOff>609599</xdr:colOff>
      <xdr:row>51</xdr:row>
      <xdr:rowOff>0</xdr:rowOff>
    </xdr:from>
    <xdr:to>
      <xdr:col>18</xdr:col>
      <xdr:colOff>461799</xdr:colOff>
      <xdr:row>70</xdr:row>
      <xdr:rowOff>125280</xdr:rowOff>
    </xdr:to>
    <xdr:pic>
      <xdr:nvPicPr>
        <xdr:cNvPr id="6" name="图片 5">
          <a:extLst>
            <a:ext uri="{FF2B5EF4-FFF2-40B4-BE49-F238E27FC236}">
              <a16:creationId xmlns:a16="http://schemas.microsoft.com/office/drawing/2014/main" xmlns="" id="{31B1C251-A86D-4307-BA14-51EC5D26DF12}"/>
            </a:ext>
          </a:extLst>
        </xdr:cNvPr>
        <xdr:cNvPicPr>
          <a:picLocks noChangeAspect="1"/>
        </xdr:cNvPicPr>
      </xdr:nvPicPr>
      <xdr:blipFill>
        <a:blip xmlns:r="http://schemas.openxmlformats.org/officeDocument/2006/relationships" r:embed="rId5"/>
        <a:stretch>
          <a:fillRect/>
        </a:stretch>
      </xdr:blipFill>
      <xdr:spPr>
        <a:xfrm>
          <a:off x="6095999" y="4572000"/>
          <a:ext cx="5338600" cy="3600000"/>
        </a:xfrm>
        <a:prstGeom prst="rect">
          <a:avLst/>
        </a:prstGeom>
      </xdr:spPr>
    </xdr:pic>
    <xdr:clientData/>
  </xdr:twoCellAnchor>
  <xdr:twoCellAnchor editAs="oneCell">
    <xdr:from>
      <xdr:col>18</xdr:col>
      <xdr:colOff>556260</xdr:colOff>
      <xdr:row>28</xdr:row>
      <xdr:rowOff>53340</xdr:rowOff>
    </xdr:from>
    <xdr:to>
      <xdr:col>25</xdr:col>
      <xdr:colOff>552217</xdr:colOff>
      <xdr:row>38</xdr:row>
      <xdr:rowOff>24540</xdr:rowOff>
    </xdr:to>
    <xdr:pic>
      <xdr:nvPicPr>
        <xdr:cNvPr id="7" name="图片 6">
          <a:extLst>
            <a:ext uri="{FF2B5EF4-FFF2-40B4-BE49-F238E27FC236}">
              <a16:creationId xmlns:a16="http://schemas.microsoft.com/office/drawing/2014/main" xmlns="" id="{05800108-B93E-49C7-BFCB-5881FF2A6438}"/>
            </a:ext>
          </a:extLst>
        </xdr:cNvPr>
        <xdr:cNvPicPr>
          <a:picLocks noChangeAspect="1"/>
        </xdr:cNvPicPr>
      </xdr:nvPicPr>
      <xdr:blipFill>
        <a:blip xmlns:r="http://schemas.openxmlformats.org/officeDocument/2006/relationships" r:embed="rId6"/>
        <a:stretch>
          <a:fillRect/>
        </a:stretch>
      </xdr:blipFill>
      <xdr:spPr>
        <a:xfrm>
          <a:off x="11529060" y="1699260"/>
          <a:ext cx="4263157" cy="1800000"/>
        </a:xfrm>
        <a:prstGeom prst="rect">
          <a:avLst/>
        </a:prstGeom>
      </xdr:spPr>
    </xdr:pic>
    <xdr:clientData/>
  </xdr:twoCellAnchor>
  <xdr:twoCellAnchor editAs="oneCell">
    <xdr:from>
      <xdr:col>19</xdr:col>
      <xdr:colOff>0</xdr:colOff>
      <xdr:row>38</xdr:row>
      <xdr:rowOff>0</xdr:rowOff>
    </xdr:from>
    <xdr:to>
      <xdr:col>27</xdr:col>
      <xdr:colOff>82946</xdr:colOff>
      <xdr:row>49</xdr:row>
      <xdr:rowOff>148320</xdr:rowOff>
    </xdr:to>
    <xdr:pic>
      <xdr:nvPicPr>
        <xdr:cNvPr id="8" name="图片 7">
          <a:extLst>
            <a:ext uri="{FF2B5EF4-FFF2-40B4-BE49-F238E27FC236}">
              <a16:creationId xmlns:a16="http://schemas.microsoft.com/office/drawing/2014/main" xmlns="" id="{C76B9AAA-76B1-4B8F-955E-619E37B8DA6B}"/>
            </a:ext>
          </a:extLst>
        </xdr:cNvPr>
        <xdr:cNvPicPr>
          <a:picLocks noChangeAspect="1"/>
        </xdr:cNvPicPr>
      </xdr:nvPicPr>
      <xdr:blipFill>
        <a:blip xmlns:r="http://schemas.openxmlformats.org/officeDocument/2006/relationships" r:embed="rId7"/>
        <a:stretch>
          <a:fillRect/>
        </a:stretch>
      </xdr:blipFill>
      <xdr:spPr>
        <a:xfrm>
          <a:off x="11582400" y="3474720"/>
          <a:ext cx="4959746" cy="2160000"/>
        </a:xfrm>
        <a:prstGeom prst="rect">
          <a:avLst/>
        </a:prstGeom>
      </xdr:spPr>
    </xdr:pic>
    <xdr:clientData/>
  </xdr:twoCellAnchor>
  <xdr:twoCellAnchor editAs="oneCell">
    <xdr:from>
      <xdr:col>19</xdr:col>
      <xdr:colOff>0</xdr:colOff>
      <xdr:row>50</xdr:row>
      <xdr:rowOff>0</xdr:rowOff>
    </xdr:from>
    <xdr:to>
      <xdr:col>27</xdr:col>
      <xdr:colOff>519980</xdr:colOff>
      <xdr:row>69</xdr:row>
      <xdr:rowOff>125280</xdr:rowOff>
    </xdr:to>
    <xdr:pic>
      <xdr:nvPicPr>
        <xdr:cNvPr id="9" name="图片 8">
          <a:extLst>
            <a:ext uri="{FF2B5EF4-FFF2-40B4-BE49-F238E27FC236}">
              <a16:creationId xmlns:a16="http://schemas.microsoft.com/office/drawing/2014/main" xmlns="" id="{9EE028F5-3F93-445D-8A2E-4A3C99B832FD}"/>
            </a:ext>
          </a:extLst>
        </xdr:cNvPr>
        <xdr:cNvPicPr>
          <a:picLocks noChangeAspect="1"/>
        </xdr:cNvPicPr>
      </xdr:nvPicPr>
      <xdr:blipFill>
        <a:blip xmlns:r="http://schemas.openxmlformats.org/officeDocument/2006/relationships" r:embed="rId8"/>
        <a:stretch>
          <a:fillRect/>
        </a:stretch>
      </xdr:blipFill>
      <xdr:spPr>
        <a:xfrm>
          <a:off x="11582400" y="5669280"/>
          <a:ext cx="5396780" cy="3600000"/>
        </a:xfrm>
        <a:prstGeom prst="rect">
          <a:avLst/>
        </a:prstGeom>
      </xdr:spPr>
    </xdr:pic>
    <xdr:clientData/>
  </xdr:twoCellAnchor>
  <xdr:twoCellAnchor editAs="oneCell">
    <xdr:from>
      <xdr:col>0</xdr:col>
      <xdr:colOff>0</xdr:colOff>
      <xdr:row>0</xdr:row>
      <xdr:rowOff>0</xdr:rowOff>
    </xdr:from>
    <xdr:to>
      <xdr:col>9</xdr:col>
      <xdr:colOff>211590</xdr:colOff>
      <xdr:row>23</xdr:row>
      <xdr:rowOff>113760</xdr:rowOff>
    </xdr:to>
    <xdr:pic>
      <xdr:nvPicPr>
        <xdr:cNvPr id="10" name="图片 9">
          <a:extLst>
            <a:ext uri="{FF2B5EF4-FFF2-40B4-BE49-F238E27FC236}">
              <a16:creationId xmlns:a16="http://schemas.microsoft.com/office/drawing/2014/main" xmlns="" id="{32AB3A75-DD0A-4856-8407-5FDB9880051C}"/>
            </a:ext>
          </a:extLst>
        </xdr:cNvPr>
        <xdr:cNvPicPr>
          <a:picLocks noChangeAspect="1"/>
        </xdr:cNvPicPr>
      </xdr:nvPicPr>
      <xdr:blipFill>
        <a:blip xmlns:r="http://schemas.openxmlformats.org/officeDocument/2006/relationships" r:embed="rId9"/>
        <a:stretch>
          <a:fillRect/>
        </a:stretch>
      </xdr:blipFill>
      <xdr:spPr>
        <a:xfrm>
          <a:off x="0" y="0"/>
          <a:ext cx="5697990" cy="4320000"/>
        </a:xfrm>
        <a:prstGeom prst="rect">
          <a:avLst/>
        </a:prstGeom>
      </xdr:spPr>
    </xdr:pic>
    <xdr:clientData/>
  </xdr:twoCellAnchor>
  <xdr:twoCellAnchor editAs="oneCell">
    <xdr:from>
      <xdr:col>9</xdr:col>
      <xdr:colOff>297181</xdr:colOff>
      <xdr:row>0</xdr:row>
      <xdr:rowOff>0</xdr:rowOff>
    </xdr:from>
    <xdr:to>
      <xdr:col>18</xdr:col>
      <xdr:colOff>471250</xdr:colOff>
      <xdr:row>5</xdr:row>
      <xdr:rowOff>165600</xdr:rowOff>
    </xdr:to>
    <xdr:pic>
      <xdr:nvPicPr>
        <xdr:cNvPr id="11" name="图片 10">
          <a:extLst>
            <a:ext uri="{FF2B5EF4-FFF2-40B4-BE49-F238E27FC236}">
              <a16:creationId xmlns:a16="http://schemas.microsoft.com/office/drawing/2014/main" xmlns="" id="{0A072327-1E4F-413C-A9C3-EE6688FEA256}"/>
            </a:ext>
          </a:extLst>
        </xdr:cNvPr>
        <xdr:cNvPicPr>
          <a:picLocks noChangeAspect="1"/>
        </xdr:cNvPicPr>
      </xdr:nvPicPr>
      <xdr:blipFill>
        <a:blip xmlns:r="http://schemas.openxmlformats.org/officeDocument/2006/relationships" r:embed="rId10"/>
        <a:stretch>
          <a:fillRect/>
        </a:stretch>
      </xdr:blipFill>
      <xdr:spPr>
        <a:xfrm>
          <a:off x="5783581" y="0"/>
          <a:ext cx="5660469" cy="1080000"/>
        </a:xfrm>
        <a:prstGeom prst="rect">
          <a:avLst/>
        </a:prstGeom>
      </xdr:spPr>
    </xdr:pic>
    <xdr:clientData/>
  </xdr:twoCellAnchor>
  <xdr:twoCellAnchor editAs="oneCell">
    <xdr:from>
      <xdr:col>9</xdr:col>
      <xdr:colOff>198120</xdr:colOff>
      <xdr:row>5</xdr:row>
      <xdr:rowOff>129540</xdr:rowOff>
    </xdr:from>
    <xdr:to>
      <xdr:col>20</xdr:col>
      <xdr:colOff>132238</xdr:colOff>
      <xdr:row>11</xdr:row>
      <xdr:rowOff>112260</xdr:rowOff>
    </xdr:to>
    <xdr:pic>
      <xdr:nvPicPr>
        <xdr:cNvPr id="12" name="图片 11">
          <a:extLst>
            <a:ext uri="{FF2B5EF4-FFF2-40B4-BE49-F238E27FC236}">
              <a16:creationId xmlns:a16="http://schemas.microsoft.com/office/drawing/2014/main" xmlns="" id="{98245D07-97AC-4425-8916-B52868AB434B}"/>
            </a:ext>
          </a:extLst>
        </xdr:cNvPr>
        <xdr:cNvPicPr>
          <a:picLocks noChangeAspect="1"/>
        </xdr:cNvPicPr>
      </xdr:nvPicPr>
      <xdr:blipFill>
        <a:blip xmlns:r="http://schemas.openxmlformats.org/officeDocument/2006/relationships" r:embed="rId11"/>
        <a:stretch>
          <a:fillRect/>
        </a:stretch>
      </xdr:blipFill>
      <xdr:spPr>
        <a:xfrm>
          <a:off x="5684520" y="1043940"/>
          <a:ext cx="6639718" cy="1080000"/>
        </a:xfrm>
        <a:prstGeom prst="rect">
          <a:avLst/>
        </a:prstGeom>
      </xdr:spPr>
    </xdr:pic>
    <xdr:clientData/>
  </xdr:twoCellAnchor>
  <xdr:twoCellAnchor editAs="oneCell">
    <xdr:from>
      <xdr:col>9</xdr:col>
      <xdr:colOff>251460</xdr:colOff>
      <xdr:row>11</xdr:row>
      <xdr:rowOff>152400</xdr:rowOff>
    </xdr:from>
    <xdr:to>
      <xdr:col>18</xdr:col>
      <xdr:colOff>527650</xdr:colOff>
      <xdr:row>21</xdr:row>
      <xdr:rowOff>123600</xdr:rowOff>
    </xdr:to>
    <xdr:pic>
      <xdr:nvPicPr>
        <xdr:cNvPr id="13" name="图片 12">
          <a:extLst>
            <a:ext uri="{FF2B5EF4-FFF2-40B4-BE49-F238E27FC236}">
              <a16:creationId xmlns:a16="http://schemas.microsoft.com/office/drawing/2014/main" xmlns="" id="{B07A6FE6-7EF7-4E9F-AC51-A781FCBCB819}"/>
            </a:ext>
          </a:extLst>
        </xdr:cNvPr>
        <xdr:cNvPicPr>
          <a:picLocks noChangeAspect="1"/>
        </xdr:cNvPicPr>
      </xdr:nvPicPr>
      <xdr:blipFill>
        <a:blip xmlns:r="http://schemas.openxmlformats.org/officeDocument/2006/relationships" r:embed="rId12"/>
        <a:stretch>
          <a:fillRect/>
        </a:stretch>
      </xdr:blipFill>
      <xdr:spPr>
        <a:xfrm>
          <a:off x="5737860" y="2164080"/>
          <a:ext cx="5762590" cy="1800000"/>
        </a:xfrm>
        <a:prstGeom prst="rect">
          <a:avLst/>
        </a:prstGeom>
      </xdr:spPr>
    </xdr:pic>
    <xdr:clientData/>
  </xdr:twoCellAnchor>
  <xdr:twoCellAnchor editAs="oneCell">
    <xdr:from>
      <xdr:col>27</xdr:col>
      <xdr:colOff>0</xdr:colOff>
      <xdr:row>28</xdr:row>
      <xdr:rowOff>0</xdr:rowOff>
    </xdr:from>
    <xdr:to>
      <xdr:col>35</xdr:col>
      <xdr:colOff>235064</xdr:colOff>
      <xdr:row>47</xdr:row>
      <xdr:rowOff>125280</xdr:rowOff>
    </xdr:to>
    <xdr:pic>
      <xdr:nvPicPr>
        <xdr:cNvPr id="16" name="图片 15">
          <a:extLst>
            <a:ext uri="{FF2B5EF4-FFF2-40B4-BE49-F238E27FC236}">
              <a16:creationId xmlns:a16="http://schemas.microsoft.com/office/drawing/2014/main" xmlns="" id="{26B37885-6D8E-48CD-AAB3-C0CFBDB6F69F}"/>
            </a:ext>
          </a:extLst>
        </xdr:cNvPr>
        <xdr:cNvPicPr>
          <a:picLocks noChangeAspect="1"/>
        </xdr:cNvPicPr>
      </xdr:nvPicPr>
      <xdr:blipFill>
        <a:blip xmlns:r="http://schemas.openxmlformats.org/officeDocument/2006/relationships" r:embed="rId13"/>
        <a:stretch>
          <a:fillRect/>
        </a:stretch>
      </xdr:blipFill>
      <xdr:spPr>
        <a:xfrm>
          <a:off x="16459200" y="5120640"/>
          <a:ext cx="5111864" cy="3600000"/>
        </a:xfrm>
        <a:prstGeom prst="rect">
          <a:avLst/>
        </a:prstGeom>
      </xdr:spPr>
    </xdr:pic>
    <xdr:clientData/>
  </xdr:twoCellAnchor>
  <xdr:twoCellAnchor editAs="oneCell">
    <xdr:from>
      <xdr:col>27</xdr:col>
      <xdr:colOff>0</xdr:colOff>
      <xdr:row>48</xdr:row>
      <xdr:rowOff>0</xdr:rowOff>
    </xdr:from>
    <xdr:to>
      <xdr:col>35</xdr:col>
      <xdr:colOff>271386</xdr:colOff>
      <xdr:row>67</xdr:row>
      <xdr:rowOff>125280</xdr:rowOff>
    </xdr:to>
    <xdr:pic>
      <xdr:nvPicPr>
        <xdr:cNvPr id="17" name="图片 16">
          <a:extLst>
            <a:ext uri="{FF2B5EF4-FFF2-40B4-BE49-F238E27FC236}">
              <a16:creationId xmlns:a16="http://schemas.microsoft.com/office/drawing/2014/main" xmlns="" id="{A031BCC1-B8CF-4DCD-827B-910AB3C2E73E}"/>
            </a:ext>
          </a:extLst>
        </xdr:cNvPr>
        <xdr:cNvPicPr>
          <a:picLocks noChangeAspect="1"/>
        </xdr:cNvPicPr>
      </xdr:nvPicPr>
      <xdr:blipFill>
        <a:blip xmlns:r="http://schemas.openxmlformats.org/officeDocument/2006/relationships" r:embed="rId14"/>
        <a:stretch>
          <a:fillRect/>
        </a:stretch>
      </xdr:blipFill>
      <xdr:spPr>
        <a:xfrm>
          <a:off x="16459200" y="8778240"/>
          <a:ext cx="5148186" cy="3600000"/>
        </a:xfrm>
        <a:prstGeom prst="rect">
          <a:avLst/>
        </a:prstGeom>
      </xdr:spPr>
    </xdr:pic>
    <xdr:clientData/>
  </xdr:twoCellAnchor>
  <xdr:twoCellAnchor editAs="oneCell">
    <xdr:from>
      <xdr:col>37</xdr:col>
      <xdr:colOff>38100</xdr:colOff>
      <xdr:row>0</xdr:row>
      <xdr:rowOff>0</xdr:rowOff>
    </xdr:from>
    <xdr:to>
      <xdr:col>50</xdr:col>
      <xdr:colOff>522824</xdr:colOff>
      <xdr:row>6</xdr:row>
      <xdr:rowOff>178910</xdr:rowOff>
    </xdr:to>
    <xdr:pic>
      <xdr:nvPicPr>
        <xdr:cNvPr id="20" name="图片 19">
          <a:extLst>
            <a:ext uri="{FF2B5EF4-FFF2-40B4-BE49-F238E27FC236}">
              <a16:creationId xmlns:a16="http://schemas.microsoft.com/office/drawing/2014/main" xmlns="" id="{448FC5F3-0138-46F2-8F13-78A31E2B16EF}"/>
            </a:ext>
          </a:extLst>
        </xdr:cNvPr>
        <xdr:cNvPicPr>
          <a:picLocks noChangeAspect="1"/>
        </xdr:cNvPicPr>
      </xdr:nvPicPr>
      <xdr:blipFill>
        <a:blip xmlns:r="http://schemas.openxmlformats.org/officeDocument/2006/relationships" r:embed="rId15"/>
        <a:stretch>
          <a:fillRect/>
        </a:stretch>
      </xdr:blipFill>
      <xdr:spPr>
        <a:xfrm>
          <a:off x="22593300" y="0"/>
          <a:ext cx="8409524" cy="1276190"/>
        </a:xfrm>
        <a:prstGeom prst="rect">
          <a:avLst/>
        </a:prstGeom>
      </xdr:spPr>
    </xdr:pic>
    <xdr:clientData/>
  </xdr:twoCellAnchor>
  <xdr:twoCellAnchor editAs="oneCell">
    <xdr:from>
      <xdr:col>37</xdr:col>
      <xdr:colOff>0</xdr:colOff>
      <xdr:row>7</xdr:row>
      <xdr:rowOff>0</xdr:rowOff>
    </xdr:from>
    <xdr:to>
      <xdr:col>48</xdr:col>
      <xdr:colOff>65828</xdr:colOff>
      <xdr:row>20</xdr:row>
      <xdr:rowOff>146369</xdr:rowOff>
    </xdr:to>
    <xdr:pic>
      <xdr:nvPicPr>
        <xdr:cNvPr id="21" name="图片 20">
          <a:extLst>
            <a:ext uri="{FF2B5EF4-FFF2-40B4-BE49-F238E27FC236}">
              <a16:creationId xmlns:a16="http://schemas.microsoft.com/office/drawing/2014/main" xmlns="" id="{34032A43-57AE-4B7B-B64A-7B1EC8715CBD}"/>
            </a:ext>
          </a:extLst>
        </xdr:cNvPr>
        <xdr:cNvPicPr>
          <a:picLocks noChangeAspect="1"/>
        </xdr:cNvPicPr>
      </xdr:nvPicPr>
      <xdr:blipFill>
        <a:blip xmlns:r="http://schemas.openxmlformats.org/officeDocument/2006/relationships" r:embed="rId16"/>
        <a:stretch>
          <a:fillRect/>
        </a:stretch>
      </xdr:blipFill>
      <xdr:spPr>
        <a:xfrm>
          <a:off x="22555200" y="1280160"/>
          <a:ext cx="6771428" cy="2523809"/>
        </a:xfrm>
        <a:prstGeom prst="rect">
          <a:avLst/>
        </a:prstGeom>
      </xdr:spPr>
    </xdr:pic>
    <xdr:clientData/>
  </xdr:twoCellAnchor>
  <xdr:twoCellAnchor editAs="oneCell">
    <xdr:from>
      <xdr:col>37</xdr:col>
      <xdr:colOff>1</xdr:colOff>
      <xdr:row>21</xdr:row>
      <xdr:rowOff>0</xdr:rowOff>
    </xdr:from>
    <xdr:to>
      <xdr:col>47</xdr:col>
      <xdr:colOff>192040</xdr:colOff>
      <xdr:row>46</xdr:row>
      <xdr:rowOff>108000</xdr:rowOff>
    </xdr:to>
    <xdr:pic>
      <xdr:nvPicPr>
        <xdr:cNvPr id="22" name="图片 21">
          <a:extLst>
            <a:ext uri="{FF2B5EF4-FFF2-40B4-BE49-F238E27FC236}">
              <a16:creationId xmlns:a16="http://schemas.microsoft.com/office/drawing/2014/main" xmlns="" id="{8F72BD80-293B-4D39-9C98-E8FF65BAEB45}"/>
            </a:ext>
          </a:extLst>
        </xdr:cNvPr>
        <xdr:cNvPicPr>
          <a:picLocks noChangeAspect="1"/>
        </xdr:cNvPicPr>
      </xdr:nvPicPr>
      <xdr:blipFill>
        <a:blip xmlns:r="http://schemas.openxmlformats.org/officeDocument/2006/relationships" r:embed="rId17"/>
        <a:stretch>
          <a:fillRect/>
        </a:stretch>
      </xdr:blipFill>
      <xdr:spPr>
        <a:xfrm>
          <a:off x="22555201" y="3840480"/>
          <a:ext cx="6288039" cy="4680000"/>
        </a:xfrm>
        <a:prstGeom prst="rect">
          <a:avLst/>
        </a:prstGeom>
      </xdr:spPr>
    </xdr:pic>
    <xdr:clientData/>
  </xdr:twoCellAnchor>
  <xdr:twoCellAnchor editAs="oneCell">
    <xdr:from>
      <xdr:col>9</xdr:col>
      <xdr:colOff>0</xdr:colOff>
      <xdr:row>22</xdr:row>
      <xdr:rowOff>0</xdr:rowOff>
    </xdr:from>
    <xdr:to>
      <xdr:col>19</xdr:col>
      <xdr:colOff>152570</xdr:colOff>
      <xdr:row>27</xdr:row>
      <xdr:rowOff>165600</xdr:rowOff>
    </xdr:to>
    <xdr:pic>
      <xdr:nvPicPr>
        <xdr:cNvPr id="23" name="图片 22">
          <a:extLst>
            <a:ext uri="{FF2B5EF4-FFF2-40B4-BE49-F238E27FC236}">
              <a16:creationId xmlns:a16="http://schemas.microsoft.com/office/drawing/2014/main" xmlns="" id="{589F64C6-8B88-4723-B5BF-17C6B7A93BC4}"/>
            </a:ext>
          </a:extLst>
        </xdr:cNvPr>
        <xdr:cNvPicPr>
          <a:picLocks noChangeAspect="1"/>
        </xdr:cNvPicPr>
      </xdr:nvPicPr>
      <xdr:blipFill>
        <a:blip xmlns:r="http://schemas.openxmlformats.org/officeDocument/2006/relationships" r:embed="rId18"/>
        <a:stretch>
          <a:fillRect/>
        </a:stretch>
      </xdr:blipFill>
      <xdr:spPr>
        <a:xfrm>
          <a:off x="5486400" y="4023360"/>
          <a:ext cx="6248570" cy="1080000"/>
        </a:xfrm>
        <a:prstGeom prst="rect">
          <a:avLst/>
        </a:prstGeom>
      </xdr:spPr>
    </xdr:pic>
    <xdr:clientData/>
  </xdr:twoCellAnchor>
  <xdr:twoCellAnchor editAs="oneCell">
    <xdr:from>
      <xdr:col>0</xdr:col>
      <xdr:colOff>60960</xdr:colOff>
      <xdr:row>75</xdr:row>
      <xdr:rowOff>38100</xdr:rowOff>
    </xdr:from>
    <xdr:to>
      <xdr:col>8</xdr:col>
      <xdr:colOff>157282</xdr:colOff>
      <xdr:row>94</xdr:row>
      <xdr:rowOff>163380</xdr:rowOff>
    </xdr:to>
    <xdr:pic>
      <xdr:nvPicPr>
        <xdr:cNvPr id="24" name="图片 23">
          <a:extLst>
            <a:ext uri="{FF2B5EF4-FFF2-40B4-BE49-F238E27FC236}">
              <a16:creationId xmlns:a16="http://schemas.microsoft.com/office/drawing/2014/main" xmlns="" id="{025CA18A-73C5-45A6-828F-5A0F46AC47CE}"/>
            </a:ext>
          </a:extLst>
        </xdr:cNvPr>
        <xdr:cNvPicPr>
          <a:picLocks noChangeAspect="1"/>
        </xdr:cNvPicPr>
      </xdr:nvPicPr>
      <xdr:blipFill>
        <a:blip xmlns:r="http://schemas.openxmlformats.org/officeDocument/2006/relationships" r:embed="rId19"/>
        <a:stretch>
          <a:fillRect/>
        </a:stretch>
      </xdr:blipFill>
      <xdr:spPr>
        <a:xfrm>
          <a:off x="60960" y="13754100"/>
          <a:ext cx="4973122" cy="3600000"/>
        </a:xfrm>
        <a:prstGeom prst="rect">
          <a:avLst/>
        </a:prstGeom>
      </xdr:spPr>
    </xdr:pic>
    <xdr:clientData/>
  </xdr:twoCellAnchor>
  <xdr:twoCellAnchor editAs="oneCell">
    <xdr:from>
      <xdr:col>0</xdr:col>
      <xdr:colOff>0</xdr:colOff>
      <xdr:row>94</xdr:row>
      <xdr:rowOff>152400</xdr:rowOff>
    </xdr:from>
    <xdr:to>
      <xdr:col>8</xdr:col>
      <xdr:colOff>112514</xdr:colOff>
      <xdr:row>115</xdr:row>
      <xdr:rowOff>68580</xdr:rowOff>
    </xdr:to>
    <xdr:pic>
      <xdr:nvPicPr>
        <xdr:cNvPr id="25" name="图片 24">
          <a:extLst>
            <a:ext uri="{FF2B5EF4-FFF2-40B4-BE49-F238E27FC236}">
              <a16:creationId xmlns:a16="http://schemas.microsoft.com/office/drawing/2014/main" xmlns="" id="{D327186A-FB0E-4BDC-A7B9-AB3BE1E06305}"/>
            </a:ext>
          </a:extLst>
        </xdr:cNvPr>
        <xdr:cNvPicPr>
          <a:picLocks noChangeAspect="1"/>
        </xdr:cNvPicPr>
      </xdr:nvPicPr>
      <xdr:blipFill>
        <a:blip xmlns:r="http://schemas.openxmlformats.org/officeDocument/2006/relationships" r:embed="rId20"/>
        <a:stretch>
          <a:fillRect/>
        </a:stretch>
      </xdr:blipFill>
      <xdr:spPr>
        <a:xfrm>
          <a:off x="0" y="17343120"/>
          <a:ext cx="4989314" cy="3756660"/>
        </a:xfrm>
        <a:prstGeom prst="rect">
          <a:avLst/>
        </a:prstGeom>
      </xdr:spPr>
    </xdr:pic>
    <xdr:clientData/>
  </xdr:twoCellAnchor>
  <xdr:twoCellAnchor editAs="oneCell">
    <xdr:from>
      <xdr:col>0</xdr:col>
      <xdr:colOff>0</xdr:colOff>
      <xdr:row>24</xdr:row>
      <xdr:rowOff>121920</xdr:rowOff>
    </xdr:from>
    <xdr:to>
      <xdr:col>9</xdr:col>
      <xdr:colOff>198120</xdr:colOff>
      <xdr:row>50</xdr:row>
      <xdr:rowOff>178103</xdr:rowOff>
    </xdr:to>
    <xdr:pic>
      <xdr:nvPicPr>
        <xdr:cNvPr id="26" name="图片 25">
          <a:extLst>
            <a:ext uri="{FF2B5EF4-FFF2-40B4-BE49-F238E27FC236}">
              <a16:creationId xmlns:a16="http://schemas.microsoft.com/office/drawing/2014/main" xmlns="" id="{972C374E-7DC6-4F16-8392-992A0B3981AE}"/>
            </a:ext>
          </a:extLst>
        </xdr:cNvPr>
        <xdr:cNvPicPr>
          <a:picLocks noChangeAspect="1"/>
        </xdr:cNvPicPr>
      </xdr:nvPicPr>
      <xdr:blipFill>
        <a:blip xmlns:r="http://schemas.openxmlformats.org/officeDocument/2006/relationships" r:embed="rId21"/>
        <a:stretch>
          <a:fillRect/>
        </a:stretch>
      </xdr:blipFill>
      <xdr:spPr>
        <a:xfrm>
          <a:off x="0" y="4511040"/>
          <a:ext cx="5684520" cy="48110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144780</xdr:rowOff>
    </xdr:from>
    <xdr:to>
      <xdr:col>7</xdr:col>
      <xdr:colOff>541303</xdr:colOff>
      <xdr:row>14</xdr:row>
      <xdr:rowOff>110220</xdr:rowOff>
    </xdr:to>
    <xdr:pic>
      <xdr:nvPicPr>
        <xdr:cNvPr id="2" name="图片 1">
          <a:extLst>
            <a:ext uri="{FF2B5EF4-FFF2-40B4-BE49-F238E27FC236}">
              <a16:creationId xmlns:a16="http://schemas.microsoft.com/office/drawing/2014/main" xmlns="" id="{48AE020D-C04F-4396-8377-CD8794AE4F75}"/>
            </a:ext>
          </a:extLst>
        </xdr:cNvPr>
        <xdr:cNvPicPr>
          <a:picLocks noChangeAspect="1"/>
        </xdr:cNvPicPr>
      </xdr:nvPicPr>
      <xdr:blipFill>
        <a:blip xmlns:r="http://schemas.openxmlformats.org/officeDocument/2006/relationships" r:embed="rId1"/>
        <a:stretch>
          <a:fillRect/>
        </a:stretch>
      </xdr:blipFill>
      <xdr:spPr>
        <a:xfrm>
          <a:off x="0" y="510540"/>
          <a:ext cx="6050563" cy="2160000"/>
        </a:xfrm>
        <a:prstGeom prst="rect">
          <a:avLst/>
        </a:prstGeom>
      </xdr:spPr>
    </xdr:pic>
    <xdr:clientData/>
  </xdr:twoCellAnchor>
  <xdr:twoCellAnchor editAs="oneCell">
    <xdr:from>
      <xdr:col>11</xdr:col>
      <xdr:colOff>586740</xdr:colOff>
      <xdr:row>2</xdr:row>
      <xdr:rowOff>152400</xdr:rowOff>
    </xdr:from>
    <xdr:to>
      <xdr:col>27</xdr:col>
      <xdr:colOff>61711</xdr:colOff>
      <xdr:row>11</xdr:row>
      <xdr:rowOff>135051</xdr:rowOff>
    </xdr:to>
    <xdr:pic>
      <xdr:nvPicPr>
        <xdr:cNvPr id="3" name="图片 2">
          <a:extLst>
            <a:ext uri="{FF2B5EF4-FFF2-40B4-BE49-F238E27FC236}">
              <a16:creationId xmlns:a16="http://schemas.microsoft.com/office/drawing/2014/main" xmlns="" id="{BA3D26D8-BB77-47C8-A1B9-7327FCEC5B2A}"/>
            </a:ext>
          </a:extLst>
        </xdr:cNvPr>
        <xdr:cNvPicPr>
          <a:picLocks noChangeAspect="1"/>
        </xdr:cNvPicPr>
      </xdr:nvPicPr>
      <xdr:blipFill>
        <a:blip xmlns:r="http://schemas.openxmlformats.org/officeDocument/2006/relationships" r:embed="rId2"/>
        <a:stretch>
          <a:fillRect/>
        </a:stretch>
      </xdr:blipFill>
      <xdr:spPr>
        <a:xfrm>
          <a:off x="7292340" y="518160"/>
          <a:ext cx="9228571" cy="1628571"/>
        </a:xfrm>
        <a:prstGeom prst="rect">
          <a:avLst/>
        </a:prstGeom>
      </xdr:spPr>
    </xdr:pic>
    <xdr:clientData/>
  </xdr:twoCellAnchor>
  <xdr:twoCellAnchor editAs="oneCell">
    <xdr:from>
      <xdr:col>0</xdr:col>
      <xdr:colOff>0</xdr:colOff>
      <xdr:row>15</xdr:row>
      <xdr:rowOff>0</xdr:rowOff>
    </xdr:from>
    <xdr:to>
      <xdr:col>7</xdr:col>
      <xdr:colOff>422284</xdr:colOff>
      <xdr:row>24</xdr:row>
      <xdr:rowOff>154080</xdr:rowOff>
    </xdr:to>
    <xdr:pic>
      <xdr:nvPicPr>
        <xdr:cNvPr id="4" name="图片 3">
          <a:extLst>
            <a:ext uri="{FF2B5EF4-FFF2-40B4-BE49-F238E27FC236}">
              <a16:creationId xmlns:a16="http://schemas.microsoft.com/office/drawing/2014/main" xmlns="" id="{C1C01909-522B-4EB9-BB72-707A0578155E}"/>
            </a:ext>
          </a:extLst>
        </xdr:cNvPr>
        <xdr:cNvPicPr>
          <a:picLocks noChangeAspect="1"/>
        </xdr:cNvPicPr>
      </xdr:nvPicPr>
      <xdr:blipFill>
        <a:blip xmlns:r="http://schemas.openxmlformats.org/officeDocument/2006/relationships" r:embed="rId3"/>
        <a:stretch>
          <a:fillRect/>
        </a:stretch>
      </xdr:blipFill>
      <xdr:spPr>
        <a:xfrm>
          <a:off x="0" y="2743200"/>
          <a:ext cx="5931544" cy="1800000"/>
        </a:xfrm>
        <a:prstGeom prst="rect">
          <a:avLst/>
        </a:prstGeom>
      </xdr:spPr>
    </xdr:pic>
    <xdr:clientData/>
  </xdr:twoCellAnchor>
  <xdr:twoCellAnchor editAs="oneCell">
    <xdr:from>
      <xdr:col>0</xdr:col>
      <xdr:colOff>0</xdr:colOff>
      <xdr:row>25</xdr:row>
      <xdr:rowOff>0</xdr:rowOff>
    </xdr:from>
    <xdr:to>
      <xdr:col>7</xdr:col>
      <xdr:colOff>429286</xdr:colOff>
      <xdr:row>34</xdr:row>
      <xdr:rowOff>144780</xdr:rowOff>
    </xdr:to>
    <xdr:pic>
      <xdr:nvPicPr>
        <xdr:cNvPr id="5" name="图片 4">
          <a:extLst>
            <a:ext uri="{FF2B5EF4-FFF2-40B4-BE49-F238E27FC236}">
              <a16:creationId xmlns:a16="http://schemas.microsoft.com/office/drawing/2014/main" xmlns="" id="{B20D3551-2B01-49A0-A3FD-0957A20489F6}"/>
            </a:ext>
          </a:extLst>
        </xdr:cNvPr>
        <xdr:cNvPicPr>
          <a:picLocks noChangeAspect="1"/>
        </xdr:cNvPicPr>
      </xdr:nvPicPr>
      <xdr:blipFill>
        <a:blip xmlns:r="http://schemas.openxmlformats.org/officeDocument/2006/relationships" r:embed="rId4"/>
        <a:stretch>
          <a:fillRect/>
        </a:stretch>
      </xdr:blipFill>
      <xdr:spPr>
        <a:xfrm>
          <a:off x="0" y="4572000"/>
          <a:ext cx="5938546" cy="1790700"/>
        </a:xfrm>
        <a:prstGeom prst="rect">
          <a:avLst/>
        </a:prstGeom>
      </xdr:spPr>
    </xdr:pic>
    <xdr:clientData/>
  </xdr:twoCellAnchor>
  <xdr:twoCellAnchor editAs="oneCell">
    <xdr:from>
      <xdr:col>0</xdr:col>
      <xdr:colOff>1</xdr:colOff>
      <xdr:row>35</xdr:row>
      <xdr:rowOff>1</xdr:rowOff>
    </xdr:from>
    <xdr:to>
      <xdr:col>7</xdr:col>
      <xdr:colOff>321451</xdr:colOff>
      <xdr:row>45</xdr:row>
      <xdr:rowOff>106681</xdr:rowOff>
    </xdr:to>
    <xdr:pic>
      <xdr:nvPicPr>
        <xdr:cNvPr id="6" name="图片 5">
          <a:extLst>
            <a:ext uri="{FF2B5EF4-FFF2-40B4-BE49-F238E27FC236}">
              <a16:creationId xmlns:a16="http://schemas.microsoft.com/office/drawing/2014/main" xmlns="" id="{463F6B26-E08C-4D64-96E8-DCAE7A424A21}"/>
            </a:ext>
          </a:extLst>
        </xdr:cNvPr>
        <xdr:cNvPicPr>
          <a:picLocks noChangeAspect="1"/>
        </xdr:cNvPicPr>
      </xdr:nvPicPr>
      <xdr:blipFill>
        <a:blip xmlns:r="http://schemas.openxmlformats.org/officeDocument/2006/relationships" r:embed="rId5"/>
        <a:stretch>
          <a:fillRect/>
        </a:stretch>
      </xdr:blipFill>
      <xdr:spPr>
        <a:xfrm>
          <a:off x="1" y="6400801"/>
          <a:ext cx="5830710" cy="1935480"/>
        </a:xfrm>
        <a:prstGeom prst="rect">
          <a:avLst/>
        </a:prstGeom>
      </xdr:spPr>
    </xdr:pic>
    <xdr:clientData/>
  </xdr:twoCellAnchor>
  <xdr:twoCellAnchor editAs="oneCell">
    <xdr:from>
      <xdr:col>12</xdr:col>
      <xdr:colOff>30480</xdr:colOff>
      <xdr:row>12</xdr:row>
      <xdr:rowOff>0</xdr:rowOff>
    </xdr:from>
    <xdr:to>
      <xdr:col>27</xdr:col>
      <xdr:colOff>38861</xdr:colOff>
      <xdr:row>27</xdr:row>
      <xdr:rowOff>142514</xdr:rowOff>
    </xdr:to>
    <xdr:pic>
      <xdr:nvPicPr>
        <xdr:cNvPr id="7" name="图片 6">
          <a:extLst>
            <a:ext uri="{FF2B5EF4-FFF2-40B4-BE49-F238E27FC236}">
              <a16:creationId xmlns:a16="http://schemas.microsoft.com/office/drawing/2014/main" xmlns="" id="{144C1917-D9AC-4766-B68C-5DC109E15F34}"/>
            </a:ext>
          </a:extLst>
        </xdr:cNvPr>
        <xdr:cNvPicPr>
          <a:picLocks noChangeAspect="1"/>
        </xdr:cNvPicPr>
      </xdr:nvPicPr>
      <xdr:blipFill>
        <a:blip xmlns:r="http://schemas.openxmlformats.org/officeDocument/2006/relationships" r:embed="rId6"/>
        <a:stretch>
          <a:fillRect/>
        </a:stretch>
      </xdr:blipFill>
      <xdr:spPr>
        <a:xfrm>
          <a:off x="7345680" y="2194560"/>
          <a:ext cx="9152381" cy="2885714"/>
        </a:xfrm>
        <a:prstGeom prst="rect">
          <a:avLst/>
        </a:prstGeom>
      </xdr:spPr>
    </xdr:pic>
    <xdr:clientData/>
  </xdr:twoCellAnchor>
  <xdr:twoCellAnchor editAs="oneCell">
    <xdr:from>
      <xdr:col>12</xdr:col>
      <xdr:colOff>0</xdr:colOff>
      <xdr:row>28</xdr:row>
      <xdr:rowOff>0</xdr:rowOff>
    </xdr:from>
    <xdr:to>
      <xdr:col>26</xdr:col>
      <xdr:colOff>513219</xdr:colOff>
      <xdr:row>42</xdr:row>
      <xdr:rowOff>106347</xdr:rowOff>
    </xdr:to>
    <xdr:pic>
      <xdr:nvPicPr>
        <xdr:cNvPr id="8" name="图片 7">
          <a:extLst>
            <a:ext uri="{FF2B5EF4-FFF2-40B4-BE49-F238E27FC236}">
              <a16:creationId xmlns:a16="http://schemas.microsoft.com/office/drawing/2014/main" xmlns="" id="{08D01A5C-4503-467F-87C8-CB16F34E1C79}"/>
            </a:ext>
          </a:extLst>
        </xdr:cNvPr>
        <xdr:cNvPicPr>
          <a:picLocks noChangeAspect="1"/>
        </xdr:cNvPicPr>
      </xdr:nvPicPr>
      <xdr:blipFill>
        <a:blip xmlns:r="http://schemas.openxmlformats.org/officeDocument/2006/relationships" r:embed="rId7"/>
        <a:stretch>
          <a:fillRect/>
        </a:stretch>
      </xdr:blipFill>
      <xdr:spPr>
        <a:xfrm>
          <a:off x="7315200" y="5120640"/>
          <a:ext cx="9047619" cy="2666667"/>
        </a:xfrm>
        <a:prstGeom prst="rect">
          <a:avLst/>
        </a:prstGeom>
      </xdr:spPr>
    </xdr:pic>
    <xdr:clientData/>
  </xdr:twoCellAnchor>
  <xdr:twoCellAnchor editAs="oneCell">
    <xdr:from>
      <xdr:col>12</xdr:col>
      <xdr:colOff>0</xdr:colOff>
      <xdr:row>43</xdr:row>
      <xdr:rowOff>0</xdr:rowOff>
    </xdr:from>
    <xdr:to>
      <xdr:col>27</xdr:col>
      <xdr:colOff>8381</xdr:colOff>
      <xdr:row>50</xdr:row>
      <xdr:rowOff>91269</xdr:rowOff>
    </xdr:to>
    <xdr:pic>
      <xdr:nvPicPr>
        <xdr:cNvPr id="9" name="图片 8">
          <a:extLst>
            <a:ext uri="{FF2B5EF4-FFF2-40B4-BE49-F238E27FC236}">
              <a16:creationId xmlns:a16="http://schemas.microsoft.com/office/drawing/2014/main" xmlns="" id="{6E108DD1-FEF8-41BD-800C-E626109222D5}"/>
            </a:ext>
          </a:extLst>
        </xdr:cNvPr>
        <xdr:cNvPicPr>
          <a:picLocks noChangeAspect="1"/>
        </xdr:cNvPicPr>
      </xdr:nvPicPr>
      <xdr:blipFill>
        <a:blip xmlns:r="http://schemas.openxmlformats.org/officeDocument/2006/relationships" r:embed="rId8"/>
        <a:stretch>
          <a:fillRect/>
        </a:stretch>
      </xdr:blipFill>
      <xdr:spPr>
        <a:xfrm>
          <a:off x="7315200" y="7863840"/>
          <a:ext cx="9152381" cy="1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4.xml"/><Relationship Id="rId3" Type="http://schemas.openxmlformats.org/officeDocument/2006/relationships/control" Target="../activeX/activeX1.xml"/><Relationship Id="rId7" Type="http://schemas.openxmlformats.org/officeDocument/2006/relationships/control" Target="../activeX/activeX3.xml"/><Relationship Id="rId2" Type="http://schemas.openxmlformats.org/officeDocument/2006/relationships/vmlDrawing" Target="../drawings/vmlDrawing8.vml"/><Relationship Id="rId1" Type="http://schemas.openxmlformats.org/officeDocument/2006/relationships/drawing" Target="../drawings/drawing2.xml"/><Relationship Id="rId6" Type="http://schemas.openxmlformats.org/officeDocument/2006/relationships/image" Target="../media/image6.emf"/><Relationship Id="rId5" Type="http://schemas.openxmlformats.org/officeDocument/2006/relationships/control" Target="../activeX/activeX2.xml"/><Relationship Id="rId4" Type="http://schemas.openxmlformats.org/officeDocument/2006/relationships/image" Target="../media/image5.emf"/></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2653</v>
      </c>
      <c r="B1" s="2846" t="s">
        <v>2750</v>
      </c>
    </row>
    <row r="2" spans="1:55" s="2850" customFormat="1" ht="16.2" thickTop="1">
      <c r="A2" s="2848" t="s">
        <v>2657</v>
      </c>
      <c r="B2" s="2849" t="str">
        <f>'预评函-封皮'!B37</f>
        <v>咸阳市秦都区文兴路335亩项目出让国有建设用地使用权抵押价格预评估</v>
      </c>
      <c r="AX2" s="2851"/>
      <c r="AZ2" s="2851"/>
      <c r="BA2" s="2852"/>
      <c r="BC2" s="2852"/>
    </row>
    <row r="3" spans="1:55" s="2853" customFormat="1">
      <c r="A3" s="2832" t="s">
        <v>2658</v>
      </c>
      <c r="B3" s="2835">
        <f>'预评函-封皮'!B40</f>
        <v>0</v>
      </c>
    </row>
    <row r="4" spans="1:55" s="2834" customFormat="1">
      <c r="A4" s="2832" t="s">
        <v>2659</v>
      </c>
      <c r="B4" s="2833" t="str">
        <f>'预评函-封皮'!B46</f>
        <v>王鹏、郑燚</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6.2" thickBot="1">
      <c r="A5" s="2854" t="s">
        <v>2660</v>
      </c>
      <c r="B5" s="2855" t="str">
        <f>'预评函-封皮'!B49</f>
        <v>康正预评字2020-1-0139-P01DYGJ2号</v>
      </c>
    </row>
    <row r="6" spans="1:55" s="2856" customFormat="1" ht="16.2" thickTop="1">
      <c r="A6" s="2848" t="s">
        <v>2702</v>
      </c>
      <c r="B6" s="2849" t="str">
        <f>'预评函-1'!A4</f>
        <v>受贵公司委托，我公司对咸阳市秦都区文兴路335亩项目出让国有建设用地使用权抵押价格进行了预评估。</v>
      </c>
      <c r="AM6" s="2857"/>
    </row>
    <row r="7" spans="1:55" s="2831" customFormat="1">
      <c r="A7" s="2832" t="s">
        <v>2654</v>
      </c>
      <c r="B7" s="2833" t="str">
        <f>'预评函-1'!A6</f>
        <v>估价对象为使用的、位于咸阳市秦都区文兴路335亩项目出让国有建设用地使用权。根据《国有土地使用证》[]，估价对象（分摊）出让国有建设用地使用权面积为223160.97平方米。根据《建设工程规划许可证》[]、《出让合同》[]，估价对象规划建筑面积为781063.4平方米。</v>
      </c>
    </row>
    <row r="8" spans="1:55" s="2831" customFormat="1">
      <c r="A8" s="2832" t="s">
        <v>2655</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2705</v>
      </c>
      <c r="B9" s="2833"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2656</v>
      </c>
      <c r="B10" s="2833" t="str">
        <f>'预评函-1'!A11</f>
        <v>2020年3月12日</v>
      </c>
    </row>
    <row r="11" spans="1:55" s="2831" customFormat="1">
      <c r="A11" s="2832" t="s">
        <v>2662</v>
      </c>
      <c r="B11" s="2833" t="str">
        <f>'预评函-1'!A14</f>
        <v>根据《国有土地使用证》[]，本次评估估价对象证载（地类）用途为。</v>
      </c>
    </row>
    <row r="12" spans="1:55" s="2831" customFormat="1">
      <c r="A12" s="2832" t="s">
        <v>2663</v>
      </c>
      <c r="B12" s="2833" t="str">
        <f>'预评函-1'!A15</f>
        <v>本次评估设定用途即为证载用途。</v>
      </c>
    </row>
    <row r="13" spans="1:55" s="2831" customFormat="1">
      <c r="A13" s="2832" t="s">
        <v>2664</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2665</v>
      </c>
      <c r="B14" s="2833" t="str">
        <f>'预评函-1'!A18</f>
        <v>。本次评估设定土地开发程度为红线外市政基础设施达“七通”、宗地红线内场地平整。</v>
      </c>
    </row>
    <row r="15" spans="1:55" s="2831" customFormat="1">
      <c r="A15" s="2832" t="s">
        <v>2661</v>
      </c>
      <c r="B15" s="2833" t="str">
        <f>'预评函-1'!A20</f>
        <v>根据《国有土地使用证》[]，估价对象（分摊）出让国有建设用地使用权面积为223160.97平方米。根据《建设工程规划许可证》[]、《出让合同》[]，估价对象规划建筑面积为781063.4平方米。</v>
      </c>
    </row>
    <row r="16" spans="1:55" s="2831" customFormat="1">
      <c r="A16" s="2832" t="s">
        <v>2666</v>
      </c>
      <c r="B16" s="2833" t="str">
        <f>'预评函-1'!A22</f>
        <v>本次估价对象为出让国有建设用地使用权，《国有土地使用证》[]证载土地终止日期为住宅2090年3月2日、商业2060年3月2日。截至估价期日，出让国有建设用地使用权剩余土地使用年限为。</v>
      </c>
    </row>
    <row r="17" spans="1:48" s="2831" customFormat="1">
      <c r="A17" s="2832" t="s">
        <v>2667</v>
      </c>
      <c r="B17" s="2833" t="str">
        <f>'预评函-1'!A23</f>
        <v>本次评估设定估价对象剩余土地使用年限为。</v>
      </c>
    </row>
    <row r="18" spans="1:48" s="2831" customFormat="1">
      <c r="A18" s="2832" t="s">
        <v>2668</v>
      </c>
      <c r="B18" s="2833" t="str">
        <f>'预评函-1'!A25</f>
        <v>本次估价的“出让国有建设用地使用权价格”是指在估价对象土地所有权为国家所有，使用权性质为出让，在公开市场条件下、于估价期日2020年3月12日，在规划利用条件下、设定土地开发程度为红线外“七通”、宗地内场地，设定用途为，剩余土地使用年限为的出让国有建设用地使用权价格。</v>
      </c>
    </row>
    <row r="19" spans="1:48" s="2831" customFormat="1">
      <c r="A19" s="2832" t="s">
        <v>2669</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2670</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2671</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3" t="s">
        <v>2672</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2673</v>
      </c>
      <c r="B23" s="2833" t="str">
        <f>'预评函-2'!K2</f>
        <v>估价期日：2020年3月12日</v>
      </c>
    </row>
    <row r="24" spans="1:48">
      <c r="A24" s="2832" t="s">
        <v>2674</v>
      </c>
      <c r="B24" s="2833" t="str">
        <f>'预评函-2'!R2</f>
        <v>估价期日的国有建设用地使用权性质：出让</v>
      </c>
    </row>
    <row r="25" spans="1:48">
      <c r="A25" s="2832" t="s">
        <v>2730</v>
      </c>
      <c r="B25" s="2833" t="str">
        <f>'预评函-2'!A3</f>
        <v>估价期日土地使用者</v>
      </c>
    </row>
    <row r="26" spans="1:48">
      <c r="A26" s="2832" t="s">
        <v>2706</v>
      </c>
      <c r="B26" s="2833" t="str">
        <f>'预评函-2'!A5</f>
        <v>中信开发</v>
      </c>
    </row>
    <row r="27" spans="1:48">
      <c r="A27" s="2832" t="s">
        <v>2731</v>
      </c>
      <c r="B27" s="2833" t="str">
        <f>'预评函-2'!B3</f>
        <v>宗地编号/不动产单元号</v>
      </c>
    </row>
    <row r="28" spans="1:48">
      <c r="A28" s="2832" t="s">
        <v>2707</v>
      </c>
      <c r="B28" s="2833" t="str">
        <f>'预评函-2'!B5</f>
        <v>11111111111</v>
      </c>
    </row>
    <row r="29" spans="1:48">
      <c r="A29" s="2832" t="s">
        <v>2733</v>
      </c>
      <c r="B29" s="2833">
        <f>'预评函-2'!C5</f>
        <v>22</v>
      </c>
    </row>
    <row r="30" spans="1:48">
      <c r="A30" s="2832" t="s">
        <v>2734</v>
      </c>
      <c r="B30" s="2833" t="str">
        <f>'预评函-2'!D3</f>
        <v>土地使用证编号/不动产权证书编号</v>
      </c>
    </row>
    <row r="31" spans="1:48">
      <c r="A31" s="2832" t="s">
        <v>2708</v>
      </c>
      <c r="B31" s="2833" t="str">
        <f>'预评函-2'!D5</f>
        <v>京国土字第111号</v>
      </c>
    </row>
    <row r="32" spans="1:48">
      <c r="A32" s="2832" t="s">
        <v>2709</v>
      </c>
      <c r="B32" s="2833">
        <f>'预评函-2'!E5</f>
        <v>0</v>
      </c>
      <c r="AV32" s="2837"/>
    </row>
    <row r="33" spans="1:2">
      <c r="A33" s="2832" t="s">
        <v>2710</v>
      </c>
      <c r="B33" s="2833">
        <f>'预评函-2'!F5</f>
        <v>258</v>
      </c>
    </row>
    <row r="34" spans="1:2">
      <c r="A34" s="2832" t="s">
        <v>2711</v>
      </c>
      <c r="B34" s="2833">
        <f>'预评函-2'!G5</f>
        <v>0</v>
      </c>
    </row>
    <row r="35" spans="1:2">
      <c r="A35" s="2832" t="s">
        <v>2712</v>
      </c>
      <c r="B35" s="2833">
        <f>'预评函-2'!H5</f>
        <v>1.5</v>
      </c>
    </row>
    <row r="36" spans="1:2">
      <c r="A36" s="2832" t="s">
        <v>2713</v>
      </c>
      <c r="B36" s="2833">
        <f>'预评函-2'!I5</f>
        <v>1.5</v>
      </c>
    </row>
    <row r="37" spans="1:2">
      <c r="A37" s="2832" t="s">
        <v>2714</v>
      </c>
      <c r="B37" s="2833">
        <f>'预评函-2'!J5</f>
        <v>1.5</v>
      </c>
    </row>
    <row r="38" spans="1:2">
      <c r="A38" s="2832" t="s">
        <v>2715</v>
      </c>
      <c r="B38" s="2833" t="str">
        <f>'预评函-2'!K5</f>
        <v>红线外七通、宗地红线内</v>
      </c>
    </row>
    <row r="39" spans="1:2">
      <c r="A39" s="2832" t="s">
        <v>2716</v>
      </c>
      <c r="B39" s="2833" t="str">
        <f>'预评函-2'!L5</f>
        <v>红线外七通、宗地红线内场地</v>
      </c>
    </row>
    <row r="40" spans="1:2">
      <c r="A40" s="2832" t="s">
        <v>2735</v>
      </c>
      <c r="B40" s="2833" t="str">
        <f>'预评函-2'!M3</f>
        <v>（剩余）土地使用年限/年</v>
      </c>
    </row>
    <row r="41" spans="1:2">
      <c r="A41" s="2832" t="s">
        <v>2717</v>
      </c>
      <c r="B41" s="2833">
        <f>'预评函-2'!M5</f>
        <v>0</v>
      </c>
    </row>
    <row r="42" spans="1:2">
      <c r="A42" s="2832" t="s">
        <v>2736</v>
      </c>
      <c r="B42" s="2833" t="str">
        <f>'预评函-2'!N3</f>
        <v>（分摊）出让国有建设用地使用权面积/㎡</v>
      </c>
    </row>
    <row r="43" spans="1:2">
      <c r="A43" s="2832" t="s">
        <v>2718</v>
      </c>
      <c r="B43" s="2833">
        <f>'预评函-2'!N5</f>
        <v>223160.97</v>
      </c>
    </row>
    <row r="44" spans="1:2">
      <c r="A44" s="2832" t="s">
        <v>2737</v>
      </c>
      <c r="B44" s="2833" t="str">
        <f>'预评函-2'!O3</f>
        <v>规划建筑面积/㎡</v>
      </c>
    </row>
    <row r="45" spans="1:2">
      <c r="A45" s="2832" t="s">
        <v>2719</v>
      </c>
      <c r="B45" s="2833">
        <f>'预评函-2'!O5</f>
        <v>781063.4</v>
      </c>
    </row>
    <row r="46" spans="1:2">
      <c r="A46" s="2832" t="s">
        <v>2720</v>
      </c>
      <c r="B46" s="2833">
        <f ca="1">'预评函-2'!P5</f>
        <v>8646</v>
      </c>
    </row>
    <row r="47" spans="1:2">
      <c r="A47" s="2832" t="s">
        <v>2721</v>
      </c>
      <c r="B47" s="2833">
        <f ca="1">'预评函-2'!Q5</f>
        <v>2470</v>
      </c>
    </row>
    <row r="48" spans="1:2">
      <c r="A48" s="2832" t="s">
        <v>2722</v>
      </c>
      <c r="B48" s="2833">
        <f ca="1">'预评函-2'!R5</f>
        <v>192955</v>
      </c>
    </row>
    <row r="49" spans="1:2">
      <c r="A49" s="2832" t="s">
        <v>2738</v>
      </c>
      <c r="B49" s="2833" t="str">
        <f>'预评函-2'!A6</f>
        <v>抵押价格</v>
      </c>
    </row>
    <row r="50" spans="1:2">
      <c r="A50" s="2832" t="s">
        <v>2723</v>
      </c>
      <c r="B50" s="2833">
        <f ca="1">'预评函-2'!R6</f>
        <v>192955</v>
      </c>
    </row>
    <row r="51" spans="1:2">
      <c r="A51" s="2832" t="s">
        <v>2739</v>
      </c>
      <c r="B51" s="2833" t="str">
        <f>'预评函-2'!A7</f>
        <v>——</v>
      </c>
    </row>
    <row r="52" spans="1:2">
      <c r="A52" s="2832" t="s">
        <v>2724</v>
      </c>
      <c r="B52" s="2833" t="str">
        <f>'预评函-2'!R7</f>
        <v>——</v>
      </c>
    </row>
    <row r="53" spans="1:2">
      <c r="A53" s="2832" t="s">
        <v>2740</v>
      </c>
      <c r="B53" s="2833">
        <f>'预评函-2'!A8</f>
        <v>0</v>
      </c>
    </row>
    <row r="54" spans="1:2" s="2847" customFormat="1" ht="16.2" thickBot="1">
      <c r="A54" s="2854" t="s">
        <v>2725</v>
      </c>
      <c r="B54" s="2855" t="str">
        <f>'预评函-2'!R8</f>
        <v>——</v>
      </c>
    </row>
    <row r="55" spans="1:2" ht="16.2" thickTop="1">
      <c r="A55" s="2843" t="s">
        <v>2675</v>
      </c>
      <c r="B55" s="2844" t="str">
        <f>'预评函-3'!A2</f>
        <v>1.权利限制：根据估价对象《不动产权证书》原件、《国有土地使用权》复印件，截至估价期日，估价对象抵押权未见登记。未设定租赁等其他他项权利。</v>
      </c>
    </row>
    <row r="56" spans="1:2">
      <c r="A56" s="2832" t="s">
        <v>2676</v>
      </c>
      <c r="B56" s="2833" t="str">
        <f>'预评函-3'!A3</f>
        <v>2.基础设施条件：估价对象实际开发程度为红线外七通、宗地红线内；本次评估设定开发程度为红线外七通、宗地红线内场地。</v>
      </c>
    </row>
    <row r="57" spans="1:2">
      <c r="A57" s="2832" t="s">
        <v>2677</v>
      </c>
      <c r="B57" s="2833" t="str">
        <f>'预评函-3'!A4</f>
        <v>3.估价规划限制条件：详见《建设工程规划许可证》[]、《出让合同》[]。</v>
      </c>
    </row>
    <row r="58" spans="1:2" s="2847" customFormat="1" ht="16.2" thickBot="1">
      <c r="A58" s="2854" t="s">
        <v>2726</v>
      </c>
      <c r="B58" s="2855" t="str">
        <f>'预评函-3'!A5</f>
        <v>4.影响价格的其他限定条件：无。</v>
      </c>
    </row>
    <row r="59" spans="1:2" ht="16.2" thickTop="1">
      <c r="A59" s="2843" t="s">
        <v>2678</v>
      </c>
      <c r="B59" s="2844" t="str">
        <f>'预评函-3'!A8</f>
        <v>2.本《评估意见函》仅供金融机构进行内部审核使用，不做其他目的之用。</v>
      </c>
    </row>
    <row r="60" spans="1:2">
      <c r="A60" s="2832" t="s">
        <v>2679</v>
      </c>
      <c r="B60" s="2833" t="str">
        <f>'预评函-3'!A9</f>
        <v>3.抵押双方在办理抵押登记手续时，应使用本公司出具的正式《土地估价报告》，特提请报告使用者注意。</v>
      </c>
    </row>
    <row r="61" spans="1:2">
      <c r="A61" s="2832" t="s">
        <v>2681</v>
      </c>
      <c r="B61" s="2833" t="str">
        <f>'预评函-3'!A10</f>
        <v>4.估价师所知悉的法定优先受偿款情况为：</v>
      </c>
    </row>
    <row r="62" spans="1:2">
      <c r="A62" s="2832" t="s">
        <v>2680</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2682</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2683</v>
      </c>
      <c r="B64" s="2838" t="str">
        <f>'预评函-3'!A13</f>
        <v>（3）。</v>
      </c>
    </row>
    <row r="65" spans="1:2">
      <c r="A65" s="2832" t="s">
        <v>2684</v>
      </c>
      <c r="B65" s="2839" t="str">
        <f>'预评函-3'!A14</f>
        <v>综上，本次评估不存在估价师知悉的法定优先受偿款</v>
      </c>
    </row>
    <row r="66" spans="1:2">
      <c r="A66" s="2832" t="s">
        <v>2685</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2686</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2689</v>
      </c>
      <c r="B68" s="2858">
        <f>'预评函-3'!D30</f>
        <v>42558</v>
      </c>
    </row>
    <row r="69" spans="1:2" ht="16.2" thickTop="1">
      <c r="A69" s="2843" t="s">
        <v>2687</v>
      </c>
      <c r="B69" s="2844" t="str">
        <f>'预评函-3'!A20</f>
        <v>王鹏</v>
      </c>
    </row>
    <row r="70" spans="1:2">
      <c r="A70" s="2832" t="s">
        <v>2687</v>
      </c>
      <c r="B70" s="2839">
        <f ca="1">'预评函-3'!B20</f>
        <v>2002110030</v>
      </c>
    </row>
    <row r="71" spans="1:2">
      <c r="A71" s="2832" t="s">
        <v>2688</v>
      </c>
      <c r="B71" s="2833" t="str">
        <f>'预评函-3'!A21</f>
        <v>郑燚</v>
      </c>
    </row>
    <row r="72" spans="1:2" s="2847" customFormat="1" ht="16.2" thickBot="1">
      <c r="A72" s="2854" t="s">
        <v>2688</v>
      </c>
      <c r="B72" s="2860">
        <f ca="1">'预评函-3'!B21</f>
        <v>2014110011</v>
      </c>
    </row>
    <row r="73" spans="1:2" ht="16.2" thickTop="1">
      <c r="A73" s="2843" t="s">
        <v>2747</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2748</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2749</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2784</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5.6"/>
  <cols>
    <col min="1" max="1" width="15.33203125" style="1674" customWidth="1"/>
    <col min="2" max="2" width="11.33203125" style="1674" customWidth="1"/>
    <col min="3" max="3" width="12.6640625" style="1674" customWidth="1"/>
    <col min="4" max="4" width="12.21875"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2" t="s">
        <v>1935</v>
      </c>
      <c r="B1" s="3281" t="str">
        <f>IF(B10="北京市","北京市",C10)&amp;F10&amp;B16&amp;"国有建设用地使用权"&amp;B9&amp;"预评估"</f>
        <v>咸阳市秦都区文兴路335亩项目出让国有建设用地使用权抵押价格预评估</v>
      </c>
      <c r="C1" s="3282"/>
      <c r="D1" s="3282"/>
      <c r="E1" s="3282"/>
      <c r="F1" s="3282"/>
      <c r="G1" s="3282"/>
      <c r="H1" s="3282"/>
      <c r="I1" s="3283"/>
      <c r="J1" s="1677"/>
      <c r="K1" s="2418" t="str">
        <f>IF(B10="北京市","北京市",C10)&amp;F10&amp;B16&amp;"国有建设用地使用权"&amp;B9</f>
        <v>咸阳市秦都区文兴路335亩项目出让国有建设用地使用权抵押价格</v>
      </c>
      <c r="L1" s="1706"/>
      <c r="M1" s="1706"/>
      <c r="N1" s="1677"/>
      <c r="O1" s="1678"/>
      <c r="P1" s="1677"/>
      <c r="Q1" s="1677"/>
      <c r="R1" s="1677"/>
      <c r="S1" s="1677"/>
      <c r="T1" s="1677"/>
      <c r="U1" s="1677"/>
    </row>
    <row r="2" spans="1:21">
      <c r="A2" s="1643" t="s">
        <v>1936</v>
      </c>
      <c r="B2" s="1825" t="s">
        <v>3477</v>
      </c>
      <c r="D2" s="1677"/>
      <c r="E2" s="1677"/>
      <c r="F2" s="1677"/>
      <c r="G2" s="1677"/>
      <c r="H2" s="1643"/>
      <c r="I2" s="1678"/>
      <c r="J2" s="1677"/>
      <c r="K2" s="2418" t="str">
        <f>IF(B10="北京市","北京市",C10)&amp;F10&amp;B16&amp;"国有建设用地使用权"</f>
        <v>咸阳市秦都区文兴路335亩项目出让国有建设用地使用权</v>
      </c>
      <c r="L2" s="1706"/>
      <c r="M2" s="1706"/>
      <c r="N2" s="1677"/>
      <c r="O2" s="1678"/>
      <c r="P2" s="1677"/>
      <c r="Q2" s="1677"/>
      <c r="R2" s="1677"/>
      <c r="S2" s="1677"/>
      <c r="T2" s="1677"/>
      <c r="U2" s="1677"/>
    </row>
    <row r="3" spans="1:21">
      <c r="A3" s="1644" t="s">
        <v>1937</v>
      </c>
      <c r="B3" s="1645"/>
      <c r="C3" s="1646" t="s">
        <v>1993</v>
      </c>
      <c r="D3" s="1645">
        <v>43902</v>
      </c>
      <c r="E3" s="1677"/>
      <c r="F3" s="1677"/>
      <c r="G3" s="1677"/>
      <c r="H3" s="1643"/>
      <c r="I3" s="1678"/>
      <c r="J3" s="1677"/>
      <c r="K3" s="1757"/>
      <c r="L3" s="1706"/>
      <c r="M3" s="1706"/>
      <c r="N3" s="1677"/>
      <c r="O3" s="1678"/>
      <c r="P3" s="1677"/>
      <c r="Q3" s="1677"/>
      <c r="R3" s="1677"/>
      <c r="S3" s="1677"/>
      <c r="T3" s="1677"/>
      <c r="U3" s="1677"/>
    </row>
    <row r="4" spans="1:21" ht="16.2" thickBot="1">
      <c r="A4" s="1647" t="s">
        <v>1938</v>
      </c>
      <c r="B4" s="1826" t="s">
        <v>2993</v>
      </c>
      <c r="C4" s="1829">
        <f ca="1">SUMIF(土地估价师,B4,估价师及机构信息!E3:E24)</f>
        <v>2002110030</v>
      </c>
      <c r="D4" s="1826" t="s">
        <v>2994</v>
      </c>
      <c r="E4" s="1829">
        <f ca="1">SUMIF(土地估价师,D4,估价师及机构信息!E3:E24)</f>
        <v>2014110011</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王鹏、郑燚</v>
      </c>
      <c r="L4" s="1706"/>
      <c r="M4" s="1706"/>
      <c r="N4" s="1677"/>
      <c r="O4" s="1678"/>
      <c r="P4" s="1677"/>
      <c r="Q4" s="1677"/>
      <c r="R4" s="1677"/>
      <c r="S4" s="1677"/>
      <c r="T4" s="1677"/>
      <c r="U4" s="1677"/>
    </row>
    <row r="5" spans="1:21" ht="16.2" thickTop="1">
      <c r="A5" s="1648" t="s">
        <v>1939</v>
      </c>
      <c r="B5" s="1772"/>
      <c r="C5" s="1649"/>
      <c r="D5" s="1650"/>
      <c r="E5" s="1677"/>
      <c r="F5" s="1677"/>
      <c r="G5" s="1677"/>
      <c r="H5" s="1643"/>
      <c r="I5" s="1678"/>
      <c r="J5" s="1677"/>
      <c r="K5" s="1757"/>
      <c r="L5" s="1706"/>
      <c r="M5" s="1706"/>
      <c r="N5" s="1677"/>
      <c r="O5" s="1678"/>
      <c r="P5" s="1677"/>
      <c r="Q5" s="1677"/>
      <c r="R5" s="1677"/>
      <c r="S5" s="1677"/>
      <c r="T5" s="1677"/>
      <c r="U5" s="1677"/>
    </row>
    <row r="6" spans="1:21" ht="27.6">
      <c r="A6" s="1646" t="s">
        <v>2703</v>
      </c>
      <c r="B6" s="3229" t="s">
        <v>3478</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2704</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1940</v>
      </c>
      <c r="B8" s="1653" t="s">
        <v>2985</v>
      </c>
      <c r="C8" s="1654"/>
      <c r="D8" s="3287" t="s">
        <v>1942</v>
      </c>
      <c r="E8" s="1827" t="s">
        <v>2995</v>
      </c>
      <c r="F8" s="1655"/>
      <c r="G8" s="1643"/>
      <c r="H8" s="1643"/>
      <c r="I8" s="1690"/>
      <c r="J8" s="1677"/>
      <c r="K8" s="1757"/>
      <c r="L8" s="1706"/>
      <c r="M8" s="1706"/>
      <c r="N8" s="1677"/>
      <c r="O8" s="1678"/>
      <c r="P8" s="1677"/>
      <c r="Q8" s="1677"/>
      <c r="R8" s="1677"/>
      <c r="S8" s="1677"/>
      <c r="T8" s="1677"/>
      <c r="U8" s="1677"/>
    </row>
    <row r="9" spans="1:21" ht="16.2" thickBot="1">
      <c r="A9" s="1656" t="s">
        <v>1941</v>
      </c>
      <c r="B9" s="1657" t="s">
        <v>2995</v>
      </c>
      <c r="C9" s="1658"/>
      <c r="D9" s="3288"/>
      <c r="E9" s="1657"/>
      <c r="F9" s="1730"/>
      <c r="G9" s="1725"/>
      <c r="H9" s="1725"/>
      <c r="I9" s="1726"/>
      <c r="J9" s="1677"/>
      <c r="K9" s="1757"/>
      <c r="L9" s="1706"/>
      <c r="M9" s="1706"/>
      <c r="N9" s="1677"/>
      <c r="O9" s="1678"/>
      <c r="P9" s="1677"/>
      <c r="Q9" s="1677"/>
      <c r="R9" s="1677"/>
      <c r="S9" s="1677"/>
      <c r="T9" s="1677"/>
      <c r="U9" s="1677"/>
    </row>
    <row r="10" spans="1:21" ht="16.2" thickTop="1">
      <c r="A10" s="1727" t="s">
        <v>1997</v>
      </c>
      <c r="B10" s="1702" t="s">
        <v>2996</v>
      </c>
      <c r="C10" s="1659"/>
      <c r="D10" s="1650"/>
      <c r="E10" s="1660" t="s">
        <v>1944</v>
      </c>
      <c r="F10" s="1661" t="s">
        <v>2999</v>
      </c>
      <c r="G10" s="1728"/>
      <c r="H10" s="1729"/>
      <c r="I10" s="1650"/>
      <c r="J10" s="1677"/>
      <c r="K10" s="1757"/>
      <c r="L10" s="1706"/>
      <c r="M10" s="1706"/>
      <c r="N10" s="1677"/>
      <c r="O10" s="1678"/>
      <c r="P10" s="1677"/>
      <c r="Q10" s="1677"/>
      <c r="R10" s="1677"/>
      <c r="S10" s="1677"/>
      <c r="T10" s="1677"/>
      <c r="U10" s="1677"/>
    </row>
    <row r="11" spans="1:21">
      <c r="A11" s="1680" t="s">
        <v>1998</v>
      </c>
      <c r="B11" s="1681" t="s">
        <v>2997</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2056</v>
      </c>
      <c r="B12" s="3284"/>
      <c r="C12" s="3285"/>
      <c r="D12" s="3286"/>
      <c r="E12" s="1682" t="s">
        <v>2059</v>
      </c>
      <c r="F12" s="3302" t="s">
        <v>2886</v>
      </c>
      <c r="G12" s="3303"/>
      <c r="H12" s="3303"/>
      <c r="I12" s="3304"/>
      <c r="J12" s="1677"/>
      <c r="K12" s="1757"/>
      <c r="L12" s="1706"/>
      <c r="M12" s="1706"/>
      <c r="N12" s="1677"/>
      <c r="O12" s="1678"/>
      <c r="P12" s="1677"/>
      <c r="Q12" s="1677"/>
      <c r="R12" s="1677"/>
      <c r="S12" s="1677"/>
      <c r="T12" s="1677"/>
      <c r="U12" s="1677"/>
    </row>
    <row r="13" spans="1:21">
      <c r="A13" s="1670" t="s">
        <v>2057</v>
      </c>
      <c r="B13" s="3284"/>
      <c r="C13" s="3285"/>
      <c r="D13" s="3286"/>
      <c r="E13" s="1682" t="s">
        <v>2059</v>
      </c>
      <c r="F13" s="3302" t="s">
        <v>2887</v>
      </c>
      <c r="G13" s="3303"/>
      <c r="H13" s="3303"/>
      <c r="I13" s="3304"/>
      <c r="J13" s="1677"/>
      <c r="K13" s="1757"/>
      <c r="L13" s="1706"/>
      <c r="M13" s="1706"/>
      <c r="N13" s="1677"/>
      <c r="O13" s="1678"/>
      <c r="P13" s="1677"/>
      <c r="Q13" s="1677"/>
      <c r="R13" s="1677"/>
      <c r="S13" s="1677"/>
      <c r="T13" s="1677"/>
      <c r="U13" s="1677"/>
    </row>
    <row r="14" spans="1:21">
      <c r="A14" s="1644" t="s">
        <v>2060</v>
      </c>
      <c r="B14" s="1682"/>
      <c r="C14" s="1828" t="s">
        <v>2998</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31.2">
      <c r="A16" s="1663" t="s">
        <v>1945</v>
      </c>
      <c r="B16" s="1664" t="s">
        <v>2980</v>
      </c>
      <c r="C16" s="1682" t="s">
        <v>1946</v>
      </c>
      <c r="D16" s="2609" t="s">
        <v>1947</v>
      </c>
      <c r="E16" s="1705" t="s">
        <v>3026</v>
      </c>
      <c r="F16" s="1705"/>
      <c r="G16" s="1705"/>
      <c r="H16" s="1705"/>
      <c r="I16" s="1669" t="s">
        <v>1952</v>
      </c>
      <c r="J16" s="1677"/>
      <c r="K16" s="2419" t="str">
        <f>IF(D17="","",D16&amp;TEXT(D17,"yyyy年m月d日;;"))</f>
        <v>住宅2090年3月2日</v>
      </c>
      <c r="L16" s="1682" t="str">
        <f>IF(OR(K16="",M16=""),"","、")</f>
        <v>、</v>
      </c>
      <c r="M16" s="2419" t="str">
        <f>IF(E17="","",E16&amp;TEXT(E17,"yyyy年m月d日;;"))</f>
        <v>商业2060年3月2日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1953</v>
      </c>
      <c r="D17" s="1683">
        <v>69459</v>
      </c>
      <c r="E17" s="1683">
        <v>58502</v>
      </c>
      <c r="F17" s="1683"/>
      <c r="G17" s="1683"/>
      <c r="H17" s="1683"/>
      <c r="I17" s="1683"/>
      <c r="J17" s="1677"/>
      <c r="K17" s="2418" t="str">
        <f>CONCATENATE(K16,L16,M16,N16,O16,P16,Q16,R16,S16,T16,,U16)</f>
        <v>住宅2090年3月2日、商业2060年3月2日</v>
      </c>
      <c r="L17" s="1706"/>
      <c r="M17" s="1706"/>
      <c r="N17" s="1677"/>
      <c r="O17" s="1678"/>
      <c r="P17" s="1677"/>
      <c r="Q17" s="1677"/>
      <c r="R17" s="1677"/>
      <c r="S17" s="1677"/>
      <c r="T17" s="1677"/>
      <c r="U17" s="1677"/>
    </row>
    <row r="18" spans="1:21">
      <c r="A18" s="1746"/>
      <c r="B18" s="1665"/>
      <c r="C18" s="1666" t="s">
        <v>1954</v>
      </c>
      <c r="D18" s="1667">
        <v>70</v>
      </c>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1955</v>
      </c>
      <c r="D19" s="1741">
        <f>IF(B16="出让",IF(D17="","",ROUNDDOWN(MIN((D17-$D$3)/365,D18),2)),D18)</f>
        <v>70</v>
      </c>
      <c r="E19" s="1668">
        <f>IF(B16="出让",IF(E17="","",ROUNDDOWN(MIN((E17-$D$3)/365,E18),2)),E18)</f>
        <v>40</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2058</v>
      </c>
      <c r="D20" s="3299"/>
      <c r="E20" s="3300"/>
      <c r="F20" s="3300"/>
      <c r="G20" s="3300"/>
      <c r="H20" s="3300"/>
      <c r="I20" s="3301"/>
      <c r="J20" s="1677"/>
      <c r="K20" s="1757"/>
      <c r="L20" s="1706"/>
      <c r="M20" s="1706"/>
      <c r="N20" s="1677"/>
      <c r="O20" s="1678"/>
      <c r="P20" s="1677"/>
      <c r="Q20" s="1677"/>
      <c r="R20" s="1677"/>
      <c r="S20" s="1677"/>
      <c r="T20" s="1677"/>
      <c r="U20" s="1677"/>
    </row>
    <row r="21" spans="1:21">
      <c r="A21" s="1746" t="s">
        <v>1956</v>
      </c>
      <c r="B21" s="1747" t="s">
        <v>1957</v>
      </c>
      <c r="C21" s="1742">
        <f>'数据-汇总表'!E3</f>
        <v>781063.4</v>
      </c>
      <c r="D21" s="1743" t="s">
        <v>1958</v>
      </c>
      <c r="E21" s="3289" t="s">
        <v>1996</v>
      </c>
      <c r="F21" s="3290"/>
      <c r="G21" s="3290"/>
      <c r="H21" s="3290"/>
      <c r="I21" s="3291"/>
      <c r="J21" s="1677"/>
      <c r="K21" s="1757"/>
      <c r="L21" s="1706"/>
      <c r="M21" s="1706"/>
      <c r="N21" s="1677"/>
      <c r="O21" s="1678"/>
      <c r="P21" s="1677"/>
      <c r="Q21" s="1677"/>
      <c r="R21" s="1677"/>
      <c r="S21" s="1677"/>
      <c r="T21" s="1677"/>
      <c r="U21" s="1677"/>
    </row>
    <row r="22" spans="1:21">
      <c r="A22" s="3094" t="s">
        <v>952</v>
      </c>
      <c r="B22" s="1644" t="s">
        <v>1959</v>
      </c>
      <c r="C22" s="1669">
        <f>'数据-汇总表'!D3</f>
        <v>223160.97</v>
      </c>
      <c r="D22" s="1670" t="s">
        <v>1958</v>
      </c>
      <c r="E22" s="3289" t="s">
        <v>2888</v>
      </c>
      <c r="F22" s="3290"/>
      <c r="G22" s="3290"/>
      <c r="H22" s="3290"/>
      <c r="I22" s="3291"/>
      <c r="J22" s="1677"/>
      <c r="K22" s="1757"/>
      <c r="L22" s="1706"/>
      <c r="M22" s="1706"/>
      <c r="N22" s="1677"/>
      <c r="O22" s="1678"/>
      <c r="P22" s="1677"/>
      <c r="Q22" s="1677"/>
      <c r="R22" s="1677"/>
      <c r="S22" s="1677"/>
      <c r="T22" s="1677"/>
      <c r="U22" s="1677"/>
    </row>
    <row r="23" spans="1:21" ht="47.4"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292" t="s">
        <v>1964</v>
      </c>
      <c r="C24" s="3293"/>
      <c r="D24" s="3294" t="s">
        <v>1965</v>
      </c>
      <c r="E24" s="3295"/>
      <c r="F24" s="1691" t="s">
        <v>1966</v>
      </c>
      <c r="G24" s="1677"/>
      <c r="H24" s="1677"/>
      <c r="I24" s="1690"/>
      <c r="J24" s="1677"/>
      <c r="K24" s="3280" t="s">
        <v>1967</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1.2">
      <c r="A25" s="1734"/>
      <c r="B25" s="1731" t="s">
        <v>2323</v>
      </c>
      <c r="C25" s="1692" t="s">
        <v>1968</v>
      </c>
      <c r="D25" s="1693"/>
      <c r="E25" s="1694" t="s">
        <v>952</v>
      </c>
      <c r="F25" s="1695"/>
      <c r="G25" s="1677"/>
      <c r="H25" s="1677"/>
      <c r="I25" s="1690"/>
      <c r="J25" s="1677"/>
      <c r="K25" s="3280"/>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47.4" thickBot="1">
      <c r="A26" s="1735"/>
      <c r="B26" s="1732" t="s">
        <v>1969</v>
      </c>
      <c r="C26" s="1692" t="s">
        <v>2324</v>
      </c>
      <c r="D26" s="1643"/>
      <c r="E26" s="1643"/>
      <c r="F26" s="1671"/>
      <c r="G26" s="1677"/>
      <c r="H26" s="1677"/>
      <c r="I26" s="1690"/>
      <c r="J26" s="1677"/>
      <c r="K26" s="3280"/>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6.2" thickTop="1">
      <c r="A31" s="3307" t="s">
        <v>1999</v>
      </c>
      <c r="B31" s="1747" t="s">
        <v>2000</v>
      </c>
      <c r="C31" s="3305"/>
      <c r="D31" s="3306"/>
      <c r="E31" s="1677"/>
      <c r="F31" s="1677"/>
      <c r="G31" s="1677"/>
      <c r="H31" s="1677"/>
      <c r="I31" s="1690"/>
      <c r="J31" s="1677"/>
      <c r="K31" s="2421"/>
      <c r="L31" s="1677"/>
      <c r="M31" s="1677"/>
      <c r="N31" s="1677"/>
      <c r="O31" s="1677"/>
      <c r="P31" s="1677"/>
      <c r="Q31" s="1677"/>
      <c r="R31" s="1677"/>
      <c r="S31" s="1677"/>
      <c r="T31" s="1677"/>
      <c r="U31" s="1677"/>
    </row>
    <row r="32" spans="1:21">
      <c r="A32" s="3307"/>
      <c r="B32" s="1644" t="s">
        <v>2001</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307"/>
      <c r="B33" s="1644" t="s">
        <v>2002</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308"/>
      <c r="B34" s="1644" t="s">
        <v>2003</v>
      </c>
      <c r="C34" s="3309"/>
      <c r="D34" s="3310"/>
      <c r="E34" s="1677"/>
      <c r="F34" s="1677"/>
      <c r="G34" s="1677"/>
      <c r="H34" s="1677"/>
      <c r="I34" s="1690"/>
      <c r="J34" s="1677"/>
      <c r="K34" s="2421"/>
      <c r="L34" s="1677"/>
      <c r="M34" s="1677"/>
      <c r="N34" s="1677"/>
      <c r="O34" s="1677"/>
      <c r="P34" s="1677"/>
      <c r="Q34" s="1677"/>
      <c r="R34" s="1677"/>
      <c r="S34" s="1677"/>
      <c r="T34" s="1677"/>
      <c r="U34" s="1677"/>
    </row>
    <row r="35" spans="1:21">
      <c r="A35" s="3311" t="s">
        <v>847</v>
      </c>
      <c r="B35" s="1705"/>
      <c r="C35" s="1759" t="str">
        <f>IF(B35="场地平整","——","具体情况：")</f>
        <v>具体情况：</v>
      </c>
      <c r="D35" s="3313"/>
      <c r="E35" s="3314"/>
      <c r="F35" s="3314"/>
      <c r="G35" s="3314"/>
      <c r="H35" s="3314"/>
      <c r="I35" s="3315"/>
      <c r="J35" s="1677"/>
      <c r="K35" s="1758"/>
      <c r="L35" s="1706"/>
      <c r="M35" s="1706"/>
      <c r="N35" s="1677"/>
      <c r="O35" s="1678"/>
      <c r="P35" s="1677"/>
      <c r="Q35" s="1677"/>
      <c r="R35" s="1677"/>
      <c r="S35" s="1677"/>
      <c r="T35" s="1677"/>
      <c r="U35" s="1677"/>
    </row>
    <row r="36" spans="1:21">
      <c r="A36" s="3307"/>
      <c r="B36" s="3316" t="s">
        <v>2052</v>
      </c>
      <c r="C36" s="3317"/>
      <c r="D36" s="1775"/>
      <c r="E36" s="3318"/>
      <c r="F36" s="3318"/>
      <c r="G36" s="1670" t="str">
        <f>IF(B35="场地未平整","估价结果处理","")</f>
        <v/>
      </c>
      <c r="H36" s="3319"/>
      <c r="I36" s="3319"/>
      <c r="J36" s="1677"/>
      <c r="K36" s="1758"/>
      <c r="L36" s="1706"/>
      <c r="M36" s="1706"/>
      <c r="N36" s="1677"/>
      <c r="O36" s="1678"/>
      <c r="P36" s="1677"/>
      <c r="Q36" s="1677"/>
      <c r="R36" s="1677"/>
      <c r="S36" s="1677"/>
      <c r="T36" s="1677"/>
      <c r="U36" s="1677"/>
    </row>
    <row r="37" spans="1:21" ht="31.2">
      <c r="A37" s="3307"/>
      <c r="B37" s="3296"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307"/>
      <c r="B38" s="3297"/>
      <c r="C38" s="1652" t="s">
        <v>850</v>
      </c>
      <c r="D38" s="1774">
        <f>ROUNDDOWN(MIN(('数据-取费表'!$B$2-D37)/365,D34),1)</f>
        <v>120.2</v>
      </c>
      <c r="E38" s="1710" t="s">
        <v>851</v>
      </c>
      <c r="F38" s="1677"/>
      <c r="G38" s="1677"/>
      <c r="H38" s="1677"/>
      <c r="I38" s="1690"/>
      <c r="J38" s="1677"/>
      <c r="K38" s="1758"/>
      <c r="L38" s="1677"/>
      <c r="M38" s="1677"/>
      <c r="N38" s="1677"/>
      <c r="O38" s="1677"/>
      <c r="P38" s="1677"/>
      <c r="Q38" s="1677"/>
      <c r="R38" s="1677"/>
      <c r="S38" s="1677"/>
      <c r="T38" s="1677"/>
      <c r="U38" s="1677"/>
    </row>
    <row r="39" spans="1:21">
      <c r="A39" s="3308"/>
      <c r="B39" s="3298"/>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c r="C40" s="1673"/>
      <c r="D40" s="1673"/>
      <c r="E40" s="1673"/>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279" t="s">
        <v>1983</v>
      </c>
      <c r="T40" s="1714" t="str">
        <f>NUMBERSTRING(7-K40,1)&amp;"通"</f>
        <v>七通</v>
      </c>
      <c r="U40" s="1677"/>
    </row>
    <row r="41" spans="1:21">
      <c r="A41" s="1646"/>
      <c r="B41" s="3312" t="s">
        <v>1721</v>
      </c>
      <c r="C41" s="3312"/>
      <c r="D41" s="3312"/>
      <c r="E41" s="3312"/>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79"/>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2889</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7" sqref="K17"/>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1.109375" style="15" customWidth="1"/>
    <col min="10" max="10" width="9.44140625" style="15" customWidth="1"/>
    <col min="11" max="11" width="11" style="15" customWidth="1"/>
    <col min="12" max="12" width="9.44140625" style="15" customWidth="1"/>
    <col min="13"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2331</v>
      </c>
      <c r="BA2" s="2324"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f>Sheet3!L10</f>
        <v>223160.97</v>
      </c>
      <c r="B3" s="22">
        <f>IF(C3="否",G5-AT5,G5)</f>
        <v>781063.4</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781063.4</v>
      </c>
      <c r="H5" s="27">
        <f t="shared" ref="H5:AT5" si="0">SUM(H13:H641)</f>
        <v>768036</v>
      </c>
      <c r="I5" s="27">
        <f t="shared" si="0"/>
        <v>740899</v>
      </c>
      <c r="J5" s="27">
        <f t="shared" si="0"/>
        <v>0</v>
      </c>
      <c r="K5" s="27">
        <f t="shared" si="0"/>
        <v>27137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13027.400000000023</v>
      </c>
      <c r="AD5" s="27">
        <f t="shared" si="0"/>
        <v>13027.400000000023</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781063.4</v>
      </c>
      <c r="BA5" s="29">
        <f t="shared" si="1"/>
        <v>768036</v>
      </c>
      <c r="BB5" s="29">
        <f t="shared" si="1"/>
        <v>740899</v>
      </c>
      <c r="BC5" s="29">
        <f t="shared" si="1"/>
        <v>27137</v>
      </c>
      <c r="BD5" s="29">
        <f t="shared" si="1"/>
        <v>0</v>
      </c>
      <c r="BE5" s="29">
        <f t="shared" si="1"/>
        <v>0</v>
      </c>
      <c r="BF5" s="29">
        <f t="shared" si="1"/>
        <v>0</v>
      </c>
      <c r="BG5" s="29">
        <f t="shared" si="1"/>
        <v>0</v>
      </c>
      <c r="BH5" s="29">
        <f t="shared" si="1"/>
        <v>0</v>
      </c>
      <c r="BI5" s="29">
        <f t="shared" si="1"/>
        <v>0</v>
      </c>
      <c r="BJ5" s="29">
        <f t="shared" si="1"/>
        <v>0</v>
      </c>
      <c r="BK5" s="29">
        <f t="shared" si="1"/>
        <v>0</v>
      </c>
      <c r="BL5" s="29">
        <f t="shared" si="1"/>
        <v>13027.400000000023</v>
      </c>
      <c r="BM5" s="29">
        <f t="shared" si="1"/>
        <v>13027.400000000023</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223160.96999999997</v>
      </c>
      <c r="F6" s="27" t="s">
        <v>1</v>
      </c>
      <c r="G6" s="27" t="s">
        <v>2</v>
      </c>
      <c r="H6" s="33">
        <f>SUMIF(I$12:AB$12,"总值",I6:AB6)</f>
        <v>219438.86</v>
      </c>
      <c r="I6" s="27">
        <f t="shared" ref="I6:AB6" si="2">ROUND($A$3*I5/$B$3,2)</f>
        <v>211685.43</v>
      </c>
      <c r="J6" s="27">
        <f t="shared" si="2"/>
        <v>0</v>
      </c>
      <c r="K6" s="27">
        <f t="shared" si="2"/>
        <v>7753.43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3722.11</v>
      </c>
      <c r="AD6" s="27">
        <f t="shared" ref="AD6:AS6" si="3">ROUND($A$3*AD5/$B$3,2)</f>
        <v>3722.11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223160.97</v>
      </c>
      <c r="AZ6" s="27" t="s">
        <v>3</v>
      </c>
      <c r="BA6" s="27">
        <f>ROUND($AY$6*BA5/$AZ$5,2)</f>
        <v>219438.86</v>
      </c>
      <c r="BB6" s="27">
        <f>ROUND($AY$6*BB5/$AZ$5,2)</f>
        <v>211685.43</v>
      </c>
      <c r="BC6" s="27">
        <f t="shared" ref="BC6:BH6" si="4">ROUND($AY$6*BC5/$AZ$5,2)</f>
        <v>7753.43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3722.11</v>
      </c>
      <c r="BM6" s="27">
        <f t="shared" si="5"/>
        <v>3722.11</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70" t="s">
        <v>3033</v>
      </c>
      <c r="J9" s="51"/>
      <c r="K9" s="2970" t="s">
        <v>3033</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70" t="s">
        <v>923</v>
      </c>
      <c r="J10" s="51"/>
      <c r="K10" s="2972" t="s">
        <v>3026</v>
      </c>
      <c r="L10" s="51"/>
      <c r="M10" s="2972"/>
      <c r="N10" s="51"/>
      <c r="O10" s="66"/>
      <c r="P10" s="51"/>
      <c r="Q10" s="66"/>
      <c r="R10" s="51"/>
      <c r="S10" s="66"/>
      <c r="T10" s="51"/>
      <c r="U10" s="66"/>
      <c r="V10" s="51"/>
      <c r="W10" s="66"/>
      <c r="X10" s="51"/>
      <c r="Y10" s="66"/>
      <c r="Z10" s="51"/>
      <c r="AA10" s="66"/>
      <c r="AB10" s="51"/>
      <c r="AC10" s="55"/>
      <c r="AD10" s="2298" t="s">
        <v>2315</v>
      </c>
      <c r="AE10" s="2320"/>
      <c r="AF10" s="2298" t="s">
        <v>2315</v>
      </c>
      <c r="AG10" s="2320"/>
      <c r="AH10" s="2298" t="s">
        <v>2316</v>
      </c>
      <c r="AI10" s="2320"/>
      <c r="AJ10" s="26" t="s">
        <v>2329</v>
      </c>
      <c r="AK10" s="2317"/>
      <c r="AL10" s="2298" t="s">
        <v>2317</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2328</v>
      </c>
      <c r="AE11" s="1001"/>
      <c r="AF11" s="2318" t="s">
        <v>2328</v>
      </c>
      <c r="AG11" s="1001"/>
      <c r="AH11" s="2318" t="s">
        <v>2327</v>
      </c>
      <c r="AI11" s="2319"/>
      <c r="AJ11" s="2318" t="s">
        <v>2327</v>
      </c>
      <c r="AK11" s="2317"/>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5">
        <f>A3*3.5</f>
        <v>781063.39500000002</v>
      </c>
      <c r="B13" s="2965"/>
      <c r="C13" s="2965" t="s">
        <v>3039</v>
      </c>
      <c r="D13" s="2966" t="s">
        <v>3041</v>
      </c>
      <c r="E13" s="27">
        <f t="shared" ref="E13:E20" si="6">IF($C$3="是",ROUND($A$3*G13/$B$3,2),ROUND($A$3*(G13-AT13)/$B$3,2))</f>
        <v>211685.43</v>
      </c>
      <c r="F13" s="81"/>
      <c r="G13" s="82">
        <f t="shared" ref="G13:G20" si="7">H13+AC13+AT13</f>
        <v>740899</v>
      </c>
      <c r="H13" s="33">
        <f t="shared" ref="H13:H20" si="8">SUMIF(I$12:AB$12,"总值",I13:AB13)</f>
        <v>740899</v>
      </c>
      <c r="I13" s="2969">
        <f>面积表!D29</f>
        <v>740899</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781063.39500000002</v>
      </c>
      <c r="AW13" s="17">
        <f t="shared" si="10"/>
        <v>0</v>
      </c>
      <c r="AX13" s="17" t="str">
        <f t="shared" si="10"/>
        <v>住宅</v>
      </c>
      <c r="AY13" s="995">
        <f t="shared" ref="AY13:AY20" si="11">ROUND($AY$6*AZ13/$AZ$5,2)</f>
        <v>211685.43</v>
      </c>
      <c r="AZ13" s="27">
        <f t="shared" ref="AZ13:AZ20" si="12">BA13+BL13</f>
        <v>740899</v>
      </c>
      <c r="BA13" s="27">
        <f t="shared" ref="BA13:BA20" si="13">SUM(BB13:BK13)</f>
        <v>740899</v>
      </c>
      <c r="BB13" s="27">
        <f t="shared" ref="BB13:BB20" si="14">IF($D13="是",I13-J13,0)</f>
        <v>740899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5"/>
      <c r="B14" s="2965"/>
      <c r="C14" s="2965" t="s">
        <v>3040</v>
      </c>
      <c r="D14" s="2966" t="s">
        <v>1678</v>
      </c>
      <c r="E14" s="27">
        <f t="shared" si="6"/>
        <v>7753.43</v>
      </c>
      <c r="F14" s="81"/>
      <c r="G14" s="82">
        <f t="shared" si="7"/>
        <v>27137</v>
      </c>
      <c r="H14" s="33">
        <f t="shared" si="8"/>
        <v>27137</v>
      </c>
      <c r="I14" s="2969"/>
      <c r="J14" s="2969"/>
      <c r="K14" s="2969">
        <f>面积表!D30</f>
        <v>27137</v>
      </c>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t="str">
        <f t="shared" si="10"/>
        <v>商业</v>
      </c>
      <c r="AY14" s="995">
        <f t="shared" si="11"/>
        <v>7753.43</v>
      </c>
      <c r="AZ14" s="27">
        <f t="shared" si="12"/>
        <v>27137</v>
      </c>
      <c r="BA14" s="27">
        <f t="shared" si="13"/>
        <v>27137</v>
      </c>
      <c r="BB14" s="27">
        <f t="shared" si="14"/>
        <v>0</v>
      </c>
      <c r="BC14" s="27">
        <f t="shared" si="15"/>
        <v>27137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5">
      <c r="A15" s="2965"/>
      <c r="B15" s="2965"/>
      <c r="C15" s="3227" t="s">
        <v>3471</v>
      </c>
      <c r="D15" s="2966" t="s">
        <v>1678</v>
      </c>
      <c r="E15" s="27">
        <f t="shared" si="6"/>
        <v>3722.11</v>
      </c>
      <c r="F15" s="81"/>
      <c r="G15" s="82">
        <f t="shared" si="7"/>
        <v>13027.400000000023</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13027.400000000023</v>
      </c>
      <c r="AD15" s="2973">
        <f>面积表!D33</f>
        <v>13027.400000000023</v>
      </c>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t="str">
        <f t="shared" si="10"/>
        <v>幼儿园</v>
      </c>
      <c r="AY15" s="995">
        <f t="shared" si="11"/>
        <v>3722.11</v>
      </c>
      <c r="AZ15" s="27">
        <f t="shared" si="12"/>
        <v>13027.400000000023</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13027.400000000023</v>
      </c>
      <c r="BM15" s="27">
        <f t="shared" si="25"/>
        <v>13027.400000000023</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20" t="s">
        <v>0</v>
      </c>
      <c r="B1" s="3320" t="s">
        <v>4</v>
      </c>
      <c r="C1" s="3320" t="s">
        <v>5</v>
      </c>
      <c r="D1" s="3321" t="s">
        <v>40</v>
      </c>
      <c r="E1" s="3321" t="s">
        <v>41</v>
      </c>
      <c r="F1" s="3321"/>
      <c r="G1" s="3321"/>
      <c r="H1" s="3321"/>
      <c r="I1" s="3321"/>
      <c r="J1" s="3321"/>
      <c r="K1" s="3321"/>
      <c r="L1" s="3321"/>
      <c r="M1" s="3321"/>
    </row>
    <row r="2" spans="1:13" ht="27" customHeight="1">
      <c r="A2" s="3320"/>
      <c r="B2" s="3320"/>
      <c r="C2" s="3320"/>
      <c r="D2" s="3321"/>
      <c r="E2" s="3321" t="s">
        <v>24</v>
      </c>
      <c r="F2" s="3321" t="s">
        <v>25</v>
      </c>
      <c r="G2" s="3321"/>
      <c r="H2" s="3321"/>
      <c r="I2" s="3321"/>
      <c r="J2" s="3321" t="s">
        <v>26</v>
      </c>
      <c r="K2" s="3321"/>
      <c r="L2" s="3321"/>
      <c r="M2" s="3321"/>
    </row>
    <row r="3" spans="1:13" ht="46.8">
      <c r="A3" s="3320"/>
      <c r="B3" s="3320"/>
      <c r="C3" s="3320"/>
      <c r="D3" s="3321"/>
      <c r="E3" s="3321"/>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1" t="s">
        <v>42</v>
      </c>
      <c r="B9" s="3321"/>
      <c r="C9" s="332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R33"/>
  <sheetViews>
    <sheetView topLeftCell="A4" workbookViewId="0">
      <selection activeCell="D33" sqref="D33"/>
    </sheetView>
  </sheetViews>
  <sheetFormatPr defaultColWidth="9" defaultRowHeight="12"/>
  <cols>
    <col min="1" max="1" width="9" style="3187"/>
    <col min="2" max="2" width="13.21875" style="3187" customWidth="1"/>
    <col min="3" max="3" width="9" style="3187"/>
    <col min="4" max="4" width="9.88671875" style="3187" customWidth="1"/>
    <col min="5" max="16384" width="9" style="3187"/>
  </cols>
  <sheetData>
    <row r="3" spans="2:4">
      <c r="B3" s="3187" t="s">
        <v>3000</v>
      </c>
      <c r="C3" s="3187" t="s">
        <v>3020</v>
      </c>
    </row>
    <row r="4" spans="2:4">
      <c r="B4" s="3187" t="s">
        <v>3001</v>
      </c>
      <c r="C4" s="3187" t="s">
        <v>3002</v>
      </c>
    </row>
    <row r="5" spans="2:4">
      <c r="B5" s="3187" t="s">
        <v>3004</v>
      </c>
      <c r="C5" s="3187" t="s">
        <v>3003</v>
      </c>
    </row>
    <row r="6" spans="2:4">
      <c r="B6" s="3187" t="s">
        <v>3005</v>
      </c>
      <c r="C6" s="3187" t="s">
        <v>3007</v>
      </c>
    </row>
    <row r="7" spans="2:4">
      <c r="B7" s="3187" t="s">
        <v>3006</v>
      </c>
      <c r="C7" s="3187" t="s">
        <v>3008</v>
      </c>
    </row>
    <row r="9" spans="2:4">
      <c r="B9" s="3187" t="s">
        <v>3009</v>
      </c>
    </row>
    <row r="10" spans="2:4">
      <c r="B10" s="3187" t="s">
        <v>3023</v>
      </c>
      <c r="C10" s="3187">
        <v>334.72800000000001</v>
      </c>
      <c r="D10" s="3188">
        <v>223152</v>
      </c>
    </row>
    <row r="11" spans="2:4">
      <c r="B11" s="3187" t="s">
        <v>3010</v>
      </c>
      <c r="C11" s="3187">
        <v>3.5</v>
      </c>
    </row>
    <row r="12" spans="2:4">
      <c r="B12" s="3187" t="s">
        <v>3011</v>
      </c>
      <c r="C12" s="3187">
        <v>78.099999999999994</v>
      </c>
      <c r="D12" s="3188">
        <f>D10*3.5</f>
        <v>781032</v>
      </c>
    </row>
    <row r="13" spans="2:4">
      <c r="B13" s="3187" t="s">
        <v>3012</v>
      </c>
      <c r="C13" s="3187">
        <v>2.71</v>
      </c>
    </row>
    <row r="14" spans="2:4">
      <c r="B14" s="3187" t="s">
        <v>3013</v>
      </c>
      <c r="C14" s="3187" t="s">
        <v>3014</v>
      </c>
    </row>
    <row r="15" spans="2:4">
      <c r="B15" s="3187" t="s">
        <v>3015</v>
      </c>
      <c r="C15" s="3187" t="s">
        <v>3016</v>
      </c>
    </row>
    <row r="16" spans="2:4">
      <c r="B16" s="3187" t="s">
        <v>3017</v>
      </c>
      <c r="C16" s="3187" t="s">
        <v>3018</v>
      </c>
    </row>
    <row r="17" spans="2:18">
      <c r="B17" s="3187" t="s">
        <v>3019</v>
      </c>
      <c r="C17" s="3187" t="s">
        <v>3036</v>
      </c>
      <c r="D17" s="3187">
        <v>3240</v>
      </c>
    </row>
    <row r="18" spans="2:18">
      <c r="C18" s="3187" t="s">
        <v>3037</v>
      </c>
      <c r="D18" s="3187">
        <v>2295</v>
      </c>
      <c r="E18" s="3187">
        <f>D18*2</f>
        <v>4590</v>
      </c>
    </row>
    <row r="20" spans="2:18">
      <c r="C20" s="3187" t="s">
        <v>3034</v>
      </c>
      <c r="D20" s="3187">
        <v>4320</v>
      </c>
    </row>
    <row r="21" spans="2:18">
      <c r="C21" s="3187" t="s">
        <v>3035</v>
      </c>
      <c r="D21" s="3187">
        <v>2880</v>
      </c>
      <c r="E21" s="3187">
        <f>D21</f>
        <v>2880</v>
      </c>
      <c r="Q21" s="3187">
        <v>350000</v>
      </c>
      <c r="R21" s="3187">
        <v>300000</v>
      </c>
    </row>
    <row r="22" spans="2:18">
      <c r="E22" s="3187">
        <f>SUM(E18+E21)</f>
        <v>7470</v>
      </c>
      <c r="Q22" s="3187">
        <v>176000</v>
      </c>
      <c r="R22" s="3187">
        <v>151000</v>
      </c>
    </row>
    <row r="23" spans="2:18">
      <c r="Q23" s="3187">
        <f>Q22/Q21</f>
        <v>0.50285714285714289</v>
      </c>
      <c r="R23" s="3187">
        <f>R22/R21</f>
        <v>0.5033333333333333</v>
      </c>
    </row>
    <row r="27" spans="2:18">
      <c r="B27" s="3187" t="s">
        <v>3021</v>
      </c>
    </row>
    <row r="28" spans="2:18">
      <c r="B28" s="3189" t="s">
        <v>3022</v>
      </c>
      <c r="C28" s="3189" t="s">
        <v>3024</v>
      </c>
      <c r="D28" s="3189" t="s">
        <v>3028</v>
      </c>
      <c r="E28" s="3189" t="s">
        <v>3029</v>
      </c>
      <c r="F28" s="3189" t="s">
        <v>3031</v>
      </c>
    </row>
    <row r="29" spans="2:18">
      <c r="B29" s="3189">
        <v>1</v>
      </c>
      <c r="C29" s="3189" t="s">
        <v>3025</v>
      </c>
      <c r="D29" s="3189">
        <v>740899</v>
      </c>
      <c r="E29" s="3189">
        <v>6820</v>
      </c>
      <c r="F29" s="3190">
        <v>0.96499999999999997</v>
      </c>
    </row>
    <row r="30" spans="2:18">
      <c r="B30" s="3189">
        <v>2</v>
      </c>
      <c r="C30" s="3189" t="s">
        <v>3027</v>
      </c>
      <c r="D30" s="3189">
        <v>27137</v>
      </c>
      <c r="E30" s="3189" t="s">
        <v>3030</v>
      </c>
      <c r="F30" s="3190">
        <v>3.5000000000000003E-2</v>
      </c>
    </row>
    <row r="31" spans="2:18">
      <c r="B31" s="3189" t="s">
        <v>3032</v>
      </c>
      <c r="C31" s="3189" t="s">
        <v>3030</v>
      </c>
      <c r="D31" s="3189">
        <f>SUM(D29:D30)</f>
        <v>768036</v>
      </c>
      <c r="E31" s="3189">
        <v>6820</v>
      </c>
      <c r="F31" s="3191">
        <v>1</v>
      </c>
    </row>
    <row r="33" spans="3:4">
      <c r="C33" s="3187" t="s">
        <v>3038</v>
      </c>
      <c r="D33" s="3187">
        <f>Sheet3!L11-D31</f>
        <v>13027.400000000023</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36"/>
  <sheetViews>
    <sheetView workbookViewId="0">
      <selection activeCell="F23" sqref="F23:G23"/>
    </sheetView>
  </sheetViews>
  <sheetFormatPr defaultRowHeight="14.4"/>
  <cols>
    <col min="12" max="13" width="12.6640625" customWidth="1"/>
  </cols>
  <sheetData>
    <row r="1" spans="1:13">
      <c r="A1" s="3230"/>
      <c r="B1" s="3334" t="s">
        <v>3480</v>
      </c>
      <c r="C1" s="3334" t="s">
        <v>3481</v>
      </c>
      <c r="D1" s="3236"/>
      <c r="E1" s="3337" t="s">
        <v>3484</v>
      </c>
      <c r="F1" s="3338"/>
      <c r="G1" s="3339"/>
      <c r="H1" s="3241" t="s">
        <v>2980</v>
      </c>
      <c r="I1" s="3235" t="s">
        <v>3486</v>
      </c>
      <c r="J1" s="3235" t="s">
        <v>3488</v>
      </c>
    </row>
    <row r="2" spans="1:13">
      <c r="A2" s="3231" t="s">
        <v>3479</v>
      </c>
      <c r="B2" s="3335"/>
      <c r="C2" s="3335"/>
      <c r="D2" s="3237" t="s">
        <v>3482</v>
      </c>
      <c r="E2" s="3340"/>
      <c r="F2" s="3341"/>
      <c r="G2" s="3342"/>
      <c r="H2" s="3242" t="s">
        <v>3503</v>
      </c>
      <c r="I2" s="3237" t="s">
        <v>3487</v>
      </c>
      <c r="J2" s="3237" t="s">
        <v>3489</v>
      </c>
    </row>
    <row r="3" spans="1:13" ht="15" thickBot="1">
      <c r="A3" s="3232"/>
      <c r="B3" s="3335"/>
      <c r="C3" s="3335"/>
      <c r="D3" s="3237" t="s">
        <v>3483</v>
      </c>
      <c r="E3" s="3343"/>
      <c r="F3" s="3344"/>
      <c r="G3" s="3345"/>
      <c r="H3" s="3243" t="s">
        <v>3485</v>
      </c>
      <c r="I3" s="3239"/>
      <c r="J3" s="3237" t="s">
        <v>3490</v>
      </c>
    </row>
    <row r="4" spans="1:13">
      <c r="A4" s="3233"/>
      <c r="B4" s="3335"/>
      <c r="C4" s="3335"/>
      <c r="D4" s="3238"/>
      <c r="E4" s="3346" t="s">
        <v>2030</v>
      </c>
      <c r="F4" s="3242" t="s">
        <v>3491</v>
      </c>
      <c r="G4" s="3242" t="s">
        <v>3494</v>
      </c>
      <c r="H4" s="3239"/>
      <c r="I4" s="3239"/>
      <c r="J4" s="3239"/>
    </row>
    <row r="5" spans="1:13">
      <c r="A5" s="3233"/>
      <c r="B5" s="3335"/>
      <c r="C5" s="3335"/>
      <c r="D5" s="3239"/>
      <c r="E5" s="3347"/>
      <c r="F5" s="3242" t="s">
        <v>3492</v>
      </c>
      <c r="G5" s="3242" t="s">
        <v>3495</v>
      </c>
      <c r="H5" s="3239"/>
      <c r="I5" s="3239"/>
      <c r="J5" s="3239"/>
    </row>
    <row r="6" spans="1:13" ht="15" thickBot="1">
      <c r="A6" s="3234"/>
      <c r="B6" s="3336"/>
      <c r="C6" s="3336"/>
      <c r="D6" s="3240"/>
      <c r="E6" s="3348"/>
      <c r="F6" s="3244" t="s">
        <v>3493</v>
      </c>
      <c r="G6" s="3240"/>
      <c r="H6" s="3240"/>
      <c r="I6" s="3240"/>
      <c r="J6" s="3240"/>
    </row>
    <row r="7" spans="1:13" ht="28.2" customHeight="1">
      <c r="A7" s="3322">
        <v>43862</v>
      </c>
      <c r="B7" s="3325" t="s">
        <v>3504</v>
      </c>
      <c r="C7" s="3328" t="s">
        <v>3505</v>
      </c>
      <c r="D7" s="3331" t="s">
        <v>3496</v>
      </c>
      <c r="E7" s="3328" t="s">
        <v>3497</v>
      </c>
      <c r="F7" s="3328" t="s">
        <v>3498</v>
      </c>
      <c r="G7" s="3328" t="s">
        <v>3499</v>
      </c>
      <c r="H7" s="3328">
        <v>70</v>
      </c>
      <c r="I7" s="3328" t="s">
        <v>3500</v>
      </c>
      <c r="J7" s="3246"/>
    </row>
    <row r="8" spans="1:13">
      <c r="A8" s="3323"/>
      <c r="B8" s="3326"/>
      <c r="C8" s="3329"/>
      <c r="D8" s="3332"/>
      <c r="E8" s="3329"/>
      <c r="F8" s="3329"/>
      <c r="G8" s="3329"/>
      <c r="H8" s="3329"/>
      <c r="I8" s="3329"/>
      <c r="J8" s="3246"/>
      <c r="L8">
        <v>113766.31</v>
      </c>
      <c r="M8">
        <f>ROUND(L8*3.5,2)</f>
        <v>398182.09</v>
      </c>
    </row>
    <row r="9" spans="1:13">
      <c r="A9" s="3323"/>
      <c r="B9" s="3326"/>
      <c r="C9" s="3329"/>
      <c r="D9" s="3332"/>
      <c r="E9" s="3329"/>
      <c r="F9" s="3329"/>
      <c r="G9" s="3329"/>
      <c r="H9" s="3329"/>
      <c r="I9" s="3329"/>
      <c r="J9" s="3245">
        <v>20000</v>
      </c>
      <c r="L9">
        <v>109394.66</v>
      </c>
      <c r="M9">
        <f>ROUND(L9*3.5,2)</f>
        <v>382881.31</v>
      </c>
    </row>
    <row r="10" spans="1:13">
      <c r="A10" s="3323"/>
      <c r="B10" s="3326"/>
      <c r="C10" s="3329"/>
      <c r="D10" s="3332"/>
      <c r="E10" s="3329"/>
      <c r="F10" s="3329"/>
      <c r="G10" s="3329"/>
      <c r="H10" s="3329"/>
      <c r="I10" s="3329"/>
      <c r="J10" s="3246"/>
      <c r="L10">
        <f>SUM(L8:L9)</f>
        <v>223160.97</v>
      </c>
      <c r="M10">
        <f>SUM(M8:M9)</f>
        <v>781063.4</v>
      </c>
    </row>
    <row r="11" spans="1:13" ht="15" thickBot="1">
      <c r="A11" s="3324"/>
      <c r="B11" s="3327"/>
      <c r="C11" s="3330"/>
      <c r="D11" s="3333"/>
      <c r="E11" s="3330"/>
      <c r="F11" s="3330"/>
      <c r="G11" s="3330"/>
      <c r="H11" s="3330"/>
      <c r="I11" s="3330"/>
      <c r="J11" s="3247"/>
      <c r="L11">
        <f>ROUND(L10*3.5,2)</f>
        <v>781063.4</v>
      </c>
    </row>
    <row r="12" spans="1:13" ht="17.399999999999999" customHeight="1">
      <c r="A12" s="3322">
        <v>43863</v>
      </c>
      <c r="B12" s="3325" t="s">
        <v>3501</v>
      </c>
      <c r="C12" s="3328" t="s">
        <v>3506</v>
      </c>
      <c r="D12" s="3331" t="s">
        <v>3496</v>
      </c>
      <c r="E12" s="3328" t="s">
        <v>3497</v>
      </c>
      <c r="F12" s="3328" t="s">
        <v>3498</v>
      </c>
      <c r="G12" s="3328" t="s">
        <v>3499</v>
      </c>
      <c r="H12" s="3328">
        <v>70</v>
      </c>
      <c r="I12" s="3328" t="s">
        <v>3502</v>
      </c>
      <c r="J12" s="3248"/>
    </row>
    <row r="13" spans="1:13">
      <c r="A13" s="3323"/>
      <c r="B13" s="3326"/>
      <c r="C13" s="3329"/>
      <c r="D13" s="3332"/>
      <c r="E13" s="3329"/>
      <c r="F13" s="3329"/>
      <c r="G13" s="3329"/>
      <c r="H13" s="3329"/>
      <c r="I13" s="3329"/>
      <c r="J13" s="3248"/>
    </row>
    <row r="14" spans="1:13">
      <c r="A14" s="3323"/>
      <c r="B14" s="3326"/>
      <c r="C14" s="3329"/>
      <c r="D14" s="3332"/>
      <c r="E14" s="3329"/>
      <c r="F14" s="3329"/>
      <c r="G14" s="3329"/>
      <c r="H14" s="3329"/>
      <c r="I14" s="3329"/>
      <c r="J14" s="3245">
        <v>18500</v>
      </c>
    </row>
    <row r="15" spans="1:13">
      <c r="A15" s="3323"/>
      <c r="B15" s="3326"/>
      <c r="C15" s="3329"/>
      <c r="D15" s="3332"/>
      <c r="E15" s="3329"/>
      <c r="F15" s="3329"/>
      <c r="G15" s="3329"/>
      <c r="H15" s="3329"/>
      <c r="I15" s="3329"/>
      <c r="J15" s="3248"/>
    </row>
    <row r="16" spans="1:13" ht="15" thickBot="1">
      <c r="A16" s="3324"/>
      <c r="B16" s="3327"/>
      <c r="C16" s="3330"/>
      <c r="D16" s="3333"/>
      <c r="E16" s="3330"/>
      <c r="F16" s="3330"/>
      <c r="G16" s="3330"/>
      <c r="H16" s="3330"/>
      <c r="I16" s="3330"/>
      <c r="J16" s="3249"/>
    </row>
    <row r="25" ht="21" customHeight="1"/>
    <row r="30" ht="20.399999999999999" customHeight="1"/>
    <row r="31" ht="14.4" customHeight="1"/>
    <row r="32" ht="15" customHeight="1"/>
    <row r="36" ht="15" customHeight="1"/>
  </sheetData>
  <mergeCells count="22">
    <mergeCell ref="H12:H16"/>
    <mergeCell ref="I12:I16"/>
    <mergeCell ref="G7:G11"/>
    <mergeCell ref="H7:H11"/>
    <mergeCell ref="I7:I11"/>
    <mergeCell ref="A12:A16"/>
    <mergeCell ref="B12:B16"/>
    <mergeCell ref="C12:C16"/>
    <mergeCell ref="D12:D16"/>
    <mergeCell ref="E12:E16"/>
    <mergeCell ref="F12:F16"/>
    <mergeCell ref="G12:G16"/>
    <mergeCell ref="B1:B6"/>
    <mergeCell ref="C1:C6"/>
    <mergeCell ref="E1:G3"/>
    <mergeCell ref="E4:E6"/>
    <mergeCell ref="F7:F11"/>
    <mergeCell ref="A7:A11"/>
    <mergeCell ref="B7:B11"/>
    <mergeCell ref="C7:C11"/>
    <mergeCell ref="D7:D11"/>
    <mergeCell ref="E7:E11"/>
  </mergeCells>
  <phoneticPr fontId="228" type="noConversion"/>
  <pageMargins left="0.7" right="0.7" top="0.75" bottom="0.75" header="0.3" footer="0.3"/>
  <drawing r:id="rId1"/>
  <legacyDrawing r:id="rId2"/>
  <controls>
    <mc:AlternateContent xmlns:mc="http://schemas.openxmlformats.org/markup-compatibility/2006">
      <mc:Choice Requires="x14">
        <control shapeId="105473" r:id="rId3" name="Control 1">
          <controlPr defaultSize="0" r:id="rId4">
            <anchor moveWithCells="1">
              <from>
                <xdr:col>7</xdr:col>
                <xdr:colOff>0</xdr:colOff>
                <xdr:row>27</xdr:row>
                <xdr:rowOff>0</xdr:rowOff>
              </from>
              <to>
                <xdr:col>9</xdr:col>
                <xdr:colOff>281940</xdr:colOff>
                <xdr:row>28</xdr:row>
                <xdr:rowOff>45720</xdr:rowOff>
              </to>
            </anchor>
          </controlPr>
        </control>
      </mc:Choice>
      <mc:Fallback>
        <control shapeId="105473" r:id="rId3" name="Control 1"/>
      </mc:Fallback>
    </mc:AlternateContent>
    <mc:AlternateContent xmlns:mc="http://schemas.openxmlformats.org/markup-compatibility/2006">
      <mc:Choice Requires="x14">
        <control shapeId="105474" r:id="rId5" name="Control 2">
          <controlPr defaultSize="0" r:id="rId6">
            <anchor moveWithCells="1">
              <from>
                <xdr:col>9</xdr:col>
                <xdr:colOff>0</xdr:colOff>
                <xdr:row>27</xdr:row>
                <xdr:rowOff>0</xdr:rowOff>
              </from>
              <to>
                <xdr:col>10</xdr:col>
                <xdr:colOff>129540</xdr:colOff>
                <xdr:row>28</xdr:row>
                <xdr:rowOff>45720</xdr:rowOff>
              </to>
            </anchor>
          </controlPr>
        </control>
      </mc:Choice>
      <mc:Fallback>
        <control shapeId="105474" r:id="rId5" name="Control 2"/>
      </mc:Fallback>
    </mc:AlternateContent>
    <mc:AlternateContent xmlns:mc="http://schemas.openxmlformats.org/markup-compatibility/2006">
      <mc:Choice Requires="x14">
        <control shapeId="105475" r:id="rId7" name="Control 3">
          <controlPr defaultSize="0" r:id="rId6">
            <anchor moveWithCells="1">
              <from>
                <xdr:col>7</xdr:col>
                <xdr:colOff>0</xdr:colOff>
                <xdr:row>30</xdr:row>
                <xdr:rowOff>0</xdr:rowOff>
              </from>
              <to>
                <xdr:col>8</xdr:col>
                <xdr:colOff>129540</xdr:colOff>
                <xdr:row>31</xdr:row>
                <xdr:rowOff>45720</xdr:rowOff>
              </to>
            </anchor>
          </controlPr>
        </control>
      </mc:Choice>
      <mc:Fallback>
        <control shapeId="105475" r:id="rId7" name="Control 3"/>
      </mc:Fallback>
    </mc:AlternateContent>
    <mc:AlternateContent xmlns:mc="http://schemas.openxmlformats.org/markup-compatibility/2006">
      <mc:Choice Requires="x14">
        <control shapeId="105476" r:id="rId8" name="Control 4">
          <controlPr defaultSize="0" r:id="rId6">
            <anchor moveWithCells="1">
              <from>
                <xdr:col>7</xdr:col>
                <xdr:colOff>0</xdr:colOff>
                <xdr:row>32</xdr:row>
                <xdr:rowOff>0</xdr:rowOff>
              </from>
              <to>
                <xdr:col>8</xdr:col>
                <xdr:colOff>129540</xdr:colOff>
                <xdr:row>33</xdr:row>
                <xdr:rowOff>45720</xdr:rowOff>
              </to>
            </anchor>
          </controlPr>
        </control>
      </mc:Choice>
      <mc:Fallback>
        <control shapeId="105476" r:id="rId8" name="Control 4"/>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4" zoomScale="90" zoomScaleNormal="90" zoomScaleSheetLayoutView="90" workbookViewId="0">
      <selection activeCell="I32" sqref="I32"/>
    </sheetView>
  </sheetViews>
  <sheetFormatPr defaultColWidth="9.21875" defaultRowHeight="13.8"/>
  <cols>
    <col min="1" max="1" width="8.21875" style="1969" customWidth="1"/>
    <col min="2" max="2" width="10.218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21875" style="1969"/>
  </cols>
  <sheetData>
    <row r="1" spans="1:16" ht="17.399999999999999">
      <c r="A1" s="104" t="s">
        <v>202</v>
      </c>
      <c r="B1" s="1968"/>
      <c r="C1" s="1968"/>
      <c r="D1" s="1968"/>
      <c r="E1" s="1968"/>
      <c r="F1" s="1968"/>
      <c r="G1" s="1968"/>
      <c r="H1" s="1968"/>
      <c r="I1" s="1968"/>
      <c r="J1" s="1968"/>
      <c r="K1" s="1968"/>
      <c r="L1" s="1968"/>
    </row>
    <row r="2" spans="1:16" ht="14.4">
      <c r="A2" s="3358" t="s">
        <v>203</v>
      </c>
      <c r="B2" s="3358"/>
      <c r="C2" s="3358"/>
      <c r="D2" s="1959" t="s">
        <v>204</v>
      </c>
      <c r="E2" s="106" t="s">
        <v>205</v>
      </c>
      <c r="F2" s="1968"/>
      <c r="G2" s="1193"/>
      <c r="H2" s="1194"/>
      <c r="I2" s="1195" t="s">
        <v>857</v>
      </c>
      <c r="J2" s="1968"/>
      <c r="K2" s="1968"/>
      <c r="L2" s="1968"/>
    </row>
    <row r="3" spans="1:16" ht="15" thickBot="1">
      <c r="A3" s="3359" t="s">
        <v>206</v>
      </c>
      <c r="B3" s="3359"/>
      <c r="C3" s="3359"/>
      <c r="D3" s="107">
        <f>'数据-基础表'!AY6</f>
        <v>223160.97</v>
      </c>
      <c r="E3" s="107">
        <f>'数据-基础表'!AZ5</f>
        <v>781063.4</v>
      </c>
      <c r="F3" s="1968"/>
      <c r="G3" s="280" t="s">
        <v>858</v>
      </c>
      <c r="H3" s="275" t="s">
        <v>859</v>
      </c>
      <c r="I3" s="1960">
        <f>ROUND('数据-基础表'!B3/'数据-基础表'!A3,2)</f>
        <v>3.5</v>
      </c>
      <c r="J3" s="1968"/>
      <c r="K3" s="1968"/>
      <c r="L3" s="1968"/>
    </row>
    <row r="4" spans="1:16" ht="14.4">
      <c r="A4" s="3360"/>
      <c r="B4" s="3361"/>
      <c r="C4" s="3362"/>
      <c r="D4" s="108" t="s">
        <v>204</v>
      </c>
      <c r="E4" s="109" t="s">
        <v>205</v>
      </c>
      <c r="F4" s="1968"/>
      <c r="G4" s="1196"/>
      <c r="H4" s="275" t="s">
        <v>860</v>
      </c>
      <c r="I4" s="1960">
        <f>ROUND(SUMIF('数据-基础表'!I9:AS9,"地上",'数据-基础表'!I5:AS5)/'数据-基础表'!A3,2)</f>
        <v>3.5</v>
      </c>
      <c r="J4" s="1968"/>
      <c r="K4" s="1968"/>
      <c r="L4" s="1968"/>
    </row>
    <row r="5" spans="1:16" ht="14.4">
      <c r="A5" s="110" t="s">
        <v>207</v>
      </c>
      <c r="B5" s="3363" t="s">
        <v>230</v>
      </c>
      <c r="C5" s="3363"/>
      <c r="D5" s="111">
        <f>ROUND($D$3*E5/$E$3,2)</f>
        <v>211685.43</v>
      </c>
      <c r="E5" s="112">
        <f>SUMIF('数据-基础表'!$11:$11,"住宅",'数据-基础表'!$5:$5)</f>
        <v>740899</v>
      </c>
      <c r="F5" s="1968"/>
      <c r="G5" s="280" t="s">
        <v>861</v>
      </c>
      <c r="H5" s="275" t="s">
        <v>859</v>
      </c>
      <c r="I5" s="1960">
        <f>ROUND(E31/D31,2)</f>
        <v>3.5</v>
      </c>
      <c r="J5" s="1968"/>
      <c r="K5" s="1968"/>
      <c r="L5" s="1968"/>
    </row>
    <row r="6" spans="1:16" ht="15" thickBot="1">
      <c r="A6" s="113"/>
      <c r="B6" s="3363" t="s">
        <v>208</v>
      </c>
      <c r="C6" s="3363"/>
      <c r="D6" s="111">
        <f>ROUND($D$3*E6/$E$3,2)</f>
        <v>11475.54</v>
      </c>
      <c r="E6" s="112">
        <f>E3-E5</f>
        <v>40164.400000000023</v>
      </c>
      <c r="F6" s="1968"/>
      <c r="G6" s="1196"/>
      <c r="H6" s="275" t="s">
        <v>860</v>
      </c>
      <c r="I6" s="1960">
        <f>ROUND(F31/D31,2)</f>
        <v>3.5</v>
      </c>
      <c r="J6" s="1968"/>
      <c r="K6" s="1968"/>
      <c r="L6" s="1968"/>
    </row>
    <row r="7" spans="1:16" ht="14.4">
      <c r="A7" s="3355"/>
      <c r="B7" s="3356"/>
      <c r="C7" s="3357"/>
      <c r="D7" s="108" t="s">
        <v>204</v>
      </c>
      <c r="E7" s="114" t="s">
        <v>231</v>
      </c>
      <c r="F7" s="1968"/>
      <c r="G7" s="1151" t="s">
        <v>1645</v>
      </c>
      <c r="H7" s="1152"/>
      <c r="I7" s="1830">
        <v>3.5</v>
      </c>
      <c r="J7" s="1968"/>
      <c r="K7" s="1968"/>
      <c r="L7" s="1968"/>
    </row>
    <row r="8" spans="1:16" ht="14.4">
      <c r="A8" s="110" t="s">
        <v>209</v>
      </c>
      <c r="B8" s="115" t="s">
        <v>210</v>
      </c>
      <c r="C8" s="111" t="s">
        <v>211</v>
      </c>
      <c r="D8" s="111">
        <f t="shared" ref="D8:D15" si="0">ROUND($D$3*E8/$E$3,2)</f>
        <v>219438.86</v>
      </c>
      <c r="E8" s="116">
        <f>SUMIF('数据-基础表'!BB10:BK10,"地上",'数据-基础表'!BB5:BK5)</f>
        <v>768036</v>
      </c>
      <c r="F8" s="1968"/>
      <c r="G8" s="1970"/>
      <c r="H8" s="1970"/>
      <c r="I8" s="1968"/>
      <c r="J8" s="1968"/>
      <c r="K8" s="1968"/>
      <c r="L8" s="1968"/>
    </row>
    <row r="9" spans="1:16" ht="14.4">
      <c r="A9" s="117"/>
      <c r="B9" s="118"/>
      <c r="C9" s="111" t="s">
        <v>212</v>
      </c>
      <c r="D9" s="111">
        <f t="shared" si="0"/>
        <v>0</v>
      </c>
      <c r="E9" s="119">
        <v>0</v>
      </c>
      <c r="F9" s="1968"/>
      <c r="G9" s="1970"/>
      <c r="H9" s="1970"/>
      <c r="I9" s="1968"/>
      <c r="J9" s="1968"/>
      <c r="K9" s="1968"/>
      <c r="L9" s="1968"/>
    </row>
    <row r="10" spans="1:16" ht="14.4">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ht="14.4">
      <c r="A11" s="117"/>
      <c r="B11" s="118"/>
      <c r="C11" s="2315" t="s">
        <v>2325</v>
      </c>
      <c r="D11" s="111">
        <f t="shared" si="0"/>
        <v>0</v>
      </c>
      <c r="E11" s="116">
        <f>SUMPRODUCT(('数据-基础表'!BB10:BK10="地下")*('数据-基础表'!BB11:BK11="办公")*('数据-基础表'!BB5:BK5))+'数据-基础表'!AJ5</f>
        <v>0</v>
      </c>
      <c r="F11" s="1968"/>
      <c r="G11" s="1970"/>
      <c r="H11" s="1970"/>
      <c r="I11" s="1968"/>
      <c r="J11" s="1968"/>
      <c r="K11" s="1968"/>
      <c r="L11" s="1968"/>
    </row>
    <row r="12" spans="1:16" ht="14.4">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ht="14.4">
      <c r="A13" s="117"/>
      <c r="B13" s="118"/>
      <c r="C13" s="2315" t="s">
        <v>2332</v>
      </c>
      <c r="D13" s="111">
        <f t="shared" si="0"/>
        <v>0</v>
      </c>
      <c r="E13" s="116">
        <f>SUMPRODUCT(('数据-基础表'!BB10:BK10="地下")*('数据-基础表'!BB11:BK11="车库")*('数据-基础表'!BB5:BK5))</f>
        <v>0</v>
      </c>
      <c r="F13" s="1968"/>
      <c r="G13" s="1970"/>
      <c r="H13" s="1970"/>
      <c r="I13" s="1968"/>
      <c r="J13" s="1968"/>
      <c r="K13" s="1968"/>
      <c r="L13" s="1968"/>
    </row>
    <row r="14" spans="1:16" ht="14.4">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219438.86</v>
      </c>
      <c r="E16" s="120">
        <f>SUM(E8:E15)</f>
        <v>768036</v>
      </c>
      <c r="F16" s="1968"/>
      <c r="G16" s="1970"/>
      <c r="H16" s="967" t="s">
        <v>219</v>
      </c>
      <c r="I16" s="968"/>
      <c r="J16" s="1968"/>
      <c r="K16" s="3349" t="s">
        <v>2564</v>
      </c>
      <c r="L16" s="3350"/>
      <c r="M16" s="3350"/>
      <c r="N16" s="3350"/>
      <c r="O16" s="3350"/>
      <c r="P16" s="3351"/>
    </row>
    <row r="17" spans="1:19" ht="14.4">
      <c r="A17" s="121" t="s">
        <v>216</v>
      </c>
      <c r="B17" s="122" t="s">
        <v>217</v>
      </c>
      <c r="C17" s="2282" t="s">
        <v>2311</v>
      </c>
      <c r="D17" s="108" t="s">
        <v>204</v>
      </c>
      <c r="E17" s="124" t="s">
        <v>205</v>
      </c>
      <c r="F17" s="125"/>
      <c r="G17" s="1361"/>
      <c r="H17" s="969" t="s">
        <v>218</v>
      </c>
      <c r="I17" s="970" t="s">
        <v>2310</v>
      </c>
      <c r="J17" s="1968"/>
      <c r="K17" s="3352" t="s">
        <v>2565</v>
      </c>
      <c r="L17" s="3353"/>
      <c r="M17" s="3354"/>
      <c r="N17" s="3352" t="s">
        <v>2566</v>
      </c>
      <c r="O17" s="3353"/>
      <c r="P17" s="3354"/>
      <c r="R17" s="2283" t="s">
        <v>2309</v>
      </c>
      <c r="S17" s="144"/>
    </row>
    <row r="18" spans="1:19" ht="14.4">
      <c r="A18" s="117"/>
      <c r="B18" s="128"/>
      <c r="C18" s="129"/>
      <c r="D18" s="2605"/>
      <c r="E18" s="130" t="s">
        <v>220</v>
      </c>
      <c r="F18" s="131" t="s">
        <v>221</v>
      </c>
      <c r="G18" s="1362" t="s">
        <v>222</v>
      </c>
      <c r="H18" s="971" t="s">
        <v>223</v>
      </c>
      <c r="I18" s="972" t="s">
        <v>224</v>
      </c>
      <c r="J18" s="1968"/>
      <c r="K18" s="2568" t="s">
        <v>2567</v>
      </c>
      <c r="L18" s="2569" t="s">
        <v>2568</v>
      </c>
      <c r="M18" s="2570" t="s">
        <v>2569</v>
      </c>
      <c r="N18" s="2568" t="s">
        <v>2567</v>
      </c>
      <c r="O18" s="2569" t="s">
        <v>2568</v>
      </c>
      <c r="P18" s="2570" t="s">
        <v>2569</v>
      </c>
      <c r="R18" s="2284" t="s">
        <v>2307</v>
      </c>
      <c r="S18" s="2284" t="s">
        <v>2308</v>
      </c>
    </row>
    <row r="19" spans="1:19" ht="14.4">
      <c r="A19" s="133"/>
      <c r="B19" s="115" t="s">
        <v>225</v>
      </c>
      <c r="C19" s="2976" t="s">
        <v>3042</v>
      </c>
      <c r="D19" s="111">
        <f t="shared" ref="D19:D26" si="1">ROUND($D$3*E19/$E$3,2)</f>
        <v>211685.43</v>
      </c>
      <c r="E19" s="134">
        <f t="shared" ref="E19:E26" si="2">SUM(F19:G19)</f>
        <v>740899</v>
      </c>
      <c r="F19" s="135">
        <f>'数据-基础表'!I13</f>
        <v>740899</v>
      </c>
      <c r="G19" s="1363"/>
      <c r="H19" s="973">
        <f>ROUND($D$3*I19/$E$3,2)</f>
        <v>3722.11</v>
      </c>
      <c r="I19" s="116">
        <f>IF($I$17="自定义",P19,M19)</f>
        <v>13027.4</v>
      </c>
      <c r="J19" s="1968"/>
      <c r="K19" s="2571">
        <f t="shared" ref="K19:K26" si="3">ROUND(E$28*E19/E$27,2)</f>
        <v>0</v>
      </c>
      <c r="L19" s="275">
        <f t="shared" ref="L19:L26" si="4">ROUND(IF(COUNTIF(C19,"*住宅*")&gt;0,E$29*E19/E$32,0),2)</f>
        <v>13027.4</v>
      </c>
      <c r="M19" s="2572">
        <f>K19+L19</f>
        <v>13027.4</v>
      </c>
      <c r="N19" s="2573"/>
      <c r="O19" s="2574"/>
      <c r="P19" s="2575">
        <f>N19+O19</f>
        <v>0</v>
      </c>
      <c r="R19" s="275">
        <f t="shared" ref="R19:S26" si="5">D19+H19</f>
        <v>215407.53999999998</v>
      </c>
      <c r="S19" s="2285">
        <f t="shared" si="5"/>
        <v>753926.4</v>
      </c>
    </row>
    <row r="20" spans="1:19" ht="14.4">
      <c r="A20" s="138"/>
      <c r="B20" s="115" t="s">
        <v>226</v>
      </c>
      <c r="C20" s="2976" t="s">
        <v>3043</v>
      </c>
      <c r="D20" s="111">
        <f t="shared" si="1"/>
        <v>7753.43</v>
      </c>
      <c r="E20" s="134">
        <f t="shared" si="2"/>
        <v>27137</v>
      </c>
      <c r="F20" s="135">
        <f>'数据-基础表'!K14</f>
        <v>27137</v>
      </c>
      <c r="G20" s="1363"/>
      <c r="H20" s="973">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7753.43</v>
      </c>
      <c r="S20" s="2285">
        <f t="shared" si="5"/>
        <v>27137</v>
      </c>
    </row>
    <row r="21" spans="1:19" ht="14.4">
      <c r="A21" s="138"/>
      <c r="B21" s="115" t="s">
        <v>226</v>
      </c>
      <c r="C21" s="2976"/>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ht="14.4">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ht="14.4">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ht="14.4">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ht="14.4">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ht="14.4">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 thickBot="1">
      <c r="A27" s="138"/>
      <c r="B27" s="111"/>
      <c r="C27" s="127" t="s">
        <v>215</v>
      </c>
      <c r="D27" s="134">
        <f>SUM(D19:D26)</f>
        <v>219438.86</v>
      </c>
      <c r="E27" s="143">
        <f>IF(SUM(E19:E26)='数据-基础表'!BA5,SUM(E19:E26),IF(F27="地上面积有误","面积有误","地下面积有误"))</f>
        <v>768036</v>
      </c>
      <c r="F27" s="134">
        <f>IF(SUM(F19:F26)=E8,SUM(F19:F26),"地上面积有误")</f>
        <v>768036</v>
      </c>
      <c r="G27" s="112">
        <f>SUM(G19:G26)</f>
        <v>0</v>
      </c>
      <c r="H27" s="974">
        <f>SUM(H19:H26)</f>
        <v>3722.11</v>
      </c>
      <c r="I27" s="975">
        <f>SUM(I19:I26)</f>
        <v>13027.4</v>
      </c>
      <c r="J27" s="1968"/>
      <c r="K27" s="2580">
        <f>SUM(K19:K26)</f>
        <v>0</v>
      </c>
      <c r="L27" s="2581">
        <f>SUM(L19:L26)</f>
        <v>13027.4</v>
      </c>
      <c r="M27" s="2582">
        <f>SUM(M19:M26)</f>
        <v>13027.4</v>
      </c>
      <c r="N27" s="2580">
        <f t="shared" ref="N27:O27" si="10">SUM(N19:N26)</f>
        <v>0</v>
      </c>
      <c r="O27" s="2581">
        <f t="shared" si="10"/>
        <v>0</v>
      </c>
      <c r="P27" s="2583">
        <f>SUM(P19:P26)</f>
        <v>0</v>
      </c>
      <c r="R27" s="2289">
        <f>IF(SUM(R19:R26)=$D$3,SUM(R19:R26),SUM(R19:R26)&amp;"误差"&amp;ROUND(SUM(R19:R26)-$D$3,2))</f>
        <v>223160.96999999997</v>
      </c>
      <c r="S27" s="275">
        <f>IF(SUM(S19:S26)=$E$3,SUM(S19:S26),SUM(S19:S26)&amp;"误差"&amp;ROUND(SUM(S19:S26)-E3,2))</f>
        <v>781063.4</v>
      </c>
    </row>
    <row r="28" spans="1:19" ht="14.4">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ht="14.4">
      <c r="A29" s="138"/>
      <c r="B29" s="115" t="s">
        <v>227</v>
      </c>
      <c r="C29" s="2297" t="s">
        <v>2318</v>
      </c>
      <c r="D29" s="111">
        <f>ROUND($D$3*E29/$E$3,2)</f>
        <v>3722.11</v>
      </c>
      <c r="E29" s="134">
        <f>SUM(F29:G29)</f>
        <v>13027.400000000023</v>
      </c>
      <c r="F29" s="144">
        <f>'数据-基础表'!BM5+'数据-基础表'!BO5</f>
        <v>13027.400000000023</v>
      </c>
      <c r="G29" s="146">
        <f>'数据-基础表'!BN5+'数据-基础表'!BP5</f>
        <v>0</v>
      </c>
      <c r="H29" s="1968"/>
      <c r="I29" s="1968"/>
      <c r="J29" s="1968"/>
      <c r="K29" s="1968"/>
      <c r="L29" s="1968"/>
    </row>
    <row r="30" spans="1:19" ht="14.4">
      <c r="A30" s="138"/>
      <c r="B30" s="111"/>
      <c r="C30" s="147" t="s">
        <v>215</v>
      </c>
      <c r="D30" s="134">
        <f>SUM(D28:D29)</f>
        <v>3722.11</v>
      </c>
      <c r="E30" s="134">
        <f>SUM(E28:E29)</f>
        <v>13027.400000000023</v>
      </c>
      <c r="F30" s="134">
        <f>SUM(F28:F29)</f>
        <v>13027.400000000023</v>
      </c>
      <c r="G30" s="112">
        <f>SUM(G28:G29)</f>
        <v>0</v>
      </c>
      <c r="H30" s="1968"/>
      <c r="I30" s="1968"/>
      <c r="J30" s="1968"/>
      <c r="K30" s="1968"/>
      <c r="L30" s="1968"/>
    </row>
    <row r="31" spans="1:19" ht="32.25" customHeight="1" thickBot="1">
      <c r="A31" s="1365"/>
      <c r="B31" s="1366" t="s">
        <v>229</v>
      </c>
      <c r="C31" s="2314" t="s">
        <v>2320</v>
      </c>
      <c r="D31" s="1367">
        <f>D27+D30</f>
        <v>223160.96999999997</v>
      </c>
      <c r="E31" s="1367">
        <f>E27+E30</f>
        <v>781063.4</v>
      </c>
      <c r="F31" s="1368">
        <f>F27+F30</f>
        <v>781063.4</v>
      </c>
      <c r="G31" s="1369">
        <f>G27+G30</f>
        <v>0</v>
      </c>
      <c r="H31" s="1968"/>
      <c r="I31" s="1968"/>
      <c r="J31" s="1968"/>
      <c r="K31" s="1968"/>
      <c r="L31" s="1968"/>
    </row>
    <row r="32" spans="1:19" ht="14.4">
      <c r="A32" s="1968"/>
      <c r="B32" s="2326" t="s">
        <v>2319</v>
      </c>
      <c r="C32" s="2610"/>
      <c r="D32" s="1196"/>
      <c r="E32" s="1196">
        <f>SUMIF(C19:C26,"*住宅*",E19:E26)</f>
        <v>740899</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24" sqref="M24"/>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2"/>
    <col min="42" max="42" width="0" style="1982" hidden="1" customWidth="1"/>
    <col min="43" max="83" width="13.77734375" style="1982"/>
    <col min="84" max="16384" width="13.77734375" style="1198"/>
  </cols>
  <sheetData>
    <row r="1" spans="1:83" ht="18"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 thickBot="1">
      <c r="A2" s="149" t="s">
        <v>235</v>
      </c>
      <c r="B2" s="2322">
        <f>项目基本情况!D3</f>
        <v>43902</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4.4"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7.6">
      <c r="A5" s="2288"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2825</v>
      </c>
      <c r="O5" s="163" t="s">
        <v>246</v>
      </c>
      <c r="P5" s="165" t="s">
        <v>247</v>
      </c>
      <c r="Q5" s="166" t="s">
        <v>248</v>
      </c>
      <c r="R5" s="167" t="s">
        <v>249</v>
      </c>
      <c r="S5" s="2584" t="s">
        <v>2570</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2321</v>
      </c>
      <c r="AI5" s="171" t="s">
        <v>2290</v>
      </c>
      <c r="AJ5" s="171" t="s">
        <v>258</v>
      </c>
      <c r="AK5" s="159" t="s">
        <v>259</v>
      </c>
      <c r="AL5" s="159" t="s">
        <v>260</v>
      </c>
      <c r="AM5" s="172" t="s">
        <v>261</v>
      </c>
      <c r="AN5" s="2354" t="s">
        <v>2371</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4">
      <c r="A6" s="2286" t="str">
        <f>'数据-汇总表'!C19</f>
        <v>住宅</v>
      </c>
      <c r="B6" s="2321" t="str">
        <f>IF(A6=0,"","经营性")</f>
        <v>经营性</v>
      </c>
      <c r="C6" s="173" t="s">
        <v>923</v>
      </c>
      <c r="D6" s="2292">
        <f>SUMIF(项目基本情况!D$15:I$15,C6,项目基本情况!D$18:I$18)</f>
        <v>70</v>
      </c>
      <c r="E6" s="2293">
        <f>IF(B6="","",SUMIF(项目基本情况!D$15:I$15,C6,项目基本情况!D$17:I$17))</f>
        <v>69459</v>
      </c>
      <c r="F6" s="174">
        <f>SUMIF(项目基本情况!D$15:I$15,C6,项目基本情况!D$19:I$19)</f>
        <v>70</v>
      </c>
      <c r="G6" s="175">
        <f>IF(ISERROR(ROUND(POWER(1+H6,D6-F6)*(POWER(1+H6,F6)-1)/(POWER(1+H6,D6)-1),3)),0,ROUND(POWER(1+H6,D6-F6)*(POWER(1+H6,F6)-1)/(POWER(1+H6,D6)-1),3))</f>
        <v>1</v>
      </c>
      <c r="H6" s="2977">
        <v>0.05</v>
      </c>
      <c r="I6" s="2977">
        <v>5.5E-2</v>
      </c>
      <c r="J6" s="176">
        <v>0.08</v>
      </c>
      <c r="K6" s="179">
        <f>SUMIF('数据-汇总表'!C$19:C$33,'数据-取费表'!A6,'数据-汇总表'!E$19:E$33)</f>
        <v>740899</v>
      </c>
      <c r="L6" s="2978">
        <v>3500</v>
      </c>
      <c r="M6" s="177">
        <f t="shared" ref="M6:M14" si="0">ROUND(K6*L6/10000,0)</f>
        <v>259315</v>
      </c>
      <c r="N6" s="2979">
        <v>0</v>
      </c>
      <c r="O6" s="177">
        <f>IF($N$5="成新度","——",ROUND(M6*N6,0))</f>
        <v>0</v>
      </c>
      <c r="P6" s="178">
        <f>IF($N$5="成新度","——",M6-O6)</f>
        <v>259315</v>
      </c>
      <c r="Q6" s="2980">
        <v>0.2</v>
      </c>
      <c r="R6" s="179">
        <f>SUMIF('数据-汇总表'!C$19:C$33,A6,'数据-汇总表'!R$19:R$33)</f>
        <v>215407.53999999998</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0.96699999999999997</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4">
      <c r="A7" s="2286" t="str">
        <f>'数据-汇总表'!C20</f>
        <v>商业</v>
      </c>
      <c r="B7" s="2321" t="str">
        <f t="shared" ref="B7:B13" si="1">IF(A7=0,"","经营性")</f>
        <v>经营性</v>
      </c>
      <c r="C7" s="173" t="s">
        <v>3026</v>
      </c>
      <c r="D7" s="2292">
        <f>SUMIF(项目基本情况!D$15:I$15,C7,项目基本情况!D$18:I$18)</f>
        <v>40</v>
      </c>
      <c r="E7" s="2293">
        <f>IF(B7="","",SUMIF(项目基本情况!D$15:I$15,C7,项目基本情况!D$17:I$17))</f>
        <v>58502</v>
      </c>
      <c r="F7" s="174">
        <f>SUMIF(项目基本情况!D$15:I$15,C7,项目基本情况!D$19:I$19)</f>
        <v>40</v>
      </c>
      <c r="G7" s="175">
        <f t="shared" ref="G7:G11" si="2">IF(ISERROR(ROUND(POWER(1+H7,D7-F7)*(POWER(1+H7,F7)-1)/(POWER(1+H7,D7)-1),3)),0,ROUND(POWER(1+H7,D7-F7)*(POWER(1+H7,F7)-1)/(POWER(1+H7,D7)-1),3))</f>
        <v>1</v>
      </c>
      <c r="H7" s="2977">
        <v>5.5E-2</v>
      </c>
      <c r="I7" s="2977">
        <v>0.06</v>
      </c>
      <c r="J7" s="176">
        <f>J6</f>
        <v>0.08</v>
      </c>
      <c r="K7" s="179">
        <f>SUMIF('数据-汇总表'!C$19:C$33,'数据-取费表'!A7,'数据-汇总表'!E$19:E$33)</f>
        <v>27137</v>
      </c>
      <c r="L7" s="2978">
        <v>3000</v>
      </c>
      <c r="M7" s="177">
        <f t="shared" si="0"/>
        <v>8141</v>
      </c>
      <c r="N7" s="2979">
        <v>0</v>
      </c>
      <c r="O7" s="177">
        <f t="shared" ref="O7:O14" si="3">IF($N$5="成新度","——",ROUND(M7*N7,0))</f>
        <v>0</v>
      </c>
      <c r="P7" s="178">
        <f t="shared" ref="P7:P14" si="4">IF($N$5="成新度","——",M7-O7)</f>
        <v>8141</v>
      </c>
      <c r="Q7" s="2980">
        <v>0.25</v>
      </c>
      <c r="R7" s="179">
        <f>SUMIF('数据-汇总表'!C$19:C$33,A7,'数据-汇总表'!R$19:R$33)</f>
        <v>7753.43</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v>3</v>
      </c>
      <c r="V7" s="181">
        <v>0.02</v>
      </c>
      <c r="W7" s="3216">
        <v>0.15</v>
      </c>
      <c r="X7" s="2305"/>
      <c r="Y7" s="182">
        <v>1</v>
      </c>
      <c r="Z7" s="183"/>
      <c r="AA7" s="176"/>
      <c r="AB7" s="176"/>
      <c r="AC7" s="2308"/>
      <c r="AD7" s="184"/>
      <c r="AE7" s="971">
        <f t="shared" ref="AE7:AE13" ca="1" si="6">IF(AN7="",0,SUMIF(INDIRECT("'"&amp;AN7&amp;"'"&amp;"!E:E"),$AE$5,INDIRECT("'"&amp;AN7&amp;"'"&amp;"!F:F")))</f>
        <v>37</v>
      </c>
      <c r="AF7" s="141"/>
      <c r="AG7" s="1208">
        <f t="shared" ref="AG7:AG13" si="7">IF(AF7="",0,AE7-AF7)</f>
        <v>0</v>
      </c>
      <c r="AH7" s="141"/>
      <c r="AI7" s="187">
        <v>365</v>
      </c>
      <c r="AJ7" s="188"/>
      <c r="AK7" s="189">
        <v>1.4999999999999999E-2</v>
      </c>
      <c r="AL7" s="190">
        <v>1.5E-3</v>
      </c>
      <c r="AM7" s="3217">
        <v>0.02</v>
      </c>
      <c r="AN7" s="2355" t="s">
        <v>3431</v>
      </c>
      <c r="AO7" s="1984"/>
      <c r="AP7" s="1199">
        <f t="shared" ref="AP7:AP13" si="8">ROUND(1-1/(1+H7)^F7,3)</f>
        <v>0.88300000000000001</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4">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4">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4">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4">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4">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3.8">
      <c r="A14" s="2287" t="s">
        <v>2312</v>
      </c>
      <c r="B14" s="2290" t="s">
        <v>1679</v>
      </c>
      <c r="C14" s="2291" t="s">
        <v>2312</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8.8">
      <c r="A15" s="2296" t="s">
        <v>2314</v>
      </c>
      <c r="B15" s="2290" t="s">
        <v>1679</v>
      </c>
      <c r="C15" s="2291" t="s">
        <v>2313</v>
      </c>
      <c r="D15" s="2292"/>
      <c r="E15" s="2293"/>
      <c r="F15" s="174"/>
      <c r="G15" s="175"/>
      <c r="H15" s="2294"/>
      <c r="I15" s="2294"/>
      <c r="J15" s="2294"/>
      <c r="K15" s="179">
        <f>SUMIF('数据-汇总表'!C$19:C$33,'数据-取费表'!A15,'数据-汇总表'!E$19:E$33)</f>
        <v>13027.400000000023</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 thickBot="1">
      <c r="A16" s="198" t="s">
        <v>262</v>
      </c>
      <c r="B16" s="199"/>
      <c r="C16" s="200"/>
      <c r="D16" s="201"/>
      <c r="E16" s="199"/>
      <c r="F16" s="199"/>
      <c r="G16" s="202">
        <f>ROUND(SUMPRODUCT(G6:G13,K6:K13)/SUMPRODUCT((G6:G13&gt;0)*(K6:K13)),3)</f>
        <v>1</v>
      </c>
      <c r="H16" s="203">
        <f>ROUND(SUMPRODUCT(H6:H13,K6:K13)/SUMPRODUCT((H6:H13&gt;0)*(K6:K13)),3)</f>
        <v>0.05</v>
      </c>
      <c r="I16" s="204"/>
      <c r="J16" s="204"/>
      <c r="K16" s="205">
        <f>SUM(K6:K15)</f>
        <v>781063.4</v>
      </c>
      <c r="L16" s="206">
        <f>ROUND(M16*10000/SUM(K6:K14),0)</f>
        <v>3482</v>
      </c>
      <c r="M16" s="206">
        <f>SUM(M6:M14)</f>
        <v>267456</v>
      </c>
      <c r="N16" s="207">
        <f>ROUND(SUMPRODUCT(M6:M14,N6:N14)/M16,3)</f>
        <v>0</v>
      </c>
      <c r="O16" s="206">
        <f>SUM(O6:O14)</f>
        <v>0</v>
      </c>
      <c r="P16" s="206">
        <f>SUM(P6:P14)</f>
        <v>267456</v>
      </c>
      <c r="Q16" s="208">
        <f>ROUND(SUMPRODUCT(Q6:Q13,K6:K13)/SUMPRODUCT((Q6:Q13&gt;0)*(K6:K13)),2)</f>
        <v>0.2</v>
      </c>
      <c r="R16" s="2295">
        <f>SUM(R6:R13)</f>
        <v>223160.96999999997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0.96399999999999997</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3584">
        <v>0.2</v>
      </c>
      <c r="K18" s="3585">
        <f>K16*J18</f>
        <v>156212.68000000002</v>
      </c>
      <c r="L18" s="1975">
        <v>2500</v>
      </c>
      <c r="M18" s="1973">
        <f>L18*K18/10000</f>
        <v>39053.170000000006</v>
      </c>
      <c r="N18" s="1973"/>
      <c r="O18" s="1973"/>
      <c r="P18" s="1973"/>
      <c r="Q18" s="3596">
        <f>Q16/B20</f>
        <v>6.6666666666666666E-2</v>
      </c>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4">
      <c r="A19" s="217" t="s">
        <v>264</v>
      </c>
      <c r="B19" s="218">
        <v>0</v>
      </c>
      <c r="C19" s="2327" t="s">
        <v>2334</v>
      </c>
      <c r="D19" s="1977"/>
      <c r="E19" s="1976"/>
      <c r="F19" s="1976"/>
      <c r="G19" s="1976"/>
      <c r="H19" s="1976"/>
      <c r="I19" s="1976"/>
      <c r="J19" s="1976"/>
      <c r="K19" s="3586">
        <f>K6</f>
        <v>740899</v>
      </c>
      <c r="L19" s="1975">
        <f>L18+N19</f>
        <v>3000</v>
      </c>
      <c r="M19" s="1973">
        <f t="shared" ref="M19:M21" si="9">L19*K19/10000</f>
        <v>222269.7</v>
      </c>
      <c r="N19" s="1973">
        <v>500</v>
      </c>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4">
      <c r="A20" s="219" t="s">
        <v>265</v>
      </c>
      <c r="B20" s="3208">
        <v>3</v>
      </c>
      <c r="C20" s="2327" t="s">
        <v>2333</v>
      </c>
      <c r="D20" s="1977"/>
      <c r="E20" s="1976"/>
      <c r="F20" s="1976"/>
      <c r="G20" s="1976"/>
      <c r="H20" s="1976"/>
      <c r="I20" s="1976"/>
      <c r="J20" s="1976"/>
      <c r="K20" s="3586"/>
      <c r="L20" s="1975"/>
      <c r="M20" s="1973">
        <f t="shared" si="9"/>
        <v>0</v>
      </c>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1" t="s">
        <v>266</v>
      </c>
      <c r="B21" s="220">
        <v>0</v>
      </c>
      <c r="C21" s="1976"/>
      <c r="D21" s="1977"/>
      <c r="E21" s="1976"/>
      <c r="F21" s="1976"/>
      <c r="G21" s="1976"/>
      <c r="H21" s="1976"/>
      <c r="I21" s="1976"/>
      <c r="J21" s="1976"/>
      <c r="K21" s="3586">
        <f>K15</f>
        <v>13027.400000000023</v>
      </c>
      <c r="L21" s="1975">
        <f>L18</f>
        <v>2500</v>
      </c>
      <c r="M21" s="1973">
        <f t="shared" si="9"/>
        <v>3256.8500000000058</v>
      </c>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3</v>
      </c>
      <c r="C22" s="1976"/>
      <c r="D22" s="1977"/>
      <c r="E22" s="1976"/>
      <c r="F22" s="1976"/>
      <c r="G22" s="1976"/>
      <c r="H22" s="1976"/>
      <c r="I22" s="1976"/>
      <c r="J22" s="1976"/>
      <c r="K22" s="1975"/>
      <c r="L22" s="1975">
        <f>M22*10000/K16</f>
        <v>3387.4294967604428</v>
      </c>
      <c r="M22" s="1973">
        <f>SUM(M18:M21)</f>
        <v>264579.72000000003</v>
      </c>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3</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8.8">
      <c r="A27" s="226" t="s">
        <v>2336</v>
      </c>
      <c r="B27" s="227">
        <v>240</v>
      </c>
      <c r="C27" s="2330" t="s">
        <v>2340</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8.8">
      <c r="A28" s="228" t="s">
        <v>2337</v>
      </c>
      <c r="B28" s="229">
        <v>240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9.4" thickBot="1">
      <c r="A29" s="231" t="s">
        <v>2335</v>
      </c>
      <c r="B29" s="232">
        <v>0</v>
      </c>
      <c r="C29" s="1538" t="s">
        <v>2338</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8.8">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8.8">
      <c r="A31" s="228" t="s">
        <v>274</v>
      </c>
      <c r="B31" s="230">
        <f>B30-B32</f>
        <v>100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9.4" thickBot="1">
      <c r="A32" s="237" t="s">
        <v>275</v>
      </c>
      <c r="B32" s="1373">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4">
      <c r="A33" s="226" t="s">
        <v>278</v>
      </c>
      <c r="B33" s="1374">
        <v>0.03</v>
      </c>
      <c r="C33" s="2328" t="s">
        <v>2890</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233">
        <v>0.05</v>
      </c>
      <c r="C34" s="2328" t="s">
        <v>2891</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v>200</v>
      </c>
      <c r="C35" s="2328" t="s">
        <v>2892</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2893</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236">
        <v>0.02</v>
      </c>
      <c r="C37" s="2328" t="s">
        <v>2894</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233">
        <v>0.02</v>
      </c>
      <c r="C38" s="2328" t="s">
        <v>2894</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2" t="s">
        <v>2454</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2455</v>
      </c>
      <c r="B40" s="2444">
        <f ca="1">存贷款利率!E2</f>
        <v>4.7500000000000001E-2</v>
      </c>
      <c r="C40" s="2328" t="s">
        <v>2339</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8" t="s">
        <v>283</v>
      </c>
      <c r="B42" s="240">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9" t="s">
        <v>285</v>
      </c>
      <c r="B44" s="242">
        <v>7.0000000000000007E-2</v>
      </c>
      <c r="C44" s="2328" t="s">
        <v>2895</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9" t="s">
        <v>286</v>
      </c>
      <c r="B45" s="240">
        <v>0.03</v>
      </c>
      <c r="C45" s="2330" t="s">
        <v>2896</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9" t="s">
        <v>287</v>
      </c>
      <c r="B46" s="240">
        <v>0.02</v>
      </c>
      <c r="C46" s="2330" t="s">
        <v>2897</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2898</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5" t="s">
        <v>289</v>
      </c>
      <c r="B48" s="246">
        <v>0.03</v>
      </c>
      <c r="C48" s="3026" t="s">
        <v>2899</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2900</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7" t="s">
        <v>293</v>
      </c>
      <c r="B52" s="250">
        <f>SUMIF(A54:A63,B53,B54:B63)</f>
        <v>4</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1" t="s">
        <v>1409</v>
      </c>
      <c r="C53" s="3027" t="s">
        <v>2901</v>
      </c>
      <c r="D53" s="3028" t="s">
        <v>2902</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30" t="s">
        <v>2903</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30" t="s">
        <v>2904</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30" t="s">
        <v>2905</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30" t="s">
        <v>2906</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30" t="s">
        <v>2907</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30" t="s">
        <v>2908</v>
      </c>
      <c r="B59" s="186">
        <v>4</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30" t="s">
        <v>2909</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30" t="s">
        <v>2910</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30" t="s">
        <v>2911</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2912</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7" sqref="C7"/>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88671875" style="2009" customWidth="1"/>
    <col min="6" max="6" width="27" style="2007" customWidth="1"/>
    <col min="7" max="7" width="27" style="2008" customWidth="1"/>
    <col min="8" max="8" width="11.88671875" style="2007" customWidth="1"/>
    <col min="9" max="9" width="16.77734375" style="2008" customWidth="1"/>
    <col min="10" max="10" width="2.6640625" style="2009" customWidth="1"/>
    <col min="11" max="11" width="11.88671875" style="2007" customWidth="1"/>
    <col min="12" max="12" width="16.77734375" style="2008" customWidth="1"/>
    <col min="13" max="13" width="2.6640625" style="2009" customWidth="1"/>
    <col min="14" max="14" width="11.88671875" style="2007" customWidth="1"/>
    <col min="15" max="15" width="16.77734375" style="2008" customWidth="1"/>
    <col min="16" max="16" width="2.6640625" style="2009" customWidth="1"/>
    <col min="17" max="17" width="11.88671875" style="2007" customWidth="1"/>
    <col min="18" max="18" width="16.77734375" style="2010" customWidth="1"/>
    <col min="19" max="16384" width="9" style="1992"/>
  </cols>
  <sheetData>
    <row r="1" spans="1:18" s="1991" customFormat="1" ht="18" thickBot="1">
      <c r="A1" s="3364" t="s">
        <v>1663</v>
      </c>
      <c r="B1" s="3365"/>
      <c r="C1" s="3365"/>
      <c r="D1" s="3365"/>
      <c r="E1" s="3365"/>
      <c r="F1" s="3365"/>
      <c r="G1" s="3365"/>
      <c r="H1" s="1986"/>
      <c r="I1" s="1987"/>
      <c r="J1" s="1988"/>
      <c r="K1" s="1986"/>
      <c r="L1" s="1987"/>
      <c r="M1" s="1988"/>
      <c r="N1" s="1986"/>
      <c r="O1" s="1987"/>
      <c r="P1" s="1988"/>
      <c r="Q1" s="1989"/>
      <c r="R1" s="1990"/>
    </row>
    <row r="2" spans="1:18" ht="15" thickBot="1">
      <c r="A2" s="1216"/>
      <c r="B2" s="1217"/>
      <c r="C2" s="1218" t="s">
        <v>1664</v>
      </c>
      <c r="D2" s="1219"/>
      <c r="E2" s="1220"/>
      <c r="F2" s="1221"/>
      <c r="G2" s="1218" t="s">
        <v>1665</v>
      </c>
      <c r="H2" s="1992"/>
      <c r="I2" s="1992"/>
      <c r="J2" s="1992"/>
      <c r="K2" s="1992"/>
      <c r="L2" s="1992"/>
      <c r="M2" s="1992"/>
      <c r="N2" s="1992"/>
      <c r="O2" s="1992"/>
      <c r="P2" s="1992"/>
      <c r="Q2" s="1992"/>
      <c r="R2" s="1992"/>
    </row>
    <row r="3" spans="1:18" ht="43.2">
      <c r="A3" s="1222" t="s">
        <v>1666</v>
      </c>
      <c r="B3" s="1223" t="s">
        <v>1653</v>
      </c>
      <c r="C3" s="3197" t="s">
        <v>3424</v>
      </c>
      <c r="D3" s="1993"/>
      <c r="E3" s="1224" t="s">
        <v>1666</v>
      </c>
      <c r="F3" s="1225" t="s">
        <v>1654</v>
      </c>
      <c r="G3" s="3034" t="s">
        <v>2917</v>
      </c>
      <c r="H3" s="1992"/>
      <c r="I3" s="1992"/>
      <c r="J3" s="1992"/>
      <c r="K3" s="1992"/>
      <c r="L3" s="1992"/>
      <c r="M3" s="1992"/>
      <c r="N3" s="1992"/>
      <c r="O3" s="1992"/>
      <c r="P3" s="1992"/>
      <c r="Q3" s="1992"/>
      <c r="R3" s="1992"/>
    </row>
    <row r="4" spans="1:18" ht="43.2">
      <c r="A4" s="1224"/>
      <c r="B4" s="1226" t="s">
        <v>1667</v>
      </c>
      <c r="C4" s="3198" t="s">
        <v>3425</v>
      </c>
      <c r="D4" s="1993"/>
      <c r="E4" s="1227"/>
      <c r="F4" s="1228" t="s">
        <v>1668</v>
      </c>
      <c r="G4" s="3033" t="s">
        <v>2914</v>
      </c>
      <c r="H4" s="1992"/>
      <c r="I4" s="1992"/>
      <c r="J4" s="1992"/>
      <c r="K4" s="1992"/>
      <c r="L4" s="1992"/>
      <c r="M4" s="1992"/>
      <c r="N4" s="1992"/>
      <c r="O4" s="1992"/>
      <c r="P4" s="1992"/>
      <c r="Q4" s="1992"/>
      <c r="R4" s="1992"/>
    </row>
    <row r="5" spans="1:18" ht="28.8">
      <c r="A5" s="1224"/>
      <c r="B5" s="1226" t="s">
        <v>1669</v>
      </c>
      <c r="C5" s="3032"/>
      <c r="D5" s="1993"/>
      <c r="E5" s="1227"/>
      <c r="F5" s="1226" t="s">
        <v>2544</v>
      </c>
      <c r="G5" s="3033" t="s">
        <v>2915</v>
      </c>
      <c r="H5" s="1992"/>
      <c r="I5" s="1992"/>
      <c r="J5" s="1992"/>
      <c r="K5" s="1992"/>
      <c r="L5" s="1992"/>
      <c r="M5" s="1992"/>
      <c r="N5" s="1992"/>
      <c r="O5" s="1992"/>
      <c r="P5" s="1992"/>
      <c r="Q5" s="1992"/>
      <c r="R5" s="1992"/>
    </row>
    <row r="6" spans="1:18" ht="28.8">
      <c r="A6" s="1224"/>
      <c r="B6" s="1226" t="s">
        <v>1655</v>
      </c>
      <c r="C6" s="3199" t="s">
        <v>3425</v>
      </c>
      <c r="D6" s="1993"/>
      <c r="E6" s="1227"/>
      <c r="F6" s="1226" t="s">
        <v>2545</v>
      </c>
      <c r="G6" s="3033" t="s">
        <v>2913</v>
      </c>
      <c r="H6" s="1992"/>
      <c r="I6" s="1992"/>
      <c r="J6" s="1992"/>
      <c r="K6" s="1992"/>
      <c r="L6" s="1992"/>
      <c r="M6" s="1992"/>
      <c r="N6" s="1992"/>
      <c r="O6" s="1992"/>
      <c r="P6" s="1992"/>
      <c r="Q6" s="1992"/>
      <c r="R6" s="1992"/>
    </row>
    <row r="7" spans="1:18" ht="43.8" thickBot="1">
      <c r="A7" s="1224"/>
      <c r="B7" s="1226" t="s">
        <v>2544</v>
      </c>
      <c r="C7" s="3199" t="s">
        <v>3425</v>
      </c>
      <c r="D7" s="1994"/>
      <c r="E7" s="1229"/>
      <c r="F7" s="1230" t="s">
        <v>1670</v>
      </c>
      <c r="G7" s="3035" t="s">
        <v>2916</v>
      </c>
      <c r="H7" s="1992"/>
      <c r="I7" s="1992"/>
      <c r="J7" s="1992"/>
      <c r="K7" s="1992"/>
      <c r="L7" s="1992"/>
      <c r="M7" s="1992"/>
      <c r="N7" s="1992"/>
      <c r="O7" s="1992"/>
      <c r="P7" s="1992"/>
      <c r="Q7" s="1992"/>
      <c r="R7" s="1992"/>
    </row>
    <row r="8" spans="1:18">
      <c r="A8" s="1224"/>
      <c r="B8" s="1226" t="s">
        <v>2545</v>
      </c>
      <c r="C8" s="3199" t="s">
        <v>3427</v>
      </c>
      <c r="D8" s="1994"/>
      <c r="E8" s="1994"/>
      <c r="F8" s="1539"/>
      <c r="G8" s="1539"/>
      <c r="H8" s="1992"/>
      <c r="I8" s="1992"/>
      <c r="J8" s="1992"/>
      <c r="K8" s="1992"/>
      <c r="L8" s="1992"/>
      <c r="M8" s="1992"/>
      <c r="N8" s="1992"/>
      <c r="O8" s="1992"/>
      <c r="P8" s="1992"/>
      <c r="Q8" s="1992"/>
      <c r="R8" s="1992"/>
    </row>
    <row r="9" spans="1:18">
      <c r="A9" s="1224"/>
      <c r="B9" s="1226" t="s">
        <v>1656</v>
      </c>
      <c r="C9" s="3198" t="s">
        <v>3425</v>
      </c>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3200" t="s">
        <v>3428</v>
      </c>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1672</v>
      </c>
      <c r="B13" s="2541"/>
      <c r="C13" s="2541"/>
      <c r="D13" s="1219"/>
      <c r="E13" s="2541"/>
      <c r="F13" s="2541"/>
      <c r="G13" s="2541"/>
    </row>
    <row r="14" spans="1:18" ht="15" thickBot="1">
      <c r="A14" s="1233"/>
      <c r="B14" s="1234"/>
      <c r="C14" s="1235" t="s">
        <v>1664</v>
      </c>
      <c r="D14" s="1993"/>
      <c r="E14" s="1236"/>
      <c r="F14" s="1236"/>
      <c r="G14" s="1218" t="s">
        <v>1665</v>
      </c>
    </row>
    <row r="15" spans="1:18" ht="43.2">
      <c r="A15" s="2551" t="s">
        <v>1657</v>
      </c>
      <c r="B15" s="1237" t="s">
        <v>1653</v>
      </c>
      <c r="C15" s="1238" t="str">
        <f>C3</f>
        <v>一般</v>
      </c>
      <c r="D15" s="1993"/>
      <c r="E15" s="2548" t="s">
        <v>1658</v>
      </c>
      <c r="F15" s="1237" t="s">
        <v>1673</v>
      </c>
      <c r="G15" s="1239" t="str">
        <f>G3</f>
        <v>估价对象位于XX开发区，园区建设成熟度XX，产业集聚程度XX</v>
      </c>
    </row>
    <row r="16" spans="1:18" ht="43.2">
      <c r="A16" s="2552"/>
      <c r="B16" s="1240" t="s">
        <v>1667</v>
      </c>
      <c r="C16" s="1241" t="str">
        <f>C4</f>
        <v>一般</v>
      </c>
      <c r="D16" s="1993"/>
      <c r="E16" s="2549"/>
      <c r="F16" s="1242" t="s">
        <v>1668</v>
      </c>
      <c r="G16" s="1004" t="str">
        <f>G4</f>
        <v>估价对象周边道路状况、公共交通通达情况、停车便捷程度，综合评价交通便捷度较好</v>
      </c>
    </row>
    <row r="17" spans="1:7">
      <c r="A17" s="2552"/>
      <c r="B17" s="1240" t="s">
        <v>1669</v>
      </c>
      <c r="C17" s="1241">
        <f>C5</f>
        <v>0</v>
      </c>
      <c r="D17" s="1994"/>
      <c r="E17" s="2549"/>
      <c r="F17" s="1242" t="s">
        <v>1674</v>
      </c>
      <c r="G17" s="2749"/>
    </row>
    <row r="18" spans="1:7" ht="43.2">
      <c r="A18" s="2552"/>
      <c r="B18" s="1242" t="s">
        <v>1655</v>
      </c>
      <c r="C18" s="1004" t="str">
        <f>C6</f>
        <v>一般</v>
      </c>
      <c r="D18" s="1994"/>
      <c r="E18" s="2549"/>
      <c r="F18" s="1242" t="s">
        <v>1670</v>
      </c>
      <c r="G18" s="1004" t="str">
        <f>G7</f>
        <v>该园区内是否有污染型企业，绿化情况，卫生条件，整体环境状况判断</v>
      </c>
    </row>
    <row r="19" spans="1:7" ht="28.8">
      <c r="A19" s="2552"/>
      <c r="B19" s="1242" t="s">
        <v>1659</v>
      </c>
      <c r="C19" s="2749"/>
      <c r="D19" s="1993"/>
      <c r="E19" s="2549"/>
      <c r="F19" s="1226" t="s">
        <v>2544</v>
      </c>
      <c r="G19" s="1004" t="str">
        <f>G5</f>
        <v>估价对象所在区域公共配套设施齐备情况</v>
      </c>
    </row>
    <row r="20" spans="1:7" ht="28.8">
      <c r="A20" s="2552"/>
      <c r="B20" s="1242" t="s">
        <v>1660</v>
      </c>
      <c r="C20" s="1241" t="str">
        <f>C9</f>
        <v>一般</v>
      </c>
      <c r="D20" s="1994"/>
      <c r="E20" s="2549"/>
      <c r="F20" s="1226" t="s">
        <v>2545</v>
      </c>
      <c r="G20" s="1004" t="str">
        <f>G6</f>
        <v>估价对象所在区域基础设施水平</v>
      </c>
    </row>
    <row r="21" spans="1:7">
      <c r="A21" s="2552"/>
      <c r="B21" s="1226" t="s">
        <v>2544</v>
      </c>
      <c r="C21" s="1004" t="str">
        <f>C7</f>
        <v>一般</v>
      </c>
      <c r="D21" s="1993"/>
      <c r="E21" s="2549"/>
      <c r="F21" s="1242" t="s">
        <v>1661</v>
      </c>
      <c r="G21" s="3036"/>
    </row>
    <row r="22" spans="1:7">
      <c r="A22" s="2552"/>
      <c r="B22" s="1226" t="s">
        <v>2545</v>
      </c>
      <c r="C22" s="1004" t="str">
        <f>C8</f>
        <v>七通</v>
      </c>
      <c r="D22" s="1993"/>
      <c r="E22" s="2549"/>
      <c r="F22" s="1242" t="s">
        <v>1671</v>
      </c>
      <c r="G22" s="2749"/>
    </row>
    <row r="23" spans="1:7" ht="15" thickBot="1">
      <c r="A23" s="2552"/>
      <c r="B23" s="1242" t="s">
        <v>1661</v>
      </c>
      <c r="C23" s="3036"/>
      <c r="E23" s="2550"/>
      <c r="F23" s="1243" t="s">
        <v>1675</v>
      </c>
      <c r="G23" s="3037"/>
    </row>
    <row r="24" spans="1:7" ht="15" thickBot="1">
      <c r="A24" s="2553"/>
      <c r="B24" s="1243" t="s">
        <v>1662</v>
      </c>
      <c r="C24" s="1244" t="str">
        <f>C10</f>
        <v>主干道——文兴路</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 sqref="E2"/>
    </sheetView>
  </sheetViews>
  <sheetFormatPr defaultColWidth="14.6640625" defaultRowHeight="14.4"/>
  <cols>
    <col min="1" max="1" width="24.33203125" customWidth="1"/>
  </cols>
  <sheetData>
    <row r="1" spans="1:9" ht="15.6">
      <c r="A1" s="2996" t="s">
        <v>2841</v>
      </c>
      <c r="B1" s="2996">
        <f>SUM(B14:B23)</f>
        <v>781063.4</v>
      </c>
      <c r="C1" s="2997"/>
      <c r="D1" s="2997"/>
      <c r="E1" s="2997"/>
      <c r="F1" s="2997"/>
    </row>
    <row r="2" spans="1:9" ht="15.6">
      <c r="A2" s="2996" t="s">
        <v>2842</v>
      </c>
      <c r="B2" s="2996">
        <f>SUM(C14:C23)</f>
        <v>223160.97</v>
      </c>
      <c r="C2" s="2997"/>
      <c r="D2" s="2997"/>
      <c r="E2" s="2997"/>
      <c r="F2" s="2997"/>
    </row>
    <row r="3" spans="1:9" ht="15.6">
      <c r="A3" s="2996" t="s">
        <v>2843</v>
      </c>
      <c r="B3" s="2998">
        <f>项目基本情况!D3</f>
        <v>43902</v>
      </c>
      <c r="C3" s="2997"/>
      <c r="D3" s="2997"/>
      <c r="E3" s="2997"/>
      <c r="F3" s="2997"/>
    </row>
    <row r="4" spans="1:9" ht="31.2">
      <c r="A4" s="2996" t="s">
        <v>2844</v>
      </c>
      <c r="B4" s="2996" t="s">
        <v>2845</v>
      </c>
      <c r="C4" s="2996" t="s">
        <v>2846</v>
      </c>
      <c r="D4" s="2996" t="s">
        <v>2847</v>
      </c>
      <c r="E4" s="2997"/>
      <c r="F4" s="2997"/>
    </row>
    <row r="5" spans="1:9" ht="15.6">
      <c r="A5" s="2996" t="s">
        <v>2848</v>
      </c>
      <c r="B5" s="2996">
        <f ca="1">SUM(D14:D23)</f>
        <v>192955</v>
      </c>
      <c r="C5" s="2996">
        <f ca="1">ROUND(B5*10000/$B$1,0)</f>
        <v>2470</v>
      </c>
      <c r="D5" s="2996">
        <f ca="1">ROUND(B5*10000/$B$2,0)</f>
        <v>8646</v>
      </c>
      <c r="E5" s="2997"/>
      <c r="F5" s="2997"/>
    </row>
    <row r="6" spans="1:9" ht="15.6">
      <c r="A6" s="2996" t="s">
        <v>2849</v>
      </c>
      <c r="B6" s="2996">
        <f ca="1">SUM(G14:G23)</f>
        <v>192955</v>
      </c>
      <c r="C6" s="2996">
        <f t="shared" ref="C6:C8" ca="1" si="0">ROUND(B6*10000/$B$1,0)</f>
        <v>2470</v>
      </c>
      <c r="D6" s="2996">
        <f t="shared" ref="D6:D8" ca="1" si="1">ROUND(B6*10000/$B$2,0)</f>
        <v>8646</v>
      </c>
      <c r="E6" s="2997"/>
      <c r="F6" s="2997"/>
    </row>
    <row r="7" spans="1:9" ht="15.6">
      <c r="A7" s="2996" t="s">
        <v>2850</v>
      </c>
      <c r="B7" s="2996">
        <f>SUM(H14:H23)</f>
        <v>0</v>
      </c>
      <c r="C7" s="2996">
        <f t="shared" si="0"/>
        <v>0</v>
      </c>
      <c r="D7" s="2996">
        <f t="shared" si="1"/>
        <v>0</v>
      </c>
      <c r="E7" s="2997"/>
      <c r="F7" s="2997"/>
    </row>
    <row r="8" spans="1:9" ht="15.6">
      <c r="A8" s="2996" t="s">
        <v>2851</v>
      </c>
      <c r="B8" s="2996">
        <f>SUM(I14:I23)</f>
        <v>0</v>
      </c>
      <c r="C8" s="2996">
        <f t="shared" si="0"/>
        <v>0</v>
      </c>
      <c r="D8" s="2996">
        <f t="shared" si="1"/>
        <v>0</v>
      </c>
      <c r="E8" s="2997"/>
      <c r="F8" s="2997"/>
    </row>
    <row r="9" spans="1:9" ht="15.6">
      <c r="A9" s="2996" t="s">
        <v>2852</v>
      </c>
      <c r="B9" s="2999"/>
      <c r="C9" s="2997"/>
      <c r="D9" s="2997"/>
      <c r="E9" s="2997"/>
      <c r="F9" s="2997"/>
    </row>
    <row r="10" spans="1:9" ht="15.6">
      <c r="A10" s="2996" t="s">
        <v>2853</v>
      </c>
      <c r="B10" s="2999"/>
      <c r="C10" s="2997"/>
      <c r="D10" s="2997"/>
      <c r="E10" s="2997"/>
      <c r="F10" s="2997"/>
    </row>
    <row r="11" spans="1:9" ht="15.6">
      <c r="A11" s="2996" t="s">
        <v>2870</v>
      </c>
      <c r="B11" s="2999"/>
      <c r="C11" s="2997"/>
      <c r="D11" s="2997"/>
      <c r="E11" s="2997"/>
      <c r="F11" s="2997"/>
    </row>
    <row r="12" spans="1:9" ht="15.6">
      <c r="A12" s="2997"/>
      <c r="B12" s="2997"/>
      <c r="C12" s="2997"/>
      <c r="D12" s="2997"/>
      <c r="E12" s="2997"/>
      <c r="F12" s="2997"/>
    </row>
    <row r="13" spans="1:9" ht="31.2">
      <c r="A13" s="3002" t="s">
        <v>2869</v>
      </c>
      <c r="B13" s="3000" t="s">
        <v>2841</v>
      </c>
      <c r="C13" s="3000" t="s">
        <v>2842</v>
      </c>
      <c r="D13" s="3000" t="s">
        <v>2854</v>
      </c>
      <c r="E13" s="2996" t="s">
        <v>2868</v>
      </c>
      <c r="F13" s="2996" t="s">
        <v>2847</v>
      </c>
      <c r="G13" s="3000" t="s">
        <v>2855</v>
      </c>
      <c r="H13" s="3000" t="s">
        <v>2856</v>
      </c>
      <c r="I13" s="3000" t="s">
        <v>2857</v>
      </c>
    </row>
    <row r="14" spans="1:9" ht="15.6">
      <c r="A14" s="3003" t="s">
        <v>2867</v>
      </c>
      <c r="B14" s="3000">
        <f>结果表!L38</f>
        <v>781063.4</v>
      </c>
      <c r="C14" s="3000">
        <f>结果表!K38</f>
        <v>223160.97</v>
      </c>
      <c r="D14" s="3000">
        <f ca="1">结果表!C42</f>
        <v>192955</v>
      </c>
      <c r="E14" s="3000">
        <f ca="1">ROUND(D14*10000/B14,0)</f>
        <v>2470</v>
      </c>
      <c r="F14" s="3000">
        <f ca="1">ROUND(D14*10000/C14,0)</f>
        <v>8646</v>
      </c>
      <c r="G14" s="3000">
        <f ca="1">结果表!C44</f>
        <v>192955</v>
      </c>
      <c r="H14" s="3000" t="str">
        <f>结果表!C45</f>
        <v>——</v>
      </c>
      <c r="I14" s="3000" t="str">
        <f>结果表!C46</f>
        <v>——</v>
      </c>
    </row>
    <row r="15" spans="1:9" ht="15.6">
      <c r="A15" s="3003" t="s">
        <v>2858</v>
      </c>
      <c r="B15" s="3004"/>
      <c r="C15" s="3004"/>
      <c r="D15" s="3004"/>
      <c r="E15" s="3000" t="e">
        <f t="shared" ref="E15:E23" si="2">ROUND(D15*10000/B15,0)</f>
        <v>#DIV/0!</v>
      </c>
      <c r="F15" s="3000" t="e">
        <f t="shared" ref="F15:F23" si="3">ROUND(D15*10000/C15,0)</f>
        <v>#DIV/0!</v>
      </c>
      <c r="G15" s="3001"/>
      <c r="H15" s="3001"/>
      <c r="I15" s="3004"/>
    </row>
    <row r="16" spans="1:9" ht="15.6">
      <c r="A16" s="3003" t="s">
        <v>2859</v>
      </c>
      <c r="B16" s="3004"/>
      <c r="C16" s="3004"/>
      <c r="D16" s="3004"/>
      <c r="E16" s="3000" t="e">
        <f t="shared" si="2"/>
        <v>#DIV/0!</v>
      </c>
      <c r="F16" s="3000" t="e">
        <f t="shared" si="3"/>
        <v>#DIV/0!</v>
      </c>
      <c r="G16" s="3001"/>
      <c r="H16" s="3001"/>
      <c r="I16" s="3004"/>
    </row>
    <row r="17" spans="1:9" ht="15.6">
      <c r="A17" s="3003" t="s">
        <v>2860</v>
      </c>
      <c r="B17" s="3004"/>
      <c r="C17" s="3004"/>
      <c r="D17" s="3004"/>
      <c r="E17" s="3000" t="e">
        <f t="shared" si="2"/>
        <v>#DIV/0!</v>
      </c>
      <c r="F17" s="3000" t="e">
        <f t="shared" si="3"/>
        <v>#DIV/0!</v>
      </c>
      <c r="G17" s="3001"/>
      <c r="H17" s="3001"/>
      <c r="I17" s="3004"/>
    </row>
    <row r="18" spans="1:9" ht="15.6">
      <c r="A18" s="3003" t="s">
        <v>2861</v>
      </c>
      <c r="B18" s="3004"/>
      <c r="C18" s="3004"/>
      <c r="D18" s="3004"/>
      <c r="E18" s="3000" t="e">
        <f t="shared" si="2"/>
        <v>#DIV/0!</v>
      </c>
      <c r="F18" s="3000" t="e">
        <f t="shared" si="3"/>
        <v>#DIV/0!</v>
      </c>
      <c r="G18" s="3004"/>
      <c r="H18" s="3004"/>
      <c r="I18" s="3004"/>
    </row>
    <row r="19" spans="1:9" ht="15.6">
      <c r="A19" s="3003" t="s">
        <v>2862</v>
      </c>
      <c r="B19" s="3004"/>
      <c r="C19" s="3004"/>
      <c r="D19" s="3004"/>
      <c r="E19" s="3000" t="e">
        <f t="shared" si="2"/>
        <v>#DIV/0!</v>
      </c>
      <c r="F19" s="3000" t="e">
        <f t="shared" si="3"/>
        <v>#DIV/0!</v>
      </c>
      <c r="G19" s="3004"/>
      <c r="H19" s="3004"/>
      <c r="I19" s="3004"/>
    </row>
    <row r="20" spans="1:9" ht="15.6">
      <c r="A20" s="3003" t="s">
        <v>2863</v>
      </c>
      <c r="B20" s="3004"/>
      <c r="C20" s="3004"/>
      <c r="D20" s="3004"/>
      <c r="E20" s="3000" t="e">
        <f t="shared" si="2"/>
        <v>#DIV/0!</v>
      </c>
      <c r="F20" s="3000" t="e">
        <f t="shared" si="3"/>
        <v>#DIV/0!</v>
      </c>
      <c r="G20" s="3004"/>
      <c r="H20" s="3004"/>
      <c r="I20" s="3004"/>
    </row>
    <row r="21" spans="1:9" ht="15.6">
      <c r="A21" s="3003" t="s">
        <v>2864</v>
      </c>
      <c r="B21" s="3004"/>
      <c r="C21" s="3004"/>
      <c r="D21" s="3004"/>
      <c r="E21" s="3000" t="e">
        <f t="shared" si="2"/>
        <v>#DIV/0!</v>
      </c>
      <c r="F21" s="3000" t="e">
        <f t="shared" si="3"/>
        <v>#DIV/0!</v>
      </c>
      <c r="G21" s="3004"/>
      <c r="H21" s="3004"/>
      <c r="I21" s="3004"/>
    </row>
    <row r="22" spans="1:9" ht="15.6">
      <c r="A22" s="3003" t="s">
        <v>2865</v>
      </c>
      <c r="B22" s="3004"/>
      <c r="C22" s="3004"/>
      <c r="D22" s="3004"/>
      <c r="E22" s="3000" t="e">
        <f t="shared" si="2"/>
        <v>#DIV/0!</v>
      </c>
      <c r="F22" s="3000" t="e">
        <f t="shared" si="3"/>
        <v>#DIV/0!</v>
      </c>
      <c r="G22" s="3004"/>
      <c r="H22" s="3004"/>
      <c r="I22" s="3004"/>
    </row>
    <row r="23" spans="1:9" ht="15.6">
      <c r="A23" s="3003" t="s">
        <v>2866</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G24" sqref="G24"/>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60" t="s">
        <v>2053</v>
      </c>
      <c r="B1" s="1761"/>
      <c r="C1" s="1789" t="s">
        <v>2054</v>
      </c>
      <c r="D1" s="1790"/>
      <c r="E1" s="1789" t="s">
        <v>2055</v>
      </c>
      <c r="F1" s="1791"/>
      <c r="G1" s="311"/>
      <c r="H1" s="311"/>
      <c r="I1" s="311"/>
      <c r="J1" s="2013"/>
      <c r="K1" s="2013"/>
      <c r="L1" s="2013"/>
      <c r="M1" s="2013"/>
      <c r="N1" s="2013"/>
      <c r="O1" s="2013"/>
      <c r="P1" s="2013"/>
      <c r="Q1" s="2013"/>
      <c r="R1" s="2013"/>
      <c r="S1" s="2013"/>
      <c r="T1" s="2013"/>
      <c r="U1" s="2013"/>
      <c r="V1" s="2013"/>
    </row>
    <row r="2" spans="1:22" ht="21.75" customHeight="1" thickBot="1">
      <c r="A2" s="3411" t="str">
        <f>项目基本情况!K2</f>
        <v>咸阳市秦都区文兴路335亩项目出让国有建设用地使用权</v>
      </c>
      <c r="B2" s="3412"/>
      <c r="C2" s="3413"/>
      <c r="D2" s="3413"/>
      <c r="E2" s="3413"/>
      <c r="F2" s="3413"/>
      <c r="G2" s="3412"/>
      <c r="H2" s="3412"/>
      <c r="I2" s="3414"/>
      <c r="J2" s="2014"/>
      <c r="K2" s="2013"/>
      <c r="L2" s="2013"/>
      <c r="M2" s="2013"/>
      <c r="N2" s="2013"/>
      <c r="O2" s="2013"/>
      <c r="P2" s="2013"/>
      <c r="Q2" s="2013"/>
      <c r="R2" s="2013"/>
      <c r="S2" s="2013"/>
      <c r="T2" s="2013"/>
      <c r="U2" s="2013"/>
      <c r="V2" s="2013"/>
    </row>
    <row r="3" spans="1:22" ht="13.8">
      <c r="A3" s="3422" t="s">
        <v>298</v>
      </c>
      <c r="B3" s="3423"/>
      <c r="C3" s="3423"/>
      <c r="D3" s="3423"/>
      <c r="E3" s="3423"/>
      <c r="F3" s="3423"/>
      <c r="G3" s="3423"/>
      <c r="H3" s="3423"/>
      <c r="I3" s="3423"/>
      <c r="J3" s="2014"/>
      <c r="K3" s="2013"/>
      <c r="L3" s="2013"/>
      <c r="M3" s="2013"/>
      <c r="N3" s="2013"/>
      <c r="O3" s="2013"/>
      <c r="P3" s="2013"/>
      <c r="Q3" s="2013"/>
      <c r="R3" s="2013"/>
      <c r="S3" s="2013"/>
      <c r="T3" s="2013"/>
      <c r="U3" s="2013"/>
      <c r="V3" s="2013"/>
    </row>
    <row r="4" spans="1:22" ht="14.4">
      <c r="A4" s="258" t="s">
        <v>299</v>
      </c>
      <c r="B4" s="259" t="s">
        <v>300</v>
      </c>
      <c r="C4" s="260" t="s">
        <v>3434</v>
      </c>
      <c r="D4" s="260" t="s">
        <v>3416</v>
      </c>
      <c r="E4" s="3386" t="s">
        <v>301</v>
      </c>
      <c r="F4" s="3428"/>
      <c r="G4" s="3428"/>
      <c r="H4" s="3428"/>
      <c r="I4" s="3387"/>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3.8">
      <c r="A5" s="3415" t="s">
        <v>302</v>
      </c>
      <c r="B5" s="3416">
        <v>25</v>
      </c>
      <c r="C5" s="3424"/>
      <c r="D5" s="3427"/>
      <c r="E5" s="261" t="s">
        <v>303</v>
      </c>
      <c r="F5" s="262"/>
      <c r="G5" s="262"/>
      <c r="H5" s="262"/>
      <c r="I5" s="263"/>
      <c r="J5" s="2014"/>
      <c r="K5" s="2013"/>
      <c r="L5" s="2013"/>
      <c r="M5" s="2013"/>
      <c r="N5" s="2013"/>
      <c r="O5" s="2013"/>
      <c r="P5" s="2013"/>
      <c r="Q5" s="2013"/>
      <c r="R5" s="2013"/>
      <c r="S5" s="2013"/>
      <c r="T5" s="2013"/>
      <c r="U5" s="2013"/>
      <c r="V5" s="2013"/>
    </row>
    <row r="6" spans="1:22" ht="13.8">
      <c r="A6" s="3415"/>
      <c r="B6" s="3416"/>
      <c r="C6" s="3425"/>
      <c r="D6" s="3427"/>
      <c r="E6" s="261" t="s">
        <v>304</v>
      </c>
      <c r="F6" s="262"/>
      <c r="G6" s="262"/>
      <c r="H6" s="262"/>
      <c r="I6" s="263"/>
      <c r="J6" s="2014"/>
      <c r="K6" s="2013"/>
      <c r="L6" s="2013"/>
      <c r="M6" s="2013"/>
      <c r="N6" s="2013"/>
      <c r="O6" s="2013"/>
      <c r="P6" s="2013"/>
      <c r="Q6" s="2013"/>
      <c r="R6" s="2013"/>
      <c r="S6" s="2013"/>
      <c r="T6" s="2013"/>
      <c r="U6" s="2013"/>
      <c r="V6" s="2013"/>
    </row>
    <row r="7" spans="1:22" ht="13.8">
      <c r="A7" s="3415"/>
      <c r="B7" s="3416"/>
      <c r="C7" s="3426"/>
      <c r="D7" s="3427"/>
      <c r="E7" s="261" t="s">
        <v>305</v>
      </c>
      <c r="F7" s="262"/>
      <c r="G7" s="262"/>
      <c r="H7" s="262"/>
      <c r="I7" s="263"/>
      <c r="J7" s="2014"/>
      <c r="K7" s="2013"/>
      <c r="L7" s="2013"/>
      <c r="M7" s="2013"/>
      <c r="N7" s="2013"/>
      <c r="O7" s="2013"/>
      <c r="P7" s="2013"/>
      <c r="Q7" s="2013"/>
      <c r="R7" s="2013"/>
      <c r="S7" s="2013"/>
      <c r="T7" s="2013"/>
      <c r="U7" s="2013"/>
      <c r="V7" s="2013"/>
    </row>
    <row r="8" spans="1:22" ht="13.8">
      <c r="A8" s="3415" t="s">
        <v>306</v>
      </c>
      <c r="B8" s="3416">
        <v>15</v>
      </c>
      <c r="C8" s="3424"/>
      <c r="D8" s="3427"/>
      <c r="E8" s="261" t="s">
        <v>307</v>
      </c>
      <c r="F8" s="262"/>
      <c r="G8" s="262"/>
      <c r="H8" s="262"/>
      <c r="I8" s="263"/>
      <c r="J8" s="2014"/>
      <c r="K8" s="2013"/>
      <c r="L8" s="2013"/>
      <c r="M8" s="2013"/>
      <c r="N8" s="2013"/>
      <c r="O8" s="2013"/>
      <c r="P8" s="2013"/>
      <c r="Q8" s="2013"/>
      <c r="R8" s="2013"/>
      <c r="S8" s="2013"/>
      <c r="T8" s="2013"/>
      <c r="U8" s="2013"/>
      <c r="V8" s="2013"/>
    </row>
    <row r="9" spans="1:22" ht="13.8">
      <c r="A9" s="3415"/>
      <c r="B9" s="3416"/>
      <c r="C9" s="3426"/>
      <c r="D9" s="3427"/>
      <c r="E9" s="261" t="s">
        <v>308</v>
      </c>
      <c r="F9" s="262"/>
      <c r="G9" s="262"/>
      <c r="H9" s="262"/>
      <c r="I9" s="263"/>
      <c r="J9" s="2014"/>
      <c r="K9" s="2013"/>
      <c r="L9" s="2013"/>
      <c r="M9" s="2013"/>
      <c r="N9" s="2013"/>
      <c r="O9" s="2013"/>
      <c r="P9" s="2013"/>
      <c r="Q9" s="2013"/>
      <c r="R9" s="2013"/>
      <c r="S9" s="2013"/>
      <c r="T9" s="2013"/>
      <c r="U9" s="2013"/>
      <c r="V9" s="2013"/>
    </row>
    <row r="10" spans="1:22" ht="13.8">
      <c r="A10" s="3415" t="s">
        <v>309</v>
      </c>
      <c r="B10" s="3416">
        <v>15</v>
      </c>
      <c r="C10" s="3424"/>
      <c r="D10" s="3427"/>
      <c r="E10" s="261" t="s">
        <v>310</v>
      </c>
      <c r="F10" s="262"/>
      <c r="G10" s="262"/>
      <c r="H10" s="262"/>
      <c r="I10" s="263"/>
      <c r="J10" s="2014"/>
      <c r="K10" s="2013"/>
      <c r="L10" s="2013"/>
      <c r="M10" s="2013"/>
      <c r="N10" s="2013"/>
      <c r="O10" s="2013"/>
      <c r="P10" s="2013"/>
      <c r="Q10" s="2013"/>
      <c r="R10" s="2013"/>
      <c r="S10" s="2013"/>
      <c r="T10" s="2013"/>
      <c r="U10" s="2013"/>
      <c r="V10" s="2013"/>
    </row>
    <row r="11" spans="1:22" ht="13.8">
      <c r="A11" s="3415"/>
      <c r="B11" s="3416"/>
      <c r="C11" s="3426"/>
      <c r="D11" s="3427"/>
      <c r="E11" s="261" t="s">
        <v>311</v>
      </c>
      <c r="F11" s="262"/>
      <c r="G11" s="262"/>
      <c r="H11" s="262"/>
      <c r="I11" s="263"/>
      <c r="J11" s="2014"/>
      <c r="K11" s="2013"/>
      <c r="L11" s="2013"/>
      <c r="M11" s="2013"/>
      <c r="N11" s="2013"/>
      <c r="O11" s="2013"/>
      <c r="P11" s="2013"/>
      <c r="Q11" s="2013"/>
      <c r="R11" s="2013"/>
      <c r="S11" s="2013"/>
      <c r="T11" s="2013"/>
      <c r="U11" s="2013"/>
      <c r="V11" s="2013"/>
    </row>
    <row r="12" spans="1:22" ht="13.8">
      <c r="A12" s="3415" t="s">
        <v>312</v>
      </c>
      <c r="B12" s="3416">
        <v>15</v>
      </c>
      <c r="C12" s="3424"/>
      <c r="D12" s="3427"/>
      <c r="E12" s="261" t="s">
        <v>313</v>
      </c>
      <c r="F12" s="262"/>
      <c r="G12" s="262"/>
      <c r="H12" s="262"/>
      <c r="I12" s="263"/>
      <c r="J12" s="2014"/>
      <c r="K12" s="2013"/>
      <c r="L12" s="2013"/>
      <c r="M12" s="2013"/>
      <c r="N12" s="2013"/>
      <c r="O12" s="2013"/>
      <c r="P12" s="2013"/>
      <c r="Q12" s="2013"/>
      <c r="R12" s="2013"/>
      <c r="S12" s="2013"/>
      <c r="T12" s="2013"/>
      <c r="U12" s="2013"/>
      <c r="V12" s="2013"/>
    </row>
    <row r="13" spans="1:22" ht="13.8">
      <c r="A13" s="3415"/>
      <c r="B13" s="3416"/>
      <c r="C13" s="3426"/>
      <c r="D13" s="3427"/>
      <c r="E13" s="261" t="s">
        <v>314</v>
      </c>
      <c r="F13" s="262"/>
      <c r="G13" s="262"/>
      <c r="H13" s="262"/>
      <c r="I13" s="263"/>
      <c r="J13" s="2014"/>
      <c r="K13" s="2013"/>
      <c r="L13" s="2013"/>
      <c r="M13" s="2013"/>
      <c r="N13" s="2013"/>
      <c r="O13" s="2013"/>
      <c r="P13" s="2013"/>
      <c r="Q13" s="2013"/>
      <c r="R13" s="2013"/>
      <c r="S13" s="2013"/>
      <c r="T13" s="2013"/>
      <c r="U13" s="2013"/>
      <c r="V13" s="2013"/>
    </row>
    <row r="14" spans="1:22" ht="13.8">
      <c r="A14" s="3415" t="s">
        <v>315</v>
      </c>
      <c r="B14" s="3416">
        <v>30</v>
      </c>
      <c r="C14" s="3429">
        <v>5</v>
      </c>
      <c r="D14" s="3432">
        <v>5</v>
      </c>
      <c r="E14" s="261" t="s">
        <v>316</v>
      </c>
      <c r="F14" s="262"/>
      <c r="G14" s="262"/>
      <c r="H14" s="262"/>
      <c r="I14" s="263"/>
      <c r="J14" s="2014"/>
      <c r="K14" s="2013"/>
      <c r="L14" s="2013"/>
      <c r="M14" s="2013"/>
      <c r="N14" s="2013"/>
      <c r="O14" s="2013"/>
      <c r="P14" s="2013"/>
      <c r="Q14" s="2013"/>
      <c r="R14" s="2013"/>
      <c r="S14" s="2013"/>
      <c r="T14" s="2013"/>
      <c r="U14" s="2013"/>
      <c r="V14" s="2013"/>
    </row>
    <row r="15" spans="1:22" ht="13.8">
      <c r="A15" s="3415"/>
      <c r="B15" s="3416"/>
      <c r="C15" s="3430"/>
      <c r="D15" s="3432"/>
      <c r="E15" s="261" t="s">
        <v>317</v>
      </c>
      <c r="F15" s="262"/>
      <c r="G15" s="262"/>
      <c r="H15" s="262"/>
      <c r="I15" s="263"/>
      <c r="J15" s="2014"/>
      <c r="K15" s="2013"/>
      <c r="L15" s="2013"/>
      <c r="M15" s="2013"/>
      <c r="N15" s="2013"/>
      <c r="O15" s="2013"/>
      <c r="P15" s="2013"/>
      <c r="Q15" s="2013"/>
      <c r="R15" s="2013"/>
      <c r="S15" s="2013"/>
      <c r="T15" s="2013"/>
      <c r="U15" s="2013"/>
      <c r="V15" s="2013"/>
    </row>
    <row r="16" spans="1:22" ht="13.8">
      <c r="A16" s="3415"/>
      <c r="B16" s="3416"/>
      <c r="C16" s="3431"/>
      <c r="D16" s="3432"/>
      <c r="E16" s="261" t="s">
        <v>318</v>
      </c>
      <c r="F16" s="262"/>
      <c r="G16" s="262"/>
      <c r="H16" s="262"/>
      <c r="I16" s="263"/>
      <c r="J16" s="2014"/>
      <c r="K16" s="2013"/>
      <c r="L16" s="2013"/>
      <c r="M16" s="2013"/>
      <c r="N16" s="2013"/>
      <c r="O16" s="2013"/>
      <c r="P16" s="2013"/>
      <c r="Q16" s="2013"/>
      <c r="R16" s="2013"/>
      <c r="S16" s="2013"/>
      <c r="T16" s="2013"/>
      <c r="U16" s="2013"/>
      <c r="V16" s="2013"/>
    </row>
    <row r="17" spans="1:26" ht="14.4">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4.4">
      <c r="A19" s="268" t="s">
        <v>321</v>
      </c>
      <c r="B19" s="269" t="s">
        <v>322</v>
      </c>
      <c r="C19" s="270">
        <f ca="1">SUMIF(INDIRECT("'"&amp;C4&amp;"'"&amp;"!A:A"),结果表!B19,INDIRECT("'"&amp;C4&amp;"'"&amp;"!B:B"))</f>
        <v>198384</v>
      </c>
      <c r="D19" s="271">
        <f ca="1">SUMIF(INDIRECT("'"&amp;D4&amp;"'"&amp;"!A:A"),结果表!B19,INDIRECT("'"&amp;D4&amp;"'"&amp;"!B:B"))</f>
        <v>187526</v>
      </c>
      <c r="E19" s="268" t="s">
        <v>323</v>
      </c>
      <c r="F19" s="269" t="s">
        <v>322</v>
      </c>
      <c r="G19" s="272">
        <f ca="1">ROUND(C19*$C$18+D19*$D$18,0)</f>
        <v>192955</v>
      </c>
      <c r="H19" s="273" t="s">
        <v>324</v>
      </c>
      <c r="I19" s="311"/>
      <c r="J19" s="2013"/>
      <c r="K19" s="2013"/>
      <c r="L19" s="2013"/>
      <c r="M19" s="2013"/>
      <c r="N19" s="2013"/>
      <c r="O19" s="2013"/>
      <c r="P19" s="2013"/>
      <c r="Q19" s="2013"/>
      <c r="R19" s="2013"/>
      <c r="S19" s="2013"/>
      <c r="T19" s="2013"/>
      <c r="U19" s="2013"/>
      <c r="V19" s="2013"/>
    </row>
    <row r="20" spans="1:26" ht="14.4">
      <c r="A20" s="274"/>
      <c r="B20" s="275" t="s">
        <v>325</v>
      </c>
      <c r="C20" s="276">
        <f ca="1">SUMIF(INDIRECT("'"&amp;C4&amp;"'"&amp;"!A:A"),结果表!B20,INDIRECT("'"&amp;C4&amp;"'"&amp;"!B:B"))</f>
        <v>2540</v>
      </c>
      <c r="D20" s="277">
        <f ca="1">SUMIF(INDIRECT("'"&amp;D4&amp;"'"&amp;"!A:A"),结果表!B20,INDIRECT("'"&amp;D4&amp;"'"&amp;"!B:B"))</f>
        <v>2401</v>
      </c>
      <c r="E20" s="274"/>
      <c r="F20" s="275" t="s">
        <v>325</v>
      </c>
      <c r="G20" s="278">
        <f ca="1">ROUND(C20*$C$18+D20*$D$18,0)</f>
        <v>2471</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8890</v>
      </c>
      <c r="D21" s="151">
        <f ca="1">SUMIF(INDIRECT("'"&amp;D4&amp;"'"&amp;"!A:A"),结果表!B21,INDIRECT("'"&amp;D4&amp;"'"&amp;"!B:B"))</f>
        <v>8403</v>
      </c>
      <c r="E21" s="274"/>
      <c r="F21" s="280" t="s">
        <v>327</v>
      </c>
      <c r="G21" s="282">
        <f ca="1">ROUND(C21*$C$18+D21*$D$18,0)</f>
        <v>8647</v>
      </c>
      <c r="H21" s="1246" t="s">
        <v>326</v>
      </c>
      <c r="I21" s="311"/>
      <c r="J21" s="2013"/>
      <c r="K21" s="2013"/>
      <c r="L21" s="2013"/>
      <c r="M21" s="2013"/>
      <c r="N21" s="2013"/>
      <c r="O21" s="2013"/>
      <c r="P21" s="2013"/>
      <c r="Q21" s="2013"/>
      <c r="R21" s="2013"/>
      <c r="S21" s="2013"/>
      <c r="T21" s="2013"/>
      <c r="U21" s="2013"/>
      <c r="V21" s="2013"/>
    </row>
    <row r="22" spans="1:26" ht="15" thickBot="1">
      <c r="A22" s="126" t="s">
        <v>328</v>
      </c>
      <c r="B22" s="1247"/>
      <c r="C22" s="1248"/>
      <c r="D22" s="283">
        <f ca="1">IF(C19&lt;D19,D19/C19-1,C19/D19-1)</f>
        <v>5.7901304352463212E-2</v>
      </c>
      <c r="E22" s="284"/>
      <c r="F22" s="285"/>
      <c r="G22" s="286">
        <f ca="1">ROUND(G19/('数据-汇总表'!D3/666.67),0)</f>
        <v>576</v>
      </c>
      <c r="H22" s="287" t="s">
        <v>329</v>
      </c>
      <c r="I22" s="311"/>
      <c r="J22" s="2013"/>
      <c r="K22" s="2013"/>
      <c r="L22" s="2013"/>
      <c r="M22" s="2013"/>
      <c r="N22" s="2013"/>
      <c r="O22" s="2013"/>
      <c r="P22" s="2013"/>
      <c r="Q22" s="2013"/>
      <c r="R22" s="2013"/>
      <c r="S22" s="2013"/>
      <c r="T22" s="2013"/>
      <c r="U22" s="2013"/>
      <c r="V22" s="2013"/>
    </row>
    <row r="23" spans="1:26" ht="13.8"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88"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7.399999999999999">
      <c r="A25" s="3434"/>
      <c r="B25" s="1316" t="s">
        <v>331</v>
      </c>
      <c r="C25" s="290">
        <f>IF(B30=0,0,C30)</f>
        <v>0</v>
      </c>
      <c r="D25" s="291"/>
      <c r="E25" s="311"/>
      <c r="F25" s="311"/>
      <c r="G25" s="311"/>
      <c r="H25" s="311"/>
      <c r="I25" s="311"/>
      <c r="J25" s="2013"/>
      <c r="K25" s="1250" t="str">
        <f ca="1">项目基本情况!B16&amp;"国有建设用地使用权价格："&amp;O38&amp;"万元"</f>
        <v>出让国有建设用地使用权价格：192955万元</v>
      </c>
      <c r="L25" s="1251"/>
      <c r="M25" s="1251"/>
      <c r="N25" s="1251"/>
      <c r="O25" s="1252"/>
      <c r="P25" s="2013"/>
      <c r="Q25" s="2013"/>
      <c r="R25" s="2013"/>
      <c r="S25" s="2013"/>
      <c r="T25" s="2013"/>
      <c r="U25" s="2013"/>
      <c r="V25" s="2013"/>
    </row>
    <row r="26" spans="1:26" s="1249" customFormat="1" ht="17.399999999999999">
      <c r="A26" s="293" t="s">
        <v>332</v>
      </c>
      <c r="B26" s="294" t="s">
        <v>333</v>
      </c>
      <c r="C26" s="294" t="s">
        <v>334</v>
      </c>
      <c r="D26" s="295" t="s">
        <v>335</v>
      </c>
      <c r="E26" s="311"/>
      <c r="F26" s="311"/>
      <c r="G26" s="311"/>
      <c r="H26" s="311"/>
      <c r="I26" s="311"/>
      <c r="J26" s="2013"/>
      <c r="K26" s="1253" t="str">
        <f ca="1">"大写金额：人民币"&amp;NUMBERSTRING(INT(O38*10000),2)&amp;"元整"</f>
        <v>大写金额：人民币壹拾玖亿贰仟玖佰伍拾伍万元整</v>
      </c>
      <c r="L26" s="1247"/>
      <c r="M26" s="1247"/>
      <c r="N26" s="1247"/>
      <c r="O26" s="1246"/>
      <c r="P26" s="2013"/>
      <c r="Q26" s="2013"/>
      <c r="R26" s="2013"/>
      <c r="S26" s="2013"/>
      <c r="T26" s="2013"/>
      <c r="U26" s="2013"/>
      <c r="V26" s="2013"/>
      <c r="W26" s="292"/>
      <c r="X26" s="292"/>
      <c r="Y26" s="292"/>
      <c r="Z26" s="292"/>
    </row>
    <row r="27" spans="1:26" ht="17.399999999999999">
      <c r="A27" s="293"/>
      <c r="B27" s="294"/>
      <c r="C27" s="294"/>
      <c r="D27" s="295"/>
      <c r="E27" s="311"/>
      <c r="F27" s="311"/>
      <c r="G27" s="311"/>
      <c r="H27" s="311"/>
      <c r="I27" s="311"/>
      <c r="J27" s="2013"/>
      <c r="K27" s="1253" t="str">
        <f ca="1">"单位面积地价："&amp;M38&amp;"元/平方米"</f>
        <v>单位面积地价：8646元/平方米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楼面地价：2470元/平方米</v>
      </c>
      <c r="L28" s="1247"/>
      <c r="M28" s="1247"/>
      <c r="N28" s="1247"/>
      <c r="O28" s="1246"/>
      <c r="P28" s="2013"/>
      <c r="V28" s="2013"/>
    </row>
    <row r="29" spans="1:26" ht="17.399999999999999">
      <c r="A29" s="293"/>
      <c r="B29" s="294"/>
      <c r="C29" s="294"/>
      <c r="D29" s="295"/>
      <c r="E29" s="311"/>
      <c r="F29" s="311"/>
      <c r="G29" s="311"/>
      <c r="H29" s="311"/>
      <c r="I29" s="311"/>
      <c r="J29" s="2013"/>
      <c r="K29" s="1253" t="str">
        <f ca="1">IF(OR(项目基本情况!E8="抵押价格",项目基本情况!E8="已注销及未注销"),"抵押价格："&amp;O39&amp;"万元","——")</f>
        <v>抵押价格：192955万元</v>
      </c>
      <c r="L29" s="1247"/>
      <c r="M29" s="1247"/>
      <c r="N29" s="1247"/>
      <c r="O29" s="1246"/>
      <c r="P29" s="2013"/>
      <c r="V29" s="2013"/>
    </row>
    <row r="30" spans="1:26" ht="18" thickBot="1">
      <c r="A30" s="3079" t="s">
        <v>336</v>
      </c>
      <c r="B30" s="309"/>
      <c r="C30" s="309"/>
      <c r="D30" s="310"/>
      <c r="E30" s="3080" t="s">
        <v>2961</v>
      </c>
      <c r="F30" s="311"/>
      <c r="G30" s="311"/>
      <c r="H30" s="311"/>
      <c r="I30" s="311"/>
      <c r="J30" s="2013"/>
      <c r="K30" s="1253" t="str">
        <f ca="1">IF(K29="——","——","大写金额：人民币"&amp;NUMBERSTRING(INT(O39*10000),2)&amp;"元整")</f>
        <v>大写金额：人民币壹拾玖亿贰仟玖佰伍拾伍万元整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 thickBot="1">
      <c r="A32" s="268" t="s">
        <v>337</v>
      </c>
      <c r="B32" s="1377" t="s">
        <v>1688</v>
      </c>
      <c r="C32" s="1378">
        <f ca="1">G19-C24</f>
        <v>192955</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 thickBot="1">
      <c r="A33" s="298" t="s">
        <v>340</v>
      </c>
      <c r="B33" s="1380" t="s">
        <v>1690</v>
      </c>
      <c r="C33" s="264">
        <f ca="1">ROUND(C32*10000/'数据-汇总表'!E3,0)</f>
        <v>2470</v>
      </c>
      <c r="D33" s="1381" t="s">
        <v>1691</v>
      </c>
      <c r="E33" s="3388"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 thickBot="1">
      <c r="A34" s="300"/>
      <c r="B34" s="1382" t="s">
        <v>1692</v>
      </c>
      <c r="C34" s="264">
        <f ca="1">ROUND(C32*10000/'数据-汇总表'!D3,0)</f>
        <v>8646</v>
      </c>
      <c r="D34" s="1383" t="s">
        <v>1691</v>
      </c>
      <c r="E34" s="3389"/>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 thickBot="1">
      <c r="A35" s="284"/>
      <c r="B35" s="1384"/>
      <c r="C35" s="1385">
        <f ca="1">ROUND(C32/('数据-汇总表'!D3/666.67),0)</f>
        <v>576</v>
      </c>
      <c r="D35" s="1386" t="s">
        <v>1693</v>
      </c>
      <c r="E35" s="3390"/>
      <c r="F35" s="301" t="s">
        <v>342</v>
      </c>
      <c r="G35" s="981"/>
      <c r="H35" s="980" t="s">
        <v>343</v>
      </c>
      <c r="I35" s="311"/>
      <c r="J35" s="2013"/>
      <c r="K35" s="3394" t="s">
        <v>350</v>
      </c>
      <c r="L35" s="3394" t="s">
        <v>351</v>
      </c>
      <c r="M35" s="1259" t="s">
        <v>352</v>
      </c>
      <c r="N35" s="3394" t="s">
        <v>353</v>
      </c>
      <c r="O35" s="3394" t="s">
        <v>354</v>
      </c>
      <c r="P35" s="2013"/>
      <c r="V35" s="2013"/>
    </row>
    <row r="36" spans="1:26" ht="16.5" customHeight="1">
      <c r="A36" s="303" t="s">
        <v>344</v>
      </c>
      <c r="B36" s="304" t="s">
        <v>333</v>
      </c>
      <c r="C36" s="305" t="s">
        <v>345</v>
      </c>
      <c r="D36" s="305" t="s">
        <v>346</v>
      </c>
      <c r="E36" s="306" t="s">
        <v>347</v>
      </c>
      <c r="F36" s="311"/>
      <c r="G36" s="311"/>
      <c r="H36" s="311"/>
      <c r="I36" s="311"/>
      <c r="J36" s="2015"/>
      <c r="K36" s="3395"/>
      <c r="L36" s="3395"/>
      <c r="M36" s="1261" t="s">
        <v>355</v>
      </c>
      <c r="N36" s="3395"/>
      <c r="O36" s="3395"/>
      <c r="P36" s="2013"/>
      <c r="V36" s="2013"/>
    </row>
    <row r="37" spans="1:26" ht="16.5" customHeight="1" thickBot="1">
      <c r="A37" s="1255" t="s">
        <v>348</v>
      </c>
      <c r="B37" s="307"/>
      <c r="C37" s="294"/>
      <c r="D37" s="294"/>
      <c r="E37" s="295"/>
      <c r="F37" s="311"/>
      <c r="G37" s="311"/>
      <c r="H37" s="311"/>
      <c r="I37" s="311"/>
      <c r="J37" s="2015"/>
      <c r="K37" s="3396"/>
      <c r="L37" s="3396"/>
      <c r="M37" s="1262"/>
      <c r="N37" s="3396"/>
      <c r="O37" s="3396"/>
      <c r="P37" s="2013"/>
      <c r="V37" s="2013"/>
    </row>
    <row r="38" spans="1:26" ht="16.5" customHeight="1" thickBot="1">
      <c r="A38" s="1255" t="s">
        <v>349</v>
      </c>
      <c r="B38" s="307"/>
      <c r="C38" s="294"/>
      <c r="D38" s="294"/>
      <c r="E38" s="295"/>
      <c r="F38" s="311"/>
      <c r="G38" s="311"/>
      <c r="H38" s="311"/>
      <c r="I38" s="311"/>
      <c r="J38" s="2015"/>
      <c r="K38" s="1263">
        <f>'数据-汇总表'!D3</f>
        <v>223160.97</v>
      </c>
      <c r="L38" s="1264">
        <f>'数据-汇总表'!E3</f>
        <v>781063.4</v>
      </c>
      <c r="M38" s="1264">
        <f ca="1">C34</f>
        <v>8646</v>
      </c>
      <c r="N38" s="1264">
        <f ca="1">C33</f>
        <v>2470</v>
      </c>
      <c r="O38" s="1265">
        <f ca="1">C32</f>
        <v>192955</v>
      </c>
      <c r="P38" s="2013"/>
      <c r="V38" s="2013"/>
    </row>
    <row r="39" spans="1:26" ht="16.5" customHeight="1" thickBot="1">
      <c r="A39" s="1260"/>
      <c r="B39" s="308"/>
      <c r="C39" s="309"/>
      <c r="D39" s="309"/>
      <c r="E39" s="310"/>
      <c r="F39" s="311"/>
      <c r="G39" s="311"/>
      <c r="H39" s="311"/>
      <c r="I39" s="311"/>
      <c r="J39" s="2015"/>
      <c r="K39" s="3371" t="str">
        <f>MID(A44,3,LEN(A44)-2)</f>
        <v>抵押价格</v>
      </c>
      <c r="L39" s="3372"/>
      <c r="M39" s="3372"/>
      <c r="N39" s="3373"/>
      <c r="O39" s="1388">
        <f ca="1">C44</f>
        <v>192955</v>
      </c>
      <c r="P39" s="2013"/>
      <c r="V39" s="2013"/>
    </row>
    <row r="40" spans="1:26" ht="18" thickBot="1">
      <c r="A40" s="104" t="s">
        <v>873</v>
      </c>
      <c r="B40" s="311"/>
      <c r="C40" s="311"/>
      <c r="D40" s="311"/>
      <c r="E40" s="311"/>
      <c r="F40" s="311"/>
      <c r="G40" s="311"/>
      <c r="H40" s="311"/>
      <c r="I40" s="311"/>
      <c r="J40" s="2015"/>
      <c r="K40" s="3371" t="str">
        <f t="shared" ref="K40:K41" si="0">MID(A45,3,LEN(A45)-2)</f>
        <v/>
      </c>
      <c r="L40" s="3372"/>
      <c r="M40" s="3372"/>
      <c r="N40" s="3373"/>
      <c r="O40" s="1388" t="str">
        <f>C45</f>
        <v>——</v>
      </c>
      <c r="P40" s="2013"/>
      <c r="V40" s="2013"/>
    </row>
    <row r="41" spans="1:26" ht="16.2" thickBot="1">
      <c r="A41" s="312" t="s">
        <v>356</v>
      </c>
      <c r="B41" s="313"/>
      <c r="C41" s="314" t="s">
        <v>357</v>
      </c>
      <c r="D41" s="315" t="s">
        <v>358</v>
      </c>
      <c r="E41" s="315" t="s">
        <v>359</v>
      </c>
      <c r="F41" s="316" t="s">
        <v>360</v>
      </c>
      <c r="G41" s="311"/>
      <c r="H41" s="311"/>
      <c r="I41" s="311"/>
      <c r="J41" s="2015"/>
      <c r="K41" s="3371" t="str">
        <f t="shared" si="0"/>
        <v/>
      </c>
      <c r="L41" s="3372"/>
      <c r="M41" s="3372"/>
      <c r="N41" s="3373"/>
      <c r="O41" s="1388" t="str">
        <f>C46</f>
        <v>——</v>
      </c>
      <c r="P41" s="2013"/>
      <c r="V41" s="2013"/>
    </row>
    <row r="42" spans="1:26" ht="31.2">
      <c r="A42" s="3435" t="s">
        <v>2065</v>
      </c>
      <c r="B42" s="3436"/>
      <c r="C42" s="264">
        <f ca="1">C32</f>
        <v>192955</v>
      </c>
      <c r="D42" s="317">
        <f ca="1">C33</f>
        <v>2470</v>
      </c>
      <c r="E42" s="317">
        <f ca="1">C34</f>
        <v>8646</v>
      </c>
      <c r="F42" s="318">
        <f ca="1">C35</f>
        <v>576</v>
      </c>
      <c r="G42" s="311"/>
      <c r="H42" s="311"/>
      <c r="I42" s="319"/>
      <c r="J42" s="2015"/>
      <c r="K42" s="1266" t="s">
        <v>361</v>
      </c>
      <c r="L42" s="2032" t="s">
        <v>362</v>
      </c>
      <c r="M42" s="1267" t="s">
        <v>363</v>
      </c>
      <c r="N42" s="2033" t="s">
        <v>364</v>
      </c>
      <c r="O42" s="2034" t="s">
        <v>365</v>
      </c>
      <c r="P42" s="2013"/>
      <c r="V42" s="2013"/>
    </row>
    <row r="43" spans="1:26" ht="30">
      <c r="A43" s="3445" t="s">
        <v>2727</v>
      </c>
      <c r="B43" s="3446"/>
      <c r="C43" s="264">
        <f>IF(H33="正常操作",G33+G34+G35,G34+G35)</f>
        <v>0</v>
      </c>
      <c r="D43" s="317" t="s">
        <v>43</v>
      </c>
      <c r="E43" s="317" t="s">
        <v>44</v>
      </c>
      <c r="F43" s="318" t="s">
        <v>44</v>
      </c>
      <c r="G43" s="2821" t="s">
        <v>952</v>
      </c>
      <c r="H43" s="311"/>
      <c r="I43" s="319"/>
      <c r="J43" s="2015"/>
      <c r="K43" s="1268" t="str">
        <f>C4</f>
        <v>比较法-住宅、综合 (2)</v>
      </c>
      <c r="L43" s="1269">
        <f ca="1">IF(L42="估价结果/万元",C19,C20)</f>
        <v>198384</v>
      </c>
      <c r="M43" s="1270">
        <f>C18</f>
        <v>0.5</v>
      </c>
      <c r="N43" s="1271">
        <f ca="1">IF(N42="测算结果/万元",G19,G20)</f>
        <v>192955</v>
      </c>
      <c r="O43" s="1272">
        <f ca="1">IF(O42="最终结果/万元",C32,C33)</f>
        <v>192955</v>
      </c>
      <c r="P43" s="2013"/>
      <c r="V43" s="2013"/>
    </row>
    <row r="44" spans="1:26" ht="30.6" thickBot="1">
      <c r="A44" s="3435" t="str">
        <f>IF(OR(项目基本情况!E8="抵押价格",项目基本情况!E8="已注销及未注销"),"3.抵押价格","——")</f>
        <v>3.抵押价格</v>
      </c>
      <c r="B44" s="3436"/>
      <c r="C44" s="264">
        <f ca="1">IF(A44="——","——",C42-C43)</f>
        <v>192955</v>
      </c>
      <c r="D44" s="317">
        <f ca="1">ROUND(C44*10000/'数据-汇总表'!E3,0)</f>
        <v>2470</v>
      </c>
      <c r="E44" s="317">
        <f ca="1">ROUND(C44*10000/'数据-汇总表'!D3,0)</f>
        <v>8646</v>
      </c>
      <c r="F44" s="318">
        <f ca="1">ROUND(C44/('数据-汇总表'!D3/666.67),0)</f>
        <v>576</v>
      </c>
      <c r="G44" s="311"/>
      <c r="H44" s="311"/>
      <c r="I44" s="319"/>
      <c r="J44" s="2015"/>
      <c r="K44" s="1273" t="str">
        <f>D4</f>
        <v>剩余法-待开发</v>
      </c>
      <c r="L44" s="1274">
        <f ca="1">IF(L42="估价结果/万元",D19,D20)</f>
        <v>187526</v>
      </c>
      <c r="M44" s="1275">
        <f>D18</f>
        <v>0.5</v>
      </c>
      <c r="N44" s="1276"/>
      <c r="O44" s="1277"/>
      <c r="P44" s="2013"/>
      <c r="V44" s="2013"/>
    </row>
    <row r="45" spans="1:26" ht="13.8">
      <c r="A45" s="3440" t="str">
        <f>IF(项目基本情况!E8="已注销及未注销","4.抵押担保权已注销时的抵押价格",IF(项目基本情况!E8="已注销","3.抵押担保权已注销时的抵押价格","——"))</f>
        <v>——</v>
      </c>
      <c r="B45" s="3441"/>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4.4" thickBot="1">
      <c r="A46" s="3437" t="str">
        <f>IF(项目基本情况!E9="抵押净值",IF(A45="——","4.抵押净值","5.抵押净值"),"——")</f>
        <v>——</v>
      </c>
      <c r="B46" s="3438"/>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6">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2">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2">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2">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2">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2">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2">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2">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2">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2">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2">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2">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2">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2">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2">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7.399999999999999">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99" t="s">
        <v>374</v>
      </c>
      <c r="B63" s="3400"/>
      <c r="C63" s="3401"/>
      <c r="D63" s="341">
        <f ca="1">ROUND(C42*F63,0)</f>
        <v>115773</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442" t="s">
        <v>378</v>
      </c>
      <c r="B64" s="3443"/>
      <c r="C64" s="3443"/>
      <c r="D64" s="3443"/>
      <c r="E64" s="3443"/>
      <c r="F64" s="3443"/>
      <c r="G64" s="3444"/>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6.4">
      <c r="A66" s="3439" t="s">
        <v>386</v>
      </c>
      <c r="B66" s="3406"/>
      <c r="C66" s="3406"/>
      <c r="D66" s="261">
        <f ca="1">IF(H66="情况1",0,IF(H66="情况2",D70,IF(H66="情况3",D71,IF(H66="情况4",D72))))</f>
        <v>6175</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3375" t="s">
        <v>385</v>
      </c>
      <c r="M66" s="3376"/>
      <c r="N66" s="2422"/>
      <c r="O66" s="2423"/>
      <c r="P66" s="2424"/>
      <c r="Q66" s="2013"/>
      <c r="R66" s="2013"/>
      <c r="S66" s="2013"/>
      <c r="T66" s="2013"/>
      <c r="U66" s="2013"/>
      <c r="V66" s="2013"/>
    </row>
    <row r="67" spans="1:22" ht="25.5" customHeight="1">
      <c r="A67" s="352" t="s">
        <v>390</v>
      </c>
      <c r="B67" s="3418" t="s">
        <v>391</v>
      </c>
      <c r="C67" s="3418"/>
      <c r="D67" s="353">
        <v>0</v>
      </c>
      <c r="E67" s="41" t="s">
        <v>392</v>
      </c>
      <c r="F67" s="62" t="s">
        <v>21</v>
      </c>
      <c r="G67" s="3402"/>
      <c r="H67" s="311"/>
      <c r="I67" s="1287"/>
      <c r="J67" s="2020"/>
      <c r="K67" s="1961">
        <v>2</v>
      </c>
      <c r="L67" s="3374" t="s">
        <v>389</v>
      </c>
      <c r="M67" s="3374"/>
      <c r="N67" s="1320">
        <f>'数据-取费表'!B2</f>
        <v>43902</v>
      </c>
      <c r="O67" s="1320"/>
      <c r="P67" s="1320"/>
      <c r="Q67" s="2013"/>
      <c r="R67" s="2013"/>
      <c r="S67" s="2013"/>
      <c r="T67" s="2013"/>
      <c r="U67" s="2013"/>
      <c r="V67" s="2013"/>
    </row>
    <row r="68" spans="1:22" ht="25.5" customHeight="1">
      <c r="A68" s="354"/>
      <c r="B68" s="3418" t="s">
        <v>394</v>
      </c>
      <c r="C68" s="3418"/>
      <c r="D68" s="355"/>
      <c r="E68" s="77"/>
      <c r="F68" s="356"/>
      <c r="G68" s="3403"/>
      <c r="H68" s="311"/>
      <c r="I68" s="1287"/>
      <c r="J68" s="2020"/>
      <c r="K68" s="1961">
        <v>3</v>
      </c>
      <c r="L68" s="3374" t="s">
        <v>393</v>
      </c>
      <c r="M68" s="3374"/>
      <c r="N68" s="1288">
        <f ca="1">C42</f>
        <v>192955</v>
      </c>
      <c r="O68" s="1288"/>
      <c r="P68" s="1288"/>
      <c r="Q68" s="2013"/>
      <c r="R68" s="2013"/>
      <c r="S68" s="2013"/>
      <c r="T68" s="2013"/>
      <c r="U68" s="2013"/>
      <c r="V68" s="2013"/>
    </row>
    <row r="69" spans="1:22" ht="12" customHeight="1">
      <c r="A69" s="357"/>
      <c r="B69" s="3418" t="s">
        <v>395</v>
      </c>
      <c r="C69" s="3418"/>
      <c r="D69" s="358"/>
      <c r="E69" s="73"/>
      <c r="F69" s="356"/>
      <c r="G69" s="3404"/>
      <c r="H69" s="311"/>
      <c r="I69" s="1287"/>
      <c r="J69" s="2020"/>
      <c r="K69" s="1289">
        <v>4</v>
      </c>
      <c r="L69" s="3380" t="s">
        <v>2880</v>
      </c>
      <c r="M69" s="3381"/>
      <c r="N69" s="1290">
        <f ca="1">C44</f>
        <v>192955</v>
      </c>
      <c r="O69" s="1290"/>
      <c r="P69" s="1290"/>
      <c r="Q69" s="2013"/>
      <c r="R69" s="2013"/>
      <c r="S69" s="2013"/>
      <c r="T69" s="2013"/>
      <c r="U69" s="2013"/>
      <c r="V69" s="2013"/>
    </row>
    <row r="70" spans="1:22" ht="24" customHeight="1">
      <c r="A70" s="359" t="s">
        <v>396</v>
      </c>
      <c r="B70" s="3418" t="s">
        <v>397</v>
      </c>
      <c r="C70" s="3418"/>
      <c r="D70" s="358">
        <f ca="1">ROUND(D63*'数据-取费表'!B41/(1+'数据-取费表'!C42),0)</f>
        <v>6175</v>
      </c>
      <c r="E70" s="17" t="s">
        <v>398</v>
      </c>
      <c r="F70" s="360">
        <f>'数据-取费表'!B41</f>
        <v>5.6000000000000001E-2</v>
      </c>
      <c r="G70" s="361"/>
      <c r="H70" s="311"/>
      <c r="I70" s="1287"/>
      <c r="J70" s="2020"/>
      <c r="K70" s="3013"/>
      <c r="L70" s="3014"/>
      <c r="M70" s="3014"/>
      <c r="N70" s="3015" t="s">
        <v>2885</v>
      </c>
      <c r="O70" s="3014"/>
      <c r="P70" s="3016"/>
      <c r="Q70" s="2013"/>
      <c r="R70" s="2013"/>
      <c r="S70" s="2013"/>
      <c r="T70" s="2013"/>
      <c r="U70" s="2013"/>
      <c r="V70" s="2013"/>
    </row>
    <row r="71" spans="1:22" ht="12" customHeight="1">
      <c r="A71" s="359" t="s">
        <v>404</v>
      </c>
      <c r="B71" s="3417" t="s">
        <v>405</v>
      </c>
      <c r="C71" s="3433"/>
      <c r="D71" s="358">
        <f ca="1">ROUND(D63*'数据-取费表'!B41/(1+'数据-取费表'!C42),0)</f>
        <v>6175</v>
      </c>
      <c r="E71" s="17" t="s">
        <v>398</v>
      </c>
      <c r="F71" s="360">
        <f>'数据-取费表'!B41</f>
        <v>5.6000000000000001E-2</v>
      </c>
      <c r="G71" s="361"/>
      <c r="H71" s="311"/>
      <c r="I71" s="1287"/>
      <c r="J71" s="2020"/>
      <c r="K71" s="3012" t="s">
        <v>399</v>
      </c>
      <c r="L71" s="3382" t="s">
        <v>400</v>
      </c>
      <c r="M71" s="3382"/>
      <c r="N71" s="3012" t="s">
        <v>401</v>
      </c>
      <c r="O71" s="3012" t="s">
        <v>402</v>
      </c>
      <c r="P71" s="3012" t="s">
        <v>403</v>
      </c>
      <c r="Q71" s="2013"/>
      <c r="R71" s="2013"/>
      <c r="S71" s="2013"/>
      <c r="T71" s="2013"/>
      <c r="U71" s="2013"/>
      <c r="V71" s="2013"/>
    </row>
    <row r="72" spans="1:22" ht="12" customHeight="1">
      <c r="A72" s="359" t="s">
        <v>407</v>
      </c>
      <c r="B72" s="3417" t="s">
        <v>408</v>
      </c>
      <c r="C72" s="3433"/>
      <c r="D72" s="358">
        <f ca="1">C86</f>
        <v>6063</v>
      </c>
      <c r="E72" s="73" t="s">
        <v>409</v>
      </c>
      <c r="F72" s="360">
        <f>'数据-取费表'!B41</f>
        <v>5.6000000000000001E-2</v>
      </c>
      <c r="G72" s="361"/>
      <c r="H72" s="1293"/>
      <c r="I72" s="1287"/>
      <c r="J72" s="2020"/>
      <c r="K72" s="1961">
        <v>1</v>
      </c>
      <c r="L72" s="3379" t="s">
        <v>406</v>
      </c>
      <c r="M72" s="3379"/>
      <c r="N72" s="1291">
        <f ca="1">D66</f>
        <v>6175</v>
      </c>
      <c r="O72" s="1844" t="str">
        <f>E66</f>
        <v>销售额×税（费）率</v>
      </c>
      <c r="P72" s="1292">
        <f>F66</f>
        <v>5.6000000000000001E-2</v>
      </c>
      <c r="Q72" s="2013"/>
      <c r="R72" s="2013"/>
      <c r="S72" s="2013"/>
      <c r="T72" s="2013"/>
      <c r="U72" s="2013"/>
      <c r="V72" s="2013"/>
    </row>
    <row r="73" spans="1:22" ht="24" customHeight="1">
      <c r="A73" s="3405" t="s">
        <v>411</v>
      </c>
      <c r="B73" s="3406"/>
      <c r="C73" s="3406"/>
      <c r="D73" s="362">
        <f>IF(H73="个人住宅",0,ROUND(D63*I73,0))</f>
        <v>0</v>
      </c>
      <c r="E73" s="17" t="s">
        <v>412</v>
      </c>
      <c r="F73" s="360" t="str">
        <f>IF(H73="正常",I73,"免征")</f>
        <v>免征</v>
      </c>
      <c r="G73" s="361"/>
      <c r="H73" s="191" t="s">
        <v>2453</v>
      </c>
      <c r="I73" s="360">
        <f>'数据-取费表'!B49</f>
        <v>5.0000000000000001E-4</v>
      </c>
      <c r="J73" s="2020"/>
      <c r="K73" s="1961">
        <v>2</v>
      </c>
      <c r="L73" s="3379" t="s">
        <v>410</v>
      </c>
      <c r="M73" s="3379"/>
      <c r="N73" s="1291">
        <f t="shared" ref="N73:P74" si="1">D73</f>
        <v>0</v>
      </c>
      <c r="O73" s="1844" t="str">
        <f t="shared" si="1"/>
        <v>销售额×税（费）率</v>
      </c>
      <c r="P73" s="1292" t="str">
        <f t="shared" si="1"/>
        <v>免征</v>
      </c>
      <c r="Q73" s="2013"/>
      <c r="R73" s="2013"/>
      <c r="S73" s="2013"/>
      <c r="T73" s="2013"/>
      <c r="U73" s="2013"/>
      <c r="V73" s="2013"/>
    </row>
    <row r="74" spans="1:22" ht="25.2">
      <c r="A74" s="3405" t="s">
        <v>415</v>
      </c>
      <c r="B74" s="3406"/>
      <c r="C74" s="3406"/>
      <c r="D74" s="362">
        <f ca="1">IF(H74="个人住宅",D75,D76)</f>
        <v>64872</v>
      </c>
      <c r="E74" s="17" t="s">
        <v>416</v>
      </c>
      <c r="F74" s="360" t="str">
        <f>IF(H74="正常",F76,"免征")</f>
        <v>——</v>
      </c>
      <c r="G74" s="982" t="s">
        <v>417</v>
      </c>
      <c r="H74" s="363" t="s">
        <v>413</v>
      </c>
      <c r="I74" s="42"/>
      <c r="J74" s="2020"/>
      <c r="K74" s="1961">
        <v>3</v>
      </c>
      <c r="L74" s="3379" t="s">
        <v>414</v>
      </c>
      <c r="M74" s="3379"/>
      <c r="N74" s="1291">
        <f t="shared" ca="1" si="1"/>
        <v>64872</v>
      </c>
      <c r="O74" s="1844" t="str">
        <f t="shared" si="1"/>
        <v>增值额×税（费）率</v>
      </c>
      <c r="P74" s="1294" t="str">
        <f t="shared" si="1"/>
        <v>——</v>
      </c>
      <c r="Q74" s="2013"/>
      <c r="R74" s="2013"/>
      <c r="S74" s="2013"/>
      <c r="T74" s="2013"/>
      <c r="U74" s="2013"/>
      <c r="V74" s="2013"/>
    </row>
    <row r="75" spans="1:22" ht="24">
      <c r="A75" s="359" t="s">
        <v>418</v>
      </c>
      <c r="B75" s="3386" t="s">
        <v>419</v>
      </c>
      <c r="C75" s="3387"/>
      <c r="D75" s="364">
        <v>0</v>
      </c>
      <c r="E75" s="41" t="s">
        <v>420</v>
      </c>
      <c r="F75" s="365"/>
      <c r="G75" s="361"/>
      <c r="H75" s="42"/>
      <c r="I75" s="42"/>
      <c r="J75" s="2020"/>
      <c r="K75" s="3005">
        <f>IF(H77="非个人房产","",4)</f>
        <v>4</v>
      </c>
      <c r="L75" s="3379" t="str">
        <f>IF(H77="非个人房产","——","个人所得税")</f>
        <v>个人所得税</v>
      </c>
      <c r="M75" s="3379"/>
      <c r="N75" s="1295">
        <f ca="1">D77</f>
        <v>1158</v>
      </c>
      <c r="O75" s="1857" t="str">
        <f>E77</f>
        <v>销售额×税（费）率</v>
      </c>
      <c r="P75" s="1296">
        <f>F77</f>
        <v>0.01</v>
      </c>
      <c r="Q75" s="2013"/>
      <c r="R75" s="2013"/>
      <c r="S75" s="2013"/>
      <c r="T75" s="2013"/>
      <c r="U75" s="2013"/>
      <c r="V75" s="2013"/>
    </row>
    <row r="76" spans="1:22" ht="25.2">
      <c r="A76" s="359" t="s">
        <v>396</v>
      </c>
      <c r="B76" s="3386" t="s">
        <v>422</v>
      </c>
      <c r="C76" s="3428"/>
      <c r="D76" s="362">
        <f ca="1">IF(H76="转让取得",C99,C115)</f>
        <v>64872</v>
      </c>
      <c r="E76" s="17" t="s">
        <v>423</v>
      </c>
      <c r="F76" s="53" t="s">
        <v>21</v>
      </c>
      <c r="G76" s="361"/>
      <c r="H76" s="363" t="s">
        <v>424</v>
      </c>
      <c r="I76" s="42"/>
      <c r="J76" s="2020"/>
      <c r="K76" s="3005" t="str">
        <f>IF(项目基本情况!K6="上海银行",IF(K75="",4,K75+1),"")</f>
        <v/>
      </c>
      <c r="L76" s="3367" t="str">
        <f>IF(项目基本情况!K6="上海银行","其他处置费用","")</f>
        <v/>
      </c>
      <c r="M76" s="3368"/>
      <c r="N76" s="1291" t="str">
        <f>IF(项目基本情况!K6="上海银行",N89,"")</f>
        <v/>
      </c>
      <c r="O76" s="3369" t="str">
        <f>IF(项目基本情况!K6="上海银行","包含处置中涉及的律师、诉讼、拍卖、评估等费用","")</f>
        <v/>
      </c>
      <c r="P76" s="3370"/>
      <c r="Q76" s="2013"/>
      <c r="R76" s="2013"/>
      <c r="S76" s="2013"/>
      <c r="T76" s="2013"/>
      <c r="U76" s="2013"/>
      <c r="V76" s="2013"/>
    </row>
    <row r="77" spans="1:22" ht="27" thickBot="1">
      <c r="A77" s="3397" t="s">
        <v>426</v>
      </c>
      <c r="B77" s="3398"/>
      <c r="C77" s="3398"/>
      <c r="D77" s="366">
        <f ca="1">IF(H77="非个人房产","——",IF(H77="个人住宅",0,ROUND(D63*I77,0)))</f>
        <v>1158</v>
      </c>
      <c r="E77" s="367" t="str">
        <f>IF(H77="非个人房产","——","销售额×税（费）率")</f>
        <v>销售额×税（费）率</v>
      </c>
      <c r="F77" s="368">
        <f>IF(H77="非个人房产","——",IF(H77="个人住宅","免征",I77))</f>
        <v>0.01</v>
      </c>
      <c r="G77" s="983" t="s">
        <v>417</v>
      </c>
      <c r="H77" s="363" t="s">
        <v>2881</v>
      </c>
      <c r="I77" s="369">
        <v>0.01</v>
      </c>
      <c r="J77" s="2020"/>
      <c r="K77" s="3393">
        <f>IF(AND(K75="",K76=""),4,IF(项目基本情况!K6="上海银行",K76+1,K75+1))</f>
        <v>5</v>
      </c>
      <c r="L77" s="3379" t="s">
        <v>2882</v>
      </c>
      <c r="M77" s="3011" t="s">
        <v>421</v>
      </c>
      <c r="N77" s="1297"/>
      <c r="O77" s="1298">
        <f ca="1">SUMIF(N72:N76,"&lt;9e307")</f>
        <v>72205</v>
      </c>
      <c r="P77" s="1299"/>
      <c r="Q77" s="3009">
        <f ca="1">O77/N69</f>
        <v>0.37420642118628694</v>
      </c>
      <c r="R77" s="2013"/>
      <c r="S77" s="2013"/>
      <c r="T77" s="2013"/>
      <c r="U77" s="2013"/>
      <c r="V77" s="2013"/>
    </row>
    <row r="78" spans="1:22" ht="12" customHeight="1">
      <c r="A78" s="1300"/>
      <c r="B78" s="311"/>
      <c r="C78" s="311"/>
      <c r="D78" s="311"/>
      <c r="E78" s="42"/>
      <c r="F78" s="42"/>
      <c r="G78" s="42"/>
      <c r="H78" s="1002"/>
      <c r="I78" s="311"/>
      <c r="J78" s="2020"/>
      <c r="K78" s="3393"/>
      <c r="L78" s="3379"/>
      <c r="M78" s="3011" t="s">
        <v>425</v>
      </c>
      <c r="N78" s="1297"/>
      <c r="O78" s="1298" t="str">
        <f ca="1">NUMBERSTRING(INT(O77*10000),2)&amp;"元整"</f>
        <v>柒亿贰仟贰佰零伍万元整</v>
      </c>
      <c r="P78" s="1299"/>
      <c r="Q78" s="2013"/>
      <c r="R78" s="2013"/>
      <c r="S78" s="2013"/>
      <c r="T78" s="2013"/>
      <c r="U78" s="2013"/>
      <c r="V78" s="2013"/>
    </row>
    <row r="79" spans="1:22" ht="13.8" thickBot="1">
      <c r="A79" s="3383" t="s">
        <v>427</v>
      </c>
      <c r="B79" s="3383"/>
      <c r="C79" s="3383"/>
      <c r="D79" s="3383"/>
      <c r="E79" s="3383"/>
      <c r="F79" s="42"/>
      <c r="G79" s="42"/>
      <c r="H79" s="1002"/>
      <c r="I79" s="311"/>
      <c r="J79" s="2020"/>
      <c r="K79" s="3377">
        <f>K77+1</f>
        <v>6</v>
      </c>
      <c r="L79" s="3379" t="s">
        <v>2883</v>
      </c>
      <c r="M79" s="3011" t="s">
        <v>421</v>
      </c>
      <c r="N79" s="1297"/>
      <c r="O79" s="1298">
        <f ca="1">N69-O77</f>
        <v>120750</v>
      </c>
      <c r="P79" s="1299"/>
      <c r="Q79" s="2013"/>
      <c r="R79" s="2013"/>
      <c r="S79" s="2013"/>
      <c r="T79" s="2013"/>
      <c r="U79" s="2013"/>
      <c r="V79" s="2013"/>
    </row>
    <row r="80" spans="1:22" ht="39.6">
      <c r="A80" s="3384" t="s">
        <v>428</v>
      </c>
      <c r="B80" s="3385"/>
      <c r="C80" s="993"/>
      <c r="D80" s="993" t="s">
        <v>429</v>
      </c>
      <c r="E80" s="370" t="s">
        <v>430</v>
      </c>
      <c r="F80" s="42"/>
      <c r="G80" s="42"/>
      <c r="H80" s="1002"/>
      <c r="I80" s="311"/>
      <c r="J80" s="2013"/>
      <c r="K80" s="3378"/>
      <c r="L80" s="3379"/>
      <c r="M80" s="3011" t="s">
        <v>425</v>
      </c>
      <c r="N80" s="1297"/>
      <c r="O80" s="1298" t="str">
        <f ca="1">NUMBERSTRING(INT(O79*10000),2)&amp;"元整"</f>
        <v>壹拾贰亿零柒佰伍拾万元整</v>
      </c>
      <c r="P80" s="1299"/>
      <c r="Q80" s="2013"/>
      <c r="R80" s="2013"/>
      <c r="S80" s="2013"/>
      <c r="T80" s="2013"/>
      <c r="U80" s="2013"/>
      <c r="V80" s="2013"/>
    </row>
    <row r="81" spans="1:26" ht="13.8" thickBot="1">
      <c r="A81" s="381" t="s">
        <v>1823</v>
      </c>
      <c r="B81" s="371" t="s">
        <v>431</v>
      </c>
      <c r="C81" s="372">
        <f ca="1">ROUND((C82+C83)/(1+'数据-取费表'!C42),0)</f>
        <v>110260</v>
      </c>
      <c r="D81" s="373"/>
      <c r="E81" s="374"/>
      <c r="F81" s="42"/>
      <c r="G81" s="42"/>
      <c r="H81" s="1002"/>
      <c r="I81" s="311"/>
      <c r="J81" s="2013"/>
      <c r="K81" s="3005">
        <f>K79+1</f>
        <v>7</v>
      </c>
      <c r="L81" s="3391" t="s">
        <v>2884</v>
      </c>
      <c r="M81" s="3392"/>
      <c r="N81" s="1301"/>
      <c r="O81" s="1302">
        <f ca="1">ROUND(O79*10000/'数据-汇总表'!E3,0)</f>
        <v>1546</v>
      </c>
      <c r="P81" s="1303"/>
      <c r="Q81" s="2013"/>
      <c r="R81" s="2013"/>
      <c r="S81" s="2013"/>
      <c r="T81" s="2013"/>
      <c r="U81" s="2013"/>
      <c r="V81" s="2013"/>
    </row>
    <row r="82" spans="1:26" ht="13.8" thickTop="1">
      <c r="A82" s="375" t="s">
        <v>1824</v>
      </c>
      <c r="B82" s="376" t="s">
        <v>432</v>
      </c>
      <c r="C82" s="377">
        <f ca="1">D63</f>
        <v>115773</v>
      </c>
      <c r="D82" s="378" t="s">
        <v>19</v>
      </c>
      <c r="E82" s="379"/>
      <c r="F82" s="42"/>
      <c r="G82" s="42"/>
      <c r="H82" s="1002"/>
      <c r="I82" s="311"/>
      <c r="J82" s="2013"/>
      <c r="K82" s="2013"/>
      <c r="L82" s="2013"/>
      <c r="M82" s="2013"/>
      <c r="N82" s="2013"/>
      <c r="O82" s="2013"/>
      <c r="P82" s="2013"/>
      <c r="Q82" s="2013"/>
      <c r="R82" s="2013"/>
      <c r="S82" s="2013"/>
      <c r="T82" s="2013"/>
      <c r="U82" s="2013"/>
      <c r="V82" s="2013"/>
    </row>
    <row r="83" spans="1:26" ht="13.2">
      <c r="A83" s="375" t="s">
        <v>1825</v>
      </c>
      <c r="B83" s="376" t="s">
        <v>433</v>
      </c>
      <c r="C83" s="380">
        <v>0</v>
      </c>
      <c r="D83" s="378"/>
      <c r="E83" s="379"/>
      <c r="F83" s="42"/>
      <c r="G83" s="42"/>
      <c r="H83" s="1002"/>
      <c r="I83" s="311"/>
      <c r="J83" s="2013"/>
      <c r="K83" s="3366" t="s">
        <v>2871</v>
      </c>
      <c r="L83" s="3017" t="s">
        <v>2872</v>
      </c>
      <c r="M83" s="3007">
        <f ca="1">IF(N69&gt;10000,N69*0.5%,IF(AND(N69&gt;1000,N69&lt;=10000),N69*1%,IF(AND(N69&gt;100,N69&lt;=1000),N69*3%,IF(AND(N69&gt;10,N69&lt;=100),N69*5%,N69*8%))))</f>
        <v>964.77499999999998</v>
      </c>
      <c r="N83" s="53">
        <f ca="1">ROUND(M83,1)</f>
        <v>964.8</v>
      </c>
      <c r="O83" s="3010"/>
      <c r="P83" s="2013"/>
      <c r="Q83" s="2013"/>
      <c r="R83" s="2013"/>
      <c r="S83" s="2013"/>
      <c r="T83" s="2013"/>
      <c r="U83" s="2013"/>
      <c r="V83" s="2013"/>
    </row>
    <row r="84" spans="1:26" ht="25.2">
      <c r="A84" s="381" t="s">
        <v>1826</v>
      </c>
      <c r="B84" s="382" t="s">
        <v>434</v>
      </c>
      <c r="C84" s="383">
        <v>2000</v>
      </c>
      <c r="D84" s="384" t="s">
        <v>19</v>
      </c>
      <c r="E84" s="3050" t="s">
        <v>2934</v>
      </c>
      <c r="F84" s="42"/>
      <c r="G84" s="42"/>
      <c r="H84" s="1002"/>
      <c r="I84" s="311"/>
      <c r="J84" s="2013"/>
      <c r="K84" s="3366"/>
      <c r="L84" s="3017" t="s">
        <v>2873</v>
      </c>
      <c r="M84" s="3007">
        <f ca="1">IF(N69&gt;2000,N69*0.5%,IF(AND(N69&gt;1000,N69&lt;=2000),N69*0.6%,IF(AND(N69&gt;500,N69&lt;=1000),N69*0.7%,IF(AND(N69&gt;200,N69&lt;=500),N69*0.8%,IF(AND(N69&gt;100,N69&lt;=200),N69*0.9%,IF(AND(N69&gt;50,N69&lt;=100),N69*1%,IF(AND(N69&gt;20,N69&lt;=50),N69*1.5%,IF(AND(N69&gt;10,N69&lt;=20),N69*2%,IF(AND(N69&gt;1,N69&lt;=10),N69*2.5%)))))))))</f>
        <v>964.77499999999998</v>
      </c>
      <c r="N84" s="53">
        <f t="shared" ref="N84:N85" ca="1" si="2">ROUND(M84,1)</f>
        <v>964.8</v>
      </c>
      <c r="O84" s="2013" t="s">
        <v>2874</v>
      </c>
      <c r="P84" s="2013"/>
      <c r="Q84" s="2013"/>
      <c r="R84" s="2013"/>
      <c r="S84" s="2013"/>
      <c r="T84" s="2013"/>
      <c r="U84" s="2013"/>
      <c r="V84" s="2013"/>
    </row>
    <row r="85" spans="1:26" ht="13.2">
      <c r="A85" s="381" t="s">
        <v>1827</v>
      </c>
      <c r="B85" s="382" t="s">
        <v>435</v>
      </c>
      <c r="C85" s="385">
        <f ca="1">C81-C84</f>
        <v>108260</v>
      </c>
      <c r="D85" s="378" t="s">
        <v>19</v>
      </c>
      <c r="E85" s="379"/>
      <c r="F85" s="42"/>
      <c r="G85" s="42"/>
      <c r="H85" s="1002"/>
      <c r="I85" s="311"/>
      <c r="J85" s="2013"/>
      <c r="K85" s="3366"/>
      <c r="L85" s="3017" t="s">
        <v>2875</v>
      </c>
      <c r="M85" s="3007">
        <f ca="1">IF(N69&gt;1000,N69*0.1%,IF(AND(N69&gt;500,N69&lt;=1000),N69*0.5%,IF(AND(N69&gt;50,N69&lt;=500),N69*1%,IF(AND(N69&gt;1,N69&lt;=50),N69*1.5%))))</f>
        <v>192.95500000000001</v>
      </c>
      <c r="N85" s="53">
        <f t="shared" ca="1" si="2"/>
        <v>193</v>
      </c>
      <c r="O85" s="2013" t="s">
        <v>2874</v>
      </c>
      <c r="P85" s="2013"/>
      <c r="Q85" s="2013"/>
      <c r="R85" s="2013"/>
      <c r="S85" s="2013"/>
      <c r="T85" s="2013"/>
      <c r="U85" s="2013"/>
      <c r="V85" s="2013"/>
    </row>
    <row r="86" spans="1:26" ht="13.8" thickBot="1">
      <c r="A86" s="386" t="s">
        <v>1828</v>
      </c>
      <c r="B86" s="387" t="s">
        <v>436</v>
      </c>
      <c r="C86" s="388">
        <f ca="1">IF(C85&lt;=0,0,ROUND(C85*D86,0))</f>
        <v>6063</v>
      </c>
      <c r="D86" s="389">
        <f>'数据-取费表'!B41</f>
        <v>5.6000000000000001E-2</v>
      </c>
      <c r="E86" s="390"/>
      <c r="F86" s="42"/>
      <c r="G86" s="42"/>
      <c r="H86" s="1002"/>
      <c r="I86" s="311"/>
      <c r="J86" s="2013"/>
      <c r="K86" s="3366"/>
      <c r="L86" s="3017" t="s">
        <v>2876</v>
      </c>
      <c r="M86" s="3007">
        <f ca="1">N69*0.5%</f>
        <v>964.77499999999998</v>
      </c>
      <c r="N86" s="53">
        <f ca="1">IF(M86&gt;0.5,0.5,ROUND(M86,0))</f>
        <v>0.5</v>
      </c>
      <c r="O86" s="2013" t="s">
        <v>2877</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66"/>
      <c r="L87" s="3017" t="s">
        <v>2878</v>
      </c>
      <c r="M87" s="3007">
        <f ca="1">IF(N69&gt;=10000,(8.25+(N69-10000)*0.01%),IF(AND(N69&gt;=8000,N69&lt;10000),(7.85+(N69-8000)*0.02%),IF(AND(N69&gt;=5000,N69&lt;8000),(6.65+(N69-5000)*0.04%),IF(AND(N69&gt;=2000,N69&lt;5000),(4.25+(PN69-2000)*0.08%),IF(AND(N69&gt;=1000,N69&lt;2000),(2.75+(N69-1000)*0.15%),IF(AND(N69&gt;=100,N69&lt;1000),(0.5+(N69-100)*0.25%),IF(AND(N69&gt;0,N69&lt;100),N69*0.5%)))))))</f>
        <v>26.545500000000001</v>
      </c>
      <c r="N87" s="53">
        <f ca="1">ROUND(M87*0.9,1)</f>
        <v>23.9</v>
      </c>
      <c r="O87" s="3010"/>
      <c r="P87" s="311"/>
      <c r="Q87" s="2013"/>
      <c r="R87" s="2013"/>
      <c r="S87" s="2013"/>
      <c r="T87" s="2013"/>
      <c r="U87" s="2013"/>
      <c r="V87" s="2013"/>
      <c r="W87" s="292"/>
      <c r="X87" s="292"/>
      <c r="Y87" s="292"/>
      <c r="Z87" s="292"/>
    </row>
    <row r="88" spans="1:26" s="1309" customFormat="1" ht="14.4" thickBot="1">
      <c r="A88" s="3420" t="s">
        <v>437</v>
      </c>
      <c r="B88" s="3421"/>
      <c r="C88" s="3421"/>
      <c r="D88" s="3421"/>
      <c r="E88" s="3421"/>
      <c r="F88" s="3421"/>
      <c r="G88" s="3421"/>
      <c r="H88" s="3421"/>
      <c r="I88" s="1310"/>
      <c r="J88" s="2021"/>
      <c r="K88" s="3366"/>
      <c r="L88" s="3017" t="s">
        <v>2879</v>
      </c>
      <c r="M88" s="3007">
        <f ca="1">IF(N69&gt;10000,N69*0.5%,IF(AND(N69&gt;5000,N69&lt;=10000),N69*1%,IF(AND(N69&gt;1000,N69&lt;=5000),N69*2%,IF(AND(N69&gt;200,N69&lt;=1000),N69*3%,N69*5%))))</f>
        <v>964.77499999999998</v>
      </c>
      <c r="N88" s="53">
        <f ca="1">ROUND(M88,1)</f>
        <v>964.8</v>
      </c>
      <c r="O88" s="3010"/>
      <c r="P88" s="11"/>
      <c r="Q88" s="2018"/>
      <c r="R88" s="2018"/>
      <c r="S88" s="2018"/>
      <c r="T88" s="2018"/>
      <c r="U88" s="2018"/>
      <c r="V88" s="2018"/>
      <c r="W88" s="2022"/>
      <c r="X88" s="2022"/>
      <c r="Y88" s="2022"/>
      <c r="Z88" s="2022"/>
    </row>
    <row r="89" spans="1:26" s="1309" customFormat="1" ht="13.8">
      <c r="A89" s="3384" t="s">
        <v>428</v>
      </c>
      <c r="B89" s="3385"/>
      <c r="C89" s="993"/>
      <c r="D89" s="993" t="s">
        <v>429</v>
      </c>
      <c r="E89" s="391" t="s">
        <v>438</v>
      </c>
      <c r="F89" s="392"/>
      <c r="G89" s="392"/>
      <c r="H89" s="393"/>
      <c r="I89" s="1311"/>
      <c r="J89" s="2023"/>
      <c r="K89" s="3366"/>
      <c r="L89" s="3017" t="s">
        <v>27</v>
      </c>
      <c r="M89" s="3008"/>
      <c r="N89" s="53">
        <f ca="1">ROUND(SUM(N83:N88),0)</f>
        <v>3112</v>
      </c>
      <c r="O89" s="3018">
        <f ca="1">N89/N69</f>
        <v>1.6128112772408075E-2</v>
      </c>
      <c r="P89" s="2018"/>
      <c r="Q89" s="2018"/>
      <c r="R89" s="2018"/>
      <c r="S89" s="2018"/>
      <c r="T89" s="2018"/>
      <c r="U89" s="2018"/>
      <c r="V89" s="2018"/>
      <c r="W89" s="2022"/>
      <c r="X89" s="2022"/>
      <c r="Y89" s="2022"/>
      <c r="Z89" s="2022"/>
    </row>
    <row r="90" spans="1:26" s="1309" customFormat="1" ht="13.8">
      <c r="A90" s="381" t="s">
        <v>1823</v>
      </c>
      <c r="B90" s="382" t="s">
        <v>439</v>
      </c>
      <c r="C90" s="385">
        <f ca="1">ROUND(D63/(1+'数据-取费表'!C42),0)</f>
        <v>110260</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3.8">
      <c r="A91" s="381" t="s">
        <v>1829</v>
      </c>
      <c r="B91" s="348" t="s">
        <v>440</v>
      </c>
      <c r="C91" s="385">
        <f ca="1">C92+C96</f>
        <v>3223</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4">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1832</v>
      </c>
      <c r="B94" s="400" t="s">
        <v>446</v>
      </c>
      <c r="C94" s="378">
        <f>IF(F93="购房发票",ROUND(C93*H93*5%,0),0)</f>
        <v>500</v>
      </c>
      <c r="D94" s="401">
        <v>0.05</v>
      </c>
      <c r="E94" s="3417" t="s">
        <v>447</v>
      </c>
      <c r="F94" s="3418"/>
      <c r="G94" s="3418"/>
      <c r="H94" s="3419"/>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1834</v>
      </c>
      <c r="B96" s="376" t="s">
        <v>450</v>
      </c>
      <c r="C96" s="405">
        <f ca="1">ROUND(D63*D96/(1+'数据-取费表'!C42),0)</f>
        <v>662</v>
      </c>
      <c r="D96" s="406">
        <f>'数据-取费表'!B43</f>
        <v>6.000000000000001E-3</v>
      </c>
      <c r="E96" s="3407" t="s">
        <v>2426</v>
      </c>
      <c r="F96" s="3408"/>
      <c r="G96" s="3408"/>
      <c r="H96" s="3409"/>
      <c r="I96" s="1312"/>
      <c r="J96" s="2024"/>
      <c r="K96" s="2018"/>
      <c r="L96" s="2018"/>
      <c r="M96" s="2018"/>
      <c r="N96" s="2018"/>
      <c r="O96" s="2018"/>
      <c r="P96" s="2018"/>
      <c r="Q96" s="2018"/>
      <c r="R96" s="2018"/>
      <c r="S96" s="2018"/>
      <c r="T96" s="2018"/>
      <c r="U96" s="2018"/>
      <c r="V96" s="2018"/>
      <c r="W96" s="2022"/>
      <c r="X96" s="2022"/>
      <c r="Y96" s="2022"/>
      <c r="Z96" s="2022"/>
    </row>
    <row r="97" spans="1:26" s="1309" customFormat="1" ht="13.8">
      <c r="A97" s="1602" t="s">
        <v>1835</v>
      </c>
      <c r="B97" s="382" t="s">
        <v>451</v>
      </c>
      <c r="C97" s="385">
        <f ca="1">C90-C91</f>
        <v>107037</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1836</v>
      </c>
      <c r="B98" s="382" t="s">
        <v>452</v>
      </c>
      <c r="C98" s="407">
        <f ca="1">IF(C97&lt;=0,0,C97/C91)</f>
        <v>33.210363015823766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6" thickBot="1">
      <c r="A99" s="1603" t="s">
        <v>1837</v>
      </c>
      <c r="B99" s="387" t="s">
        <v>453</v>
      </c>
      <c r="C99" s="408">
        <f ca="1">ROUND(IF(C97&lt;=0,0,IF(C98&gt;=200%,C97*60%-C91*35%,IF(C98&gt;=100%,C97*50%-C91*15%,IF(C98&gt;=50%,C97*40%-C91*5%,IF(C98&lt;50%,C97*30%,0))))),0)</f>
        <v>63094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4.4" thickBot="1">
      <c r="A101" s="3420" t="s">
        <v>454</v>
      </c>
      <c r="B101" s="3421"/>
      <c r="C101" s="3421"/>
      <c r="D101" s="3421"/>
      <c r="E101" s="3421"/>
      <c r="F101" s="3421"/>
      <c r="G101" s="3421"/>
      <c r="H101" s="3421"/>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3.8">
      <c r="A102" s="3384" t="s">
        <v>428</v>
      </c>
      <c r="B102" s="3385"/>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3.8">
      <c r="A103" s="381" t="s">
        <v>1823</v>
      </c>
      <c r="B103" s="382" t="s">
        <v>439</v>
      </c>
      <c r="C103" s="385">
        <f ca="1">ROUND(D63/(1+'数据-取费表'!C42),0)</f>
        <v>110260</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3.8">
      <c r="A104" s="381" t="s">
        <v>1829</v>
      </c>
      <c r="B104" s="348" t="s">
        <v>440</v>
      </c>
      <c r="C104" s="385">
        <f ca="1">IF(H106="仅含出让金",C105+C108+C109+C110+C111+C112,C105+C109+C110+C111+C112)</f>
        <v>1352</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3.8">
      <c r="A105" s="395" t="s">
        <v>1830</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26.4">
      <c r="A106" s="395" t="s">
        <v>1831</v>
      </c>
      <c r="B106" s="376" t="s">
        <v>456</v>
      </c>
      <c r="C106" s="416">
        <v>555</v>
      </c>
      <c r="D106" s="406"/>
      <c r="E106" s="417" t="s">
        <v>457</v>
      </c>
      <c r="F106" s="985"/>
      <c r="G106" s="418" t="s">
        <v>458</v>
      </c>
      <c r="H106" s="419" t="s">
        <v>2437</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3.8">
      <c r="A107" s="395" t="s">
        <v>1832</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3.8">
      <c r="A108" s="395" t="s">
        <v>1834</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1838</v>
      </c>
      <c r="B109" s="376" t="s">
        <v>461</v>
      </c>
      <c r="C109" s="405">
        <f>IF(H109="——",IF(F1="现房",'剩余法-现房'!C18,'剩余法-待开发'!C18),I109)</f>
        <v>55</v>
      </c>
      <c r="D109" s="406"/>
      <c r="E109" s="3410" t="s">
        <v>462</v>
      </c>
      <c r="F109" s="3408"/>
      <c r="G109" s="3408"/>
      <c r="H109" s="1926" t="s">
        <v>2277</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1839</v>
      </c>
      <c r="B110" s="376" t="s">
        <v>463</v>
      </c>
      <c r="C110" s="405">
        <f>ROUND((C105+C108+C109)*D110,0)</f>
        <v>63</v>
      </c>
      <c r="D110" s="406">
        <v>0.1</v>
      </c>
      <c r="E110" s="3410" t="s">
        <v>464</v>
      </c>
      <c r="F110" s="3408"/>
      <c r="G110" s="3408"/>
      <c r="H110" s="3409"/>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1840</v>
      </c>
      <c r="B111" s="376" t="s">
        <v>450</v>
      </c>
      <c r="C111" s="405">
        <f ca="1">ROUND(D63*D111/(1+'数据-取费表'!C42),0)</f>
        <v>662</v>
      </c>
      <c r="D111" s="406">
        <f>'数据-取费表'!B43</f>
        <v>6.000000000000001E-3</v>
      </c>
      <c r="E111" s="3407" t="s">
        <v>2426</v>
      </c>
      <c r="F111" s="3408"/>
      <c r="G111" s="3408"/>
      <c r="H111" s="3409"/>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1841</v>
      </c>
      <c r="B112" s="376" t="s">
        <v>465</v>
      </c>
      <c r="C112" s="405">
        <f>ROUND(C108*D112,0)</f>
        <v>0</v>
      </c>
      <c r="D112" s="406">
        <v>0.2</v>
      </c>
      <c r="E112" s="3410" t="s">
        <v>2451</v>
      </c>
      <c r="F112" s="3408"/>
      <c r="G112" s="3408"/>
      <c r="H112" s="3409"/>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3.8">
      <c r="A113" s="1602" t="s">
        <v>1835</v>
      </c>
      <c r="B113" s="382" t="s">
        <v>451</v>
      </c>
      <c r="C113" s="385">
        <f ca="1">ROUND(C103-C104,0)</f>
        <v>108908</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1836</v>
      </c>
      <c r="B114" s="382" t="s">
        <v>452</v>
      </c>
      <c r="C114" s="407">
        <f ca="1">IF(C113&lt;=0,0,C113/C104)</f>
        <v>80.553254437869825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6" thickBot="1">
      <c r="A115" s="1603" t="s">
        <v>1837</v>
      </c>
      <c r="B115" s="387" t="s">
        <v>453</v>
      </c>
      <c r="C115" s="408">
        <f ca="1">ROUND(IF(C113&lt;=0,0,IF(C114&gt;=200%,C113*60%-C104*35%,IF(C114&gt;=100%,C113*50%-C104*15%,IF(C114&gt;=50%,C113*40%-C104*5%,IF(C114&lt;50%,C113*30%,0))))),0)</f>
        <v>64872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1901</v>
      </c>
      <c r="B36" s="1639" t="s">
        <v>1902</v>
      </c>
    </row>
    <row r="37" spans="1:9" ht="28.5" customHeight="1">
      <c r="A37" s="1639"/>
      <c r="B37" s="3251" t="str">
        <f>项目基本情况!B1</f>
        <v>咸阳市秦都区文兴路335亩项目出让国有建设用地使用权抵押价格预评估</v>
      </c>
      <c r="C37" s="3251"/>
      <c r="D37" s="3251"/>
      <c r="E37" s="3251"/>
      <c r="F37" s="3251"/>
      <c r="G37" s="3251"/>
      <c r="H37" s="3251"/>
      <c r="I37" s="3251"/>
    </row>
    <row r="38" spans="1:9">
      <c r="A38" s="1641"/>
      <c r="B38" s="1641"/>
    </row>
    <row r="39" spans="1:9">
      <c r="A39" s="1639" t="s">
        <v>1901</v>
      </c>
      <c r="B39" s="1639" t="s">
        <v>2044</v>
      </c>
    </row>
    <row r="40" spans="1:9">
      <c r="A40" s="1639"/>
      <c r="B40" s="1639">
        <f>项目基本情况!B5</f>
        <v>0</v>
      </c>
    </row>
    <row r="41" spans="1:9">
      <c r="A41" s="1639"/>
      <c r="B41" s="1639"/>
    </row>
    <row r="42" spans="1:9">
      <c r="A42" s="1639" t="s">
        <v>1901</v>
      </c>
      <c r="B42" s="1639" t="s">
        <v>2045</v>
      </c>
    </row>
    <row r="43" spans="1:9">
      <c r="A43" s="1639"/>
      <c r="B43" s="1639" t="s">
        <v>1903</v>
      </c>
    </row>
    <row r="44" spans="1:9">
      <c r="A44" s="1639"/>
      <c r="B44" s="1639"/>
    </row>
    <row r="45" spans="1:9">
      <c r="A45" s="1639" t="s">
        <v>1901</v>
      </c>
      <c r="B45" s="1639" t="s">
        <v>2043</v>
      </c>
    </row>
    <row r="46" spans="1:9" s="1639" customFormat="1">
      <c r="B46" s="1639" t="str">
        <f>项目基本情况!K4</f>
        <v>王鹏、郑燚</v>
      </c>
    </row>
    <row r="47" spans="1:9">
      <c r="A47" s="1639"/>
      <c r="B47" s="1639"/>
    </row>
    <row r="48" spans="1:9">
      <c r="A48" s="1639" t="s">
        <v>1901</v>
      </c>
      <c r="B48" s="1639" t="s">
        <v>2046</v>
      </c>
    </row>
    <row r="49" spans="2:2">
      <c r="B49" s="1639" t="str">
        <f>"康正预评字"&amp;项目基本情况!B2&amp;"号"</f>
        <v>康正预评字2020-1-0139-P01DYGJ2号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F143" sqref="F143"/>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1" t="s">
        <v>466</v>
      </c>
      <c r="B1" s="2764"/>
      <c r="C1" s="2089"/>
      <c r="D1" s="2089"/>
      <c r="E1" s="2089"/>
      <c r="F1" s="2089"/>
      <c r="G1" s="2089"/>
      <c r="H1" s="2089"/>
      <c r="I1" s="2089"/>
      <c r="J1" s="2089"/>
      <c r="K1" s="422">
        <f>MATCH(B1,'数据-取费表'!A6:A16,0)+5</f>
        <v>8</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2649</v>
      </c>
      <c r="B6" s="433"/>
      <c r="C6" s="1608">
        <f>SUM(C10:K10)</f>
        <v>0</v>
      </c>
      <c r="D6" s="2094"/>
      <c r="E6" s="2094"/>
      <c r="F6" s="2094"/>
      <c r="G6" s="2094"/>
      <c r="H6" s="2094"/>
      <c r="I6" s="2094"/>
      <c r="J6" s="2094"/>
      <c r="K6" s="2095"/>
    </row>
    <row r="7" spans="1:41" s="2098" customFormat="1" ht="14.4">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267456</v>
      </c>
      <c r="D13" s="451"/>
      <c r="E13" s="365"/>
      <c r="F13" s="452"/>
      <c r="G13" s="444"/>
      <c r="H13" s="447"/>
      <c r="I13" s="447"/>
      <c r="J13" s="447"/>
      <c r="K13" s="448"/>
    </row>
    <row r="14" spans="1:41" s="2101" customFormat="1" ht="13.5" customHeight="1">
      <c r="A14" s="1618" t="s">
        <v>1849</v>
      </c>
      <c r="B14" s="449" t="s">
        <v>480</v>
      </c>
      <c r="C14" s="53">
        <f ca="1">ROUND(C13*F14,0)</f>
        <v>8024</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12966</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15621</v>
      </c>
      <c r="D16" s="451">
        <f ca="1">IF(B1="",'数据-汇总表'!E3,INDIRECT("'数据-取费表'!K"&amp;$K$1)+INDIRECT("'数据-取费表'!S"&amp;$K$1))</f>
        <v>781063.4</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4012</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308079</v>
      </c>
      <c r="D18" s="461"/>
      <c r="E18" s="462"/>
      <c r="F18" s="462"/>
      <c r="G18" s="1322" t="s">
        <v>2430</v>
      </c>
      <c r="H18" s="447"/>
      <c r="I18" s="447"/>
      <c r="J18" s="447"/>
      <c r="K18" s="448"/>
    </row>
    <row r="19" spans="1:14" s="2104" customFormat="1" ht="13.5" customHeight="1">
      <c r="A19" s="1619" t="s">
        <v>1854</v>
      </c>
      <c r="B19" s="459" t="s">
        <v>493</v>
      </c>
      <c r="C19" s="460">
        <f ca="1">ROUND(C18*F19,0)</f>
        <v>6162</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2">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1858</v>
      </c>
      <c r="B21" s="461" t="s">
        <v>494</v>
      </c>
      <c r="C21" s="470">
        <f ca="1">C22</f>
        <v>22653</v>
      </c>
      <c r="D21" s="467">
        <f ca="1">C23</f>
        <v>1.4E-3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2452</v>
      </c>
    </row>
    <row r="22" spans="1:14" s="2105" customFormat="1" ht="13.5" customHeight="1">
      <c r="A22" s="1618" t="s">
        <v>1848</v>
      </c>
      <c r="B22" s="1323" t="s">
        <v>2433</v>
      </c>
      <c r="C22" s="487">
        <f ca="1">ROUND(IF('数据-取费表'!B22&lt;=1,(C18+C19)*F21*'数据-取费表'!B20/2,(C18+C19)*(POWER((1+F21),'数据-取费表'!B20/2)-1)),0)</f>
        <v>22653</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3" t="s">
        <v>508</v>
      </c>
      <c r="C23" s="488">
        <f ca="1">ROUND(IF('数据-取费表'!B22&lt;=1,F20*F21*'数据-取费表'!B20/2,F20*(POWER((1+F21),'数据-取费表'!B20/2)-1)),4)</f>
        <v>1.4E-3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2829</v>
      </c>
      <c r="C24" s="478">
        <f ca="1">C25</f>
        <v>62848</v>
      </c>
      <c r="D24" s="489">
        <f ca="1">C26</f>
        <v>4.0000000000000001E-3</v>
      </c>
      <c r="E24" s="469" t="s">
        <v>507</v>
      </c>
      <c r="F24" s="479">
        <f ca="1">IF(B1="",'数据-取费表'!Q16,INDIRECT("'数据-取费表'!q"&amp;$K$1))</f>
        <v>0.2</v>
      </c>
      <c r="G24" s="444"/>
      <c r="H24" s="447"/>
      <c r="I24" s="447"/>
      <c r="J24" s="447"/>
      <c r="K24" s="448"/>
    </row>
    <row r="25" spans="1:14" s="2105" customFormat="1" ht="13.5" customHeight="1">
      <c r="A25" s="1618" t="s">
        <v>1848</v>
      </c>
      <c r="B25" s="1323" t="s">
        <v>2434</v>
      </c>
      <c r="C25" s="490">
        <f ca="1">ROUND((C18+C19)*F24,0)</f>
        <v>62848</v>
      </c>
      <c r="D25" s="472"/>
      <c r="E25" s="473"/>
      <c r="F25" s="480"/>
      <c r="G25" s="1321" t="s">
        <v>2431</v>
      </c>
      <c r="H25" s="457"/>
      <c r="I25" s="457"/>
      <c r="J25" s="457"/>
      <c r="K25" s="458"/>
    </row>
    <row r="26" spans="1:14" s="2105" customFormat="1" ht="13.5" customHeight="1">
      <c r="A26" s="1618" t="s">
        <v>1849</v>
      </c>
      <c r="B26" s="1323" t="s">
        <v>509</v>
      </c>
      <c r="C26" s="491">
        <f ca="1">ROUND(F20*F24,4)</f>
        <v>4.0000000000000001E-3</v>
      </c>
      <c r="D26" s="472"/>
      <c r="E26" s="481"/>
      <c r="F26" s="480"/>
      <c r="G26" s="1321" t="s">
        <v>510</v>
      </c>
      <c r="H26" s="457"/>
      <c r="I26" s="457"/>
      <c r="J26" s="457"/>
      <c r="K26" s="458"/>
    </row>
    <row r="27" spans="1:14" s="2105" customFormat="1" ht="13.5" customHeight="1">
      <c r="A27" s="1622" t="s">
        <v>1867</v>
      </c>
      <c r="B27" s="459" t="s">
        <v>511</v>
      </c>
      <c r="C27" s="2983">
        <f>ROUND(F27/(1+'数据-取费表'!C42),4)</f>
        <v>5.33E-2</v>
      </c>
      <c r="D27" s="462" t="s">
        <v>2827</v>
      </c>
      <c r="E27" s="462"/>
      <c r="F27" s="466">
        <f>'数据-取费表'!B41</f>
        <v>5.6000000000000001E-2</v>
      </c>
      <c r="G27" s="1945" t="s">
        <v>2289</v>
      </c>
      <c r="H27" s="447"/>
      <c r="I27" s="447"/>
      <c r="J27" s="447"/>
      <c r="K27" s="448"/>
    </row>
    <row r="28" spans="1:14" s="2106" customFormat="1" ht="13.5" customHeight="1">
      <c r="A28" s="1622" t="s">
        <v>1868</v>
      </c>
      <c r="B28" s="476" t="s">
        <v>512</v>
      </c>
      <c r="C28" s="470">
        <f ca="1">ROUND((C18+C19+C21+C24)/(1-C20-D21-D24-C27),0)</f>
        <v>433889</v>
      </c>
      <c r="D28" s="477"/>
      <c r="E28" s="469"/>
      <c r="F28" s="471"/>
      <c r="G28" s="1322" t="s">
        <v>2432</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1865</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8" zoomScale="80" zoomScaleNormal="95" zoomScaleSheetLayoutView="80" workbookViewId="0">
      <selection activeCell="O29" sqref="O29"/>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198384</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f>ROUND(B2*10000/'数据-汇总表'!E3,0)</f>
        <v>2540</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8890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593</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1">
      <c r="A6" s="512" t="s">
        <v>521</v>
      </c>
      <c r="B6" s="513"/>
      <c r="C6" s="3474" t="s">
        <v>522</v>
      </c>
      <c r="D6" s="3475"/>
      <c r="E6" s="3474" t="s">
        <v>523</v>
      </c>
      <c r="F6" s="3475"/>
      <c r="G6" s="3474" t="s">
        <v>524</v>
      </c>
      <c r="H6" s="3475"/>
      <c r="I6" s="3474" t="s">
        <v>525</v>
      </c>
      <c r="J6" s="3475"/>
      <c r="K6" s="514" t="s">
        <v>526</v>
      </c>
      <c r="L6" s="2118"/>
      <c r="M6" s="2117"/>
      <c r="N6" s="2117"/>
      <c r="O6" s="2119"/>
      <c r="P6" s="3476" t="s">
        <v>527</v>
      </c>
      <c r="Q6" s="3477"/>
      <c r="R6" s="3464" t="s">
        <v>523</v>
      </c>
      <c r="S6" s="3465"/>
      <c r="T6" s="3464" t="s">
        <v>524</v>
      </c>
      <c r="U6" s="3465"/>
      <c r="V6" s="3461" t="s">
        <v>525</v>
      </c>
      <c r="W6" s="3461"/>
      <c r="X6" s="3183"/>
      <c r="Y6" s="3464" t="s">
        <v>527</v>
      </c>
      <c r="Z6" s="3465"/>
      <c r="AA6" s="3470" t="s">
        <v>523</v>
      </c>
      <c r="AB6" s="3471" t="s">
        <v>524</v>
      </c>
      <c r="AC6" s="3470" t="s">
        <v>525</v>
      </c>
    </row>
    <row r="7" spans="1:30" ht="32.25" customHeight="1">
      <c r="A7" s="515"/>
      <c r="B7" s="516"/>
      <c r="C7" s="3482" t="s">
        <v>2923</v>
      </c>
      <c r="D7" s="3483"/>
      <c r="E7" s="3482" t="str">
        <f>Sheet0!A2</f>
        <v>中华西路以北、宝瑞阳光小区以西区域</v>
      </c>
      <c r="F7" s="3483"/>
      <c r="G7" s="3482" t="str">
        <f>Sheet0!A3</f>
        <v>咸平路以东、中华西路以北、西环路以西、劳动路以南区域</v>
      </c>
      <c r="H7" s="3483"/>
      <c r="I7" s="3484" t="str">
        <f>Sheet0!A17</f>
        <v>宝泉路以南、彩虹一路以西、华电路以东区域</v>
      </c>
      <c r="J7" s="3485"/>
      <c r="K7" s="514"/>
      <c r="L7" s="2118"/>
      <c r="M7" s="2117"/>
      <c r="N7" s="2117"/>
      <c r="O7" s="2119"/>
      <c r="P7" s="3478"/>
      <c r="Q7" s="3479"/>
      <c r="R7" s="3466"/>
      <c r="S7" s="3467"/>
      <c r="T7" s="3466"/>
      <c r="U7" s="3467"/>
      <c r="V7" s="3461"/>
      <c r="W7" s="3461"/>
      <c r="X7" s="3183"/>
      <c r="Y7" s="3466"/>
      <c r="Z7" s="3467"/>
      <c r="AA7" s="3471"/>
      <c r="AB7" s="3471"/>
      <c r="AC7" s="3471"/>
    </row>
    <row r="8" spans="1:30" ht="21.6" thickBot="1">
      <c r="A8" s="515"/>
      <c r="B8" s="516"/>
      <c r="C8" s="3486" t="s">
        <v>2927</v>
      </c>
      <c r="D8" s="3487"/>
      <c r="E8" s="3486" t="s">
        <v>2927</v>
      </c>
      <c r="F8" s="3487"/>
      <c r="G8" s="3488" t="s">
        <v>2927</v>
      </c>
      <c r="H8" s="3489"/>
      <c r="I8" s="3488" t="s">
        <v>2927</v>
      </c>
      <c r="J8" s="3489"/>
      <c r="K8" s="514" t="s">
        <v>528</v>
      </c>
      <c r="L8" s="2118"/>
      <c r="M8" s="2117"/>
      <c r="N8" s="2117"/>
      <c r="O8" s="2119"/>
      <c r="P8" s="3480"/>
      <c r="Q8" s="3481"/>
      <c r="R8" s="3466"/>
      <c r="S8" s="3467"/>
      <c r="T8" s="3468"/>
      <c r="U8" s="3469"/>
      <c r="V8" s="3461"/>
      <c r="W8" s="3461"/>
      <c r="X8" s="3183"/>
      <c r="Y8" s="3468"/>
      <c r="Z8" s="3469"/>
      <c r="AA8" s="3472"/>
      <c r="AB8" s="3472"/>
      <c r="AC8" s="3472"/>
    </row>
    <row r="9" spans="1:30" s="1215" customFormat="1" ht="21.6" thickBot="1">
      <c r="A9" s="2867"/>
      <c r="B9" s="2874" t="s">
        <v>529</v>
      </c>
      <c r="C9" s="2866">
        <f>'数据-取费表'!B2</f>
        <v>43902</v>
      </c>
      <c r="D9" s="520">
        <v>100</v>
      </c>
      <c r="E9" s="521" t="str">
        <f>Sheet0!H2</f>
        <v>2019-11-14</v>
      </c>
      <c r="F9" s="522">
        <f>SUMIF(72:72,YEAR(E9)&amp;"-"&amp;INT((MONTH(E9)+2)/3),73:73)</f>
        <v>100</v>
      </c>
      <c r="G9" s="523" t="str">
        <f>Sheet0!H3</f>
        <v>2019-10-18</v>
      </c>
      <c r="H9" s="520">
        <f>SUMIF(72:72,YEAR(G9)&amp;"-"&amp;INT((MONTH(G9)+2)/3),73:73)</f>
        <v>100</v>
      </c>
      <c r="I9" s="523" t="str">
        <f>Sheet0!H17</f>
        <v>2019-01-25</v>
      </c>
      <c r="J9" s="520">
        <f>SUMIF(72:72,YEAR(I9)&amp;"-"&amp;INT((MONTH(I9)+2)/3),73:73)</f>
        <v>100</v>
      </c>
      <c r="K9" s="524"/>
      <c r="L9" s="2120"/>
      <c r="M9" s="2117"/>
      <c r="N9" s="2117"/>
      <c r="O9" s="2121"/>
      <c r="P9" s="3462" t="s">
        <v>530</v>
      </c>
      <c r="Q9" s="3473"/>
      <c r="R9" s="1554" t="s">
        <v>8</v>
      </c>
      <c r="S9" s="1555">
        <f t="shared" ref="S9:S17" si="0">F9</f>
        <v>100</v>
      </c>
      <c r="T9" s="1554" t="s">
        <v>8</v>
      </c>
      <c r="U9" s="1555">
        <f t="shared" ref="U9:U17" si="1">H9</f>
        <v>100</v>
      </c>
      <c r="V9" s="1554" t="s">
        <v>8</v>
      </c>
      <c r="W9" s="1555">
        <f t="shared" ref="W9:W17" si="2">J9</f>
        <v>100</v>
      </c>
      <c r="X9" s="1556"/>
      <c r="Y9" s="3462" t="s">
        <v>530</v>
      </c>
      <c r="Z9" s="3463"/>
      <c r="AA9" s="1557">
        <f>D9/F9</f>
        <v>1</v>
      </c>
      <c r="AB9" s="1557">
        <f>D9/H9</f>
        <v>1</v>
      </c>
      <c r="AC9" s="1557">
        <f>D9/J9</f>
        <v>1</v>
      </c>
    </row>
    <row r="10" spans="1:30" s="1215" customFormat="1" ht="21.6" thickBot="1">
      <c r="A10" s="2868"/>
      <c r="B10" s="2875" t="s">
        <v>531</v>
      </c>
      <c r="C10" s="856" t="s">
        <v>532</v>
      </c>
      <c r="D10" s="520">
        <v>100</v>
      </c>
      <c r="E10" s="525" t="s">
        <v>3415</v>
      </c>
      <c r="F10" s="522">
        <f>SUMIF(75:75,E10,76:76)-SUMIF(75:75,C10,76:76)+100</f>
        <v>100</v>
      </c>
      <c r="G10" s="525" t="s">
        <v>3415</v>
      </c>
      <c r="H10" s="520">
        <f>SUMIF(75:75,G10,76:76)-SUMIF(75:75,C10,76:76)+100</f>
        <v>100</v>
      </c>
      <c r="I10" s="525" t="s">
        <v>3415</v>
      </c>
      <c r="J10" s="520">
        <f>SUMIF(75:75,I10,76:76)-SUMIF(75:75,C10,76:76)+100</f>
        <v>100</v>
      </c>
      <c r="K10" s="524"/>
      <c r="L10" s="2120"/>
      <c r="M10" s="2117"/>
      <c r="N10" s="2117"/>
      <c r="O10" s="2121"/>
      <c r="P10" s="3462" t="s">
        <v>533</v>
      </c>
      <c r="Q10" s="3463"/>
      <c r="R10" s="1554" t="s">
        <v>8</v>
      </c>
      <c r="S10" s="1555">
        <f t="shared" si="0"/>
        <v>100</v>
      </c>
      <c r="T10" s="1554" t="s">
        <v>8</v>
      </c>
      <c r="U10" s="1555">
        <f t="shared" si="1"/>
        <v>100</v>
      </c>
      <c r="V10" s="1554" t="s">
        <v>8</v>
      </c>
      <c r="W10" s="1555">
        <f t="shared" si="2"/>
        <v>100</v>
      </c>
      <c r="X10" s="1556"/>
      <c r="Y10" s="3462" t="s">
        <v>533</v>
      </c>
      <c r="Z10" s="3463"/>
      <c r="AA10" s="1557">
        <f t="shared" ref="AA10:AA47" si="3">D10/F10</f>
        <v>1</v>
      </c>
      <c r="AB10" s="1557">
        <f t="shared" ref="AB10:AB47" si="4">D10/H10</f>
        <v>1</v>
      </c>
      <c r="AC10" s="1557">
        <f t="shared" ref="AC10:AC47" si="5">D10/J10</f>
        <v>1</v>
      </c>
    </row>
    <row r="11" spans="1:30" s="1215" customFormat="1" ht="21">
      <c r="A11" s="2869"/>
      <c r="B11" s="2876" t="s">
        <v>2753</v>
      </c>
      <c r="C11" s="2863" t="s">
        <v>923</v>
      </c>
      <c r="D11" s="254">
        <v>100</v>
      </c>
      <c r="E11" s="2863" t="s">
        <v>923</v>
      </c>
      <c r="F11" s="254">
        <f>SUMIF(77:77,E11,78:78)-SUMIF(77:77,C11,78:78)+100</f>
        <v>100</v>
      </c>
      <c r="G11" s="2863" t="s">
        <v>923</v>
      </c>
      <c r="H11" s="254">
        <f>SUMIF(77:77,G11,78:78)-SUMIF(77:77,C11,78:78)+100</f>
        <v>100</v>
      </c>
      <c r="I11" s="2863" t="s">
        <v>923</v>
      </c>
      <c r="J11" s="254">
        <f>SUMIF(77:77,I11,78:78)-SUMIF(77:77,C11,78:78)+100</f>
        <v>100</v>
      </c>
      <c r="K11" s="524"/>
      <c r="L11" s="2120"/>
      <c r="M11" s="2117"/>
      <c r="N11" s="2117"/>
      <c r="O11" s="2122"/>
      <c r="P11" s="3452" t="s">
        <v>535</v>
      </c>
      <c r="Q11" s="3181" t="str">
        <f t="shared" ref="Q11:Q17" si="6">B11</f>
        <v>用途</v>
      </c>
      <c r="R11" s="1554" t="s">
        <v>8</v>
      </c>
      <c r="S11" s="1555">
        <f t="shared" si="0"/>
        <v>100</v>
      </c>
      <c r="T11" s="1554" t="s">
        <v>8</v>
      </c>
      <c r="U11" s="1555">
        <f t="shared" si="1"/>
        <v>100</v>
      </c>
      <c r="V11" s="1554" t="s">
        <v>8</v>
      </c>
      <c r="W11" s="1555">
        <f t="shared" si="2"/>
        <v>100</v>
      </c>
      <c r="X11" s="1556"/>
      <c r="Y11" s="3416" t="s">
        <v>536</v>
      </c>
      <c r="Z11" s="3180" t="str">
        <f t="shared" ref="Z11:Z17" si="7">Q11</f>
        <v>用途</v>
      </c>
      <c r="AA11" s="1557">
        <f t="shared" si="3"/>
        <v>1</v>
      </c>
      <c r="AB11" s="1557">
        <f t="shared" si="4"/>
        <v>1</v>
      </c>
      <c r="AC11" s="1557">
        <f t="shared" si="5"/>
        <v>1</v>
      </c>
    </row>
    <row r="12" spans="1:30" s="1333" customFormat="1" ht="28.8">
      <c r="A12" s="2870"/>
      <c r="B12" s="2875" t="s">
        <v>2754</v>
      </c>
      <c r="C12" s="909">
        <v>70</v>
      </c>
      <c r="D12" s="255">
        <v>100</v>
      </c>
      <c r="E12" s="529" t="s">
        <v>3430</v>
      </c>
      <c r="F12" s="255">
        <f>ROUND(100/'数据-取费表'!G16,0)</f>
        <v>100</v>
      </c>
      <c r="G12" s="530" t="s">
        <v>3430</v>
      </c>
      <c r="H12" s="255">
        <f>ROUND(100/'数据-取费表'!G16,0)</f>
        <v>100</v>
      </c>
      <c r="I12" s="530" t="s">
        <v>3430</v>
      </c>
      <c r="J12" s="255">
        <f>ROUND(100/'数据-取费表'!G16,0)</f>
        <v>100</v>
      </c>
      <c r="K12" s="531"/>
      <c r="L12" s="2123"/>
      <c r="M12" s="2117"/>
      <c r="N12" s="2117"/>
      <c r="O12" s="2124"/>
      <c r="P12" s="3452"/>
      <c r="Q12" s="3181" t="str">
        <f t="shared" si="6"/>
        <v>土地使用年限（年）</v>
      </c>
      <c r="R12" s="1554" t="s">
        <v>8</v>
      </c>
      <c r="S12" s="1555">
        <f t="shared" si="0"/>
        <v>100</v>
      </c>
      <c r="T12" s="1554" t="s">
        <v>8</v>
      </c>
      <c r="U12" s="1555">
        <f t="shared" si="1"/>
        <v>100</v>
      </c>
      <c r="V12" s="1554" t="s">
        <v>8</v>
      </c>
      <c r="W12" s="1555">
        <f t="shared" si="2"/>
        <v>100</v>
      </c>
      <c r="X12" s="1556"/>
      <c r="Y12" s="3416"/>
      <c r="Z12" s="3180" t="str">
        <f t="shared" si="7"/>
        <v>土地使用年限（年）</v>
      </c>
      <c r="AA12" s="1557">
        <f t="shared" si="3"/>
        <v>1</v>
      </c>
      <c r="AB12" s="1557">
        <f t="shared" si="4"/>
        <v>1</v>
      </c>
      <c r="AC12" s="1557">
        <f t="shared" si="5"/>
        <v>1</v>
      </c>
    </row>
    <row r="13" spans="1:30" ht="21">
      <c r="A13" s="2871"/>
      <c r="B13" s="2875" t="s">
        <v>2755</v>
      </c>
      <c r="C13" s="534">
        <f>'数据-汇总表'!I6</f>
        <v>3.5</v>
      </c>
      <c r="D13" s="255">
        <v>100</v>
      </c>
      <c r="E13" s="533">
        <v>3.5</v>
      </c>
      <c r="F13" s="255">
        <f>LOOKUP(E13,82:82,83:83)-LOOKUP(C13,82:82,83:83)+100</f>
        <v>100</v>
      </c>
      <c r="G13" s="534">
        <v>3.5</v>
      </c>
      <c r="H13" s="255">
        <f>LOOKUP(G13,82:82,83:83)-LOOKUP(C13,82:82,83:83)+100</f>
        <v>100</v>
      </c>
      <c r="I13" s="3219">
        <v>3.21</v>
      </c>
      <c r="J13" s="255">
        <f>LOOKUP(I13,82:82,83:83)-LOOKUP(C13,82:82,83:83)+100</f>
        <v>100</v>
      </c>
      <c r="K13" s="535">
        <v>2</v>
      </c>
      <c r="L13" s="2125"/>
      <c r="M13" s="2117"/>
      <c r="N13" s="2117"/>
      <c r="O13" s="2126"/>
      <c r="P13" s="3452"/>
      <c r="Q13" s="3181" t="str">
        <f t="shared" si="6"/>
        <v>容积率</v>
      </c>
      <c r="R13" s="1554" t="s">
        <v>8</v>
      </c>
      <c r="S13" s="1555">
        <f t="shared" si="0"/>
        <v>100</v>
      </c>
      <c r="T13" s="1554" t="s">
        <v>8</v>
      </c>
      <c r="U13" s="1555">
        <f t="shared" si="1"/>
        <v>100</v>
      </c>
      <c r="V13" s="1554" t="s">
        <v>8</v>
      </c>
      <c r="W13" s="1555">
        <f t="shared" si="2"/>
        <v>100</v>
      </c>
      <c r="X13" s="1556"/>
      <c r="Y13" s="3416"/>
      <c r="Z13" s="3180" t="str">
        <f t="shared" si="7"/>
        <v>容积率</v>
      </c>
      <c r="AA13" s="1557">
        <f t="shared" si="3"/>
        <v>1</v>
      </c>
      <c r="AB13" s="1557">
        <f t="shared" si="4"/>
        <v>1</v>
      </c>
      <c r="AC13" s="1557">
        <f t="shared" si="5"/>
        <v>1</v>
      </c>
    </row>
    <row r="14" spans="1:30" s="1215" customFormat="1" ht="21">
      <c r="A14" s="2868"/>
      <c r="B14" s="2877" t="s">
        <v>2756</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452"/>
      <c r="Q14" s="3181" t="str">
        <f t="shared" si="6"/>
        <v>配建</v>
      </c>
      <c r="R14" s="1554" t="s">
        <v>8</v>
      </c>
      <c r="S14" s="1555">
        <f t="shared" si="0"/>
        <v>100</v>
      </c>
      <c r="T14" s="1554" t="s">
        <v>8</v>
      </c>
      <c r="U14" s="1555">
        <f t="shared" si="1"/>
        <v>100</v>
      </c>
      <c r="V14" s="1554" t="s">
        <v>8</v>
      </c>
      <c r="W14" s="1555">
        <f t="shared" si="2"/>
        <v>100</v>
      </c>
      <c r="X14" s="1556"/>
      <c r="Y14" s="3416"/>
      <c r="Z14" s="3180" t="str">
        <f t="shared" si="7"/>
        <v>配建</v>
      </c>
      <c r="AA14" s="1557">
        <f>D14/F14</f>
        <v>1</v>
      </c>
      <c r="AB14" s="1557">
        <f>D14/H14</f>
        <v>1</v>
      </c>
      <c r="AC14" s="1557">
        <f>D14/J14</f>
        <v>1</v>
      </c>
    </row>
    <row r="15" spans="1:30" ht="21">
      <c r="A15" s="2872"/>
      <c r="B15" s="2878">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52"/>
      <c r="Q15" s="3181">
        <f t="shared" si="6"/>
        <v>111</v>
      </c>
      <c r="R15" s="1554" t="s">
        <v>8</v>
      </c>
      <c r="S15" s="1555">
        <f t="shared" si="0"/>
        <v>100</v>
      </c>
      <c r="T15" s="1554" t="s">
        <v>8</v>
      </c>
      <c r="U15" s="1555">
        <f t="shared" si="1"/>
        <v>100</v>
      </c>
      <c r="V15" s="1554" t="s">
        <v>8</v>
      </c>
      <c r="W15" s="1555">
        <f t="shared" si="2"/>
        <v>100</v>
      </c>
      <c r="X15" s="1556"/>
      <c r="Y15" s="3416"/>
      <c r="Z15" s="3180">
        <f t="shared" si="7"/>
        <v>111</v>
      </c>
      <c r="AA15" s="1557">
        <f>D15/F15</f>
        <v>1</v>
      </c>
      <c r="AB15" s="1557">
        <f>D15/H15</f>
        <v>1</v>
      </c>
      <c r="AC15" s="1557">
        <f>D15/J15</f>
        <v>1</v>
      </c>
    </row>
    <row r="16" spans="1:30" ht="21.6" thickBot="1">
      <c r="A16" s="2873"/>
      <c r="B16" s="2879">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52"/>
      <c r="Q16" s="3181">
        <f t="shared" si="6"/>
        <v>111</v>
      </c>
      <c r="R16" s="1554" t="s">
        <v>8</v>
      </c>
      <c r="S16" s="1555">
        <f t="shared" si="0"/>
        <v>100</v>
      </c>
      <c r="T16" s="1554" t="s">
        <v>8</v>
      </c>
      <c r="U16" s="1555">
        <f t="shared" si="1"/>
        <v>100</v>
      </c>
      <c r="V16" s="1554" t="s">
        <v>8</v>
      </c>
      <c r="W16" s="1555">
        <f t="shared" si="2"/>
        <v>100</v>
      </c>
      <c r="X16" s="1556"/>
      <c r="Y16" s="3416"/>
      <c r="Z16" s="3180">
        <f t="shared" si="7"/>
        <v>111</v>
      </c>
      <c r="AA16" s="1557">
        <f>D16/F16</f>
        <v>1</v>
      </c>
      <c r="AB16" s="1557">
        <f>D16/H16</f>
        <v>1</v>
      </c>
      <c r="AC16" s="1557">
        <f>D16/J16</f>
        <v>1</v>
      </c>
    </row>
    <row r="17" spans="1:29" ht="21">
      <c r="A17" s="2865" t="s">
        <v>2751</v>
      </c>
      <c r="B17" s="578" t="s">
        <v>295</v>
      </c>
      <c r="C17" s="548" t="str">
        <f>估价对象房地状况!C15</f>
        <v>一般</v>
      </c>
      <c r="D17" s="551">
        <v>100</v>
      </c>
      <c r="E17" s="552"/>
      <c r="F17" s="549">
        <f>SUMIF(90:90,E18,91:91)-SUMIF(90:90,C18,91:91)+100</f>
        <v>100</v>
      </c>
      <c r="G17" s="550"/>
      <c r="H17" s="549">
        <f>SUMIF(90:90,G18,91:91)-SUMIF(90:90,C18,91:91)+100</f>
        <v>100</v>
      </c>
      <c r="I17" s="552"/>
      <c r="J17" s="549">
        <f>SUMIF(90:90,I18,91:91)-SUMIF(90:90,C18,91:91)+100</f>
        <v>100</v>
      </c>
      <c r="K17" s="535">
        <v>2</v>
      </c>
      <c r="L17" s="2127"/>
      <c r="M17" s="2117"/>
      <c r="N17" s="2117"/>
      <c r="O17" s="2126"/>
      <c r="P17" s="3454" t="s">
        <v>540</v>
      </c>
      <c r="Q17" s="3184" t="str">
        <f t="shared" si="6"/>
        <v>居住社区成熟度</v>
      </c>
      <c r="R17" s="1559" t="s">
        <v>8</v>
      </c>
      <c r="S17" s="1560">
        <f t="shared" si="0"/>
        <v>100</v>
      </c>
      <c r="T17" s="1559" t="s">
        <v>8</v>
      </c>
      <c r="U17" s="1560">
        <f t="shared" si="1"/>
        <v>100</v>
      </c>
      <c r="V17" s="1559" t="s">
        <v>8</v>
      </c>
      <c r="W17" s="1560">
        <f t="shared" si="2"/>
        <v>100</v>
      </c>
      <c r="X17" s="3183"/>
      <c r="Y17" s="3454" t="s">
        <v>540</v>
      </c>
      <c r="Z17" s="3185" t="str">
        <f t="shared" si="7"/>
        <v>居住社区成熟度</v>
      </c>
      <c r="AA17" s="3186">
        <f t="shared" si="3"/>
        <v>1</v>
      </c>
      <c r="AB17" s="3186">
        <f t="shared" si="4"/>
        <v>1</v>
      </c>
      <c r="AC17" s="3186">
        <f t="shared" si="5"/>
        <v>1</v>
      </c>
    </row>
    <row r="18" spans="1:29" ht="21">
      <c r="A18" s="532"/>
      <c r="B18" s="553"/>
      <c r="C18" s="554" t="s">
        <v>3423</v>
      </c>
      <c r="D18" s="557"/>
      <c r="E18" s="558" t="s">
        <v>3423</v>
      </c>
      <c r="F18" s="555"/>
      <c r="G18" s="558" t="s">
        <v>3423</v>
      </c>
      <c r="H18" s="559"/>
      <c r="I18" s="558" t="s">
        <v>3423</v>
      </c>
      <c r="J18" s="555"/>
      <c r="K18" s="531"/>
      <c r="L18" s="2127"/>
      <c r="M18" s="2117"/>
      <c r="N18" s="2117"/>
      <c r="O18" s="2126"/>
      <c r="P18" s="3455"/>
      <c r="Q18" s="3184"/>
      <c r="R18" s="1559"/>
      <c r="S18" s="1560"/>
      <c r="T18" s="1559"/>
      <c r="U18" s="1560"/>
      <c r="V18" s="1559"/>
      <c r="W18" s="1560"/>
      <c r="X18" s="3183"/>
      <c r="Y18" s="3455"/>
      <c r="Z18" s="3185"/>
      <c r="AA18" s="3186">
        <v>1</v>
      </c>
      <c r="AB18" s="3186">
        <v>1</v>
      </c>
      <c r="AC18" s="3186">
        <v>1</v>
      </c>
    </row>
    <row r="19" spans="1:29" ht="21">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v>2</v>
      </c>
      <c r="L19" s="2127"/>
      <c r="M19" s="2117"/>
      <c r="N19" s="2117"/>
      <c r="O19" s="2126"/>
      <c r="P19" s="3455"/>
      <c r="Q19" s="3184" t="str">
        <f>B19</f>
        <v>商业繁华度</v>
      </c>
      <c r="R19" s="1559" t="s">
        <v>8</v>
      </c>
      <c r="S19" s="1560">
        <f>F19</f>
        <v>100</v>
      </c>
      <c r="T19" s="1559" t="s">
        <v>8</v>
      </c>
      <c r="U19" s="1560">
        <f>H19</f>
        <v>100</v>
      </c>
      <c r="V19" s="1559" t="s">
        <v>8</v>
      </c>
      <c r="W19" s="1560">
        <f>J19</f>
        <v>100</v>
      </c>
      <c r="X19" s="3183"/>
      <c r="Y19" s="3455"/>
      <c r="Z19" s="3185" t="str">
        <f>Q19</f>
        <v>商业繁华度</v>
      </c>
      <c r="AA19" s="3186">
        <f t="shared" si="3"/>
        <v>1</v>
      </c>
      <c r="AB19" s="3186">
        <f t="shared" si="4"/>
        <v>1</v>
      </c>
      <c r="AC19" s="3186">
        <f t="shared" si="5"/>
        <v>1</v>
      </c>
    </row>
    <row r="20" spans="1:29" ht="21">
      <c r="A20" s="532"/>
      <c r="B20" s="566"/>
      <c r="C20" s="567" t="s">
        <v>3423</v>
      </c>
      <c r="D20" s="563"/>
      <c r="E20" s="569" t="s">
        <v>3423</v>
      </c>
      <c r="F20" s="559"/>
      <c r="G20" s="569" t="s">
        <v>3423</v>
      </c>
      <c r="H20" s="555"/>
      <c r="I20" s="569" t="s">
        <v>3423</v>
      </c>
      <c r="J20" s="555"/>
      <c r="K20" s="531"/>
      <c r="L20" s="2127"/>
      <c r="M20" s="2117"/>
      <c r="N20" s="2117"/>
      <c r="O20" s="2126"/>
      <c r="P20" s="3455"/>
      <c r="Q20" s="3184"/>
      <c r="R20" s="1559"/>
      <c r="S20" s="1560"/>
      <c r="T20" s="1559"/>
      <c r="U20" s="1560"/>
      <c r="V20" s="1559"/>
      <c r="W20" s="1560"/>
      <c r="X20" s="3183"/>
      <c r="Y20" s="3455"/>
      <c r="Z20" s="3185"/>
      <c r="AA20" s="3186">
        <v>1</v>
      </c>
      <c r="AB20" s="3186">
        <v>1</v>
      </c>
      <c r="AC20" s="3186">
        <v>1</v>
      </c>
    </row>
    <row r="21" spans="1:29" ht="2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55"/>
      <c r="Q21" s="3184" t="str">
        <f>B21</f>
        <v>办公集聚程度</v>
      </c>
      <c r="R21" s="1559" t="s">
        <v>8</v>
      </c>
      <c r="S21" s="1560">
        <f>F21</f>
        <v>100</v>
      </c>
      <c r="T21" s="1559" t="s">
        <v>8</v>
      </c>
      <c r="U21" s="1560">
        <f>H21</f>
        <v>100</v>
      </c>
      <c r="V21" s="1559" t="s">
        <v>8</v>
      </c>
      <c r="W21" s="1560">
        <f>J21</f>
        <v>100</v>
      </c>
      <c r="X21" s="3183"/>
      <c r="Y21" s="3455"/>
      <c r="Z21" s="3185" t="str">
        <f>Q21</f>
        <v>办公集聚程度</v>
      </c>
      <c r="AA21" s="3186">
        <f t="shared" si="3"/>
        <v>1</v>
      </c>
      <c r="AB21" s="3186">
        <f t="shared" si="4"/>
        <v>1</v>
      </c>
      <c r="AC21" s="3186">
        <f t="shared" si="5"/>
        <v>1</v>
      </c>
    </row>
    <row r="22" spans="1:29" ht="21">
      <c r="A22" s="532"/>
      <c r="B22" s="566"/>
      <c r="C22" s="554"/>
      <c r="D22" s="557"/>
      <c r="E22" s="558"/>
      <c r="F22" s="555"/>
      <c r="G22" s="556"/>
      <c r="H22" s="555"/>
      <c r="I22" s="558"/>
      <c r="J22" s="555"/>
      <c r="K22" s="531"/>
      <c r="L22" s="2127"/>
      <c r="M22" s="2117"/>
      <c r="N22" s="2117"/>
      <c r="O22" s="2126"/>
      <c r="P22" s="3455"/>
      <c r="Q22" s="3184"/>
      <c r="R22" s="1559"/>
      <c r="S22" s="1560"/>
      <c r="T22" s="1559"/>
      <c r="U22" s="1560"/>
      <c r="V22" s="1559"/>
      <c r="W22" s="1560"/>
      <c r="X22" s="3183"/>
      <c r="Y22" s="3455"/>
      <c r="Z22" s="3185"/>
      <c r="AA22" s="3186">
        <v>1</v>
      </c>
      <c r="AB22" s="3186">
        <v>1</v>
      </c>
      <c r="AC22" s="3186">
        <v>1</v>
      </c>
    </row>
    <row r="23" spans="1:29" ht="21">
      <c r="A23" s="532"/>
      <c r="B23" s="560" t="s">
        <v>543</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2</v>
      </c>
      <c r="L23" s="2127"/>
      <c r="M23" s="2117"/>
      <c r="N23" s="2117"/>
      <c r="O23" s="2126"/>
      <c r="P23" s="3455"/>
      <c r="Q23" s="3184" t="str">
        <f>B23</f>
        <v>交通便捷度</v>
      </c>
      <c r="R23" s="1559" t="s">
        <v>8</v>
      </c>
      <c r="S23" s="1560">
        <f>F23</f>
        <v>100</v>
      </c>
      <c r="T23" s="1559" t="s">
        <v>8</v>
      </c>
      <c r="U23" s="1560">
        <f>H23</f>
        <v>100</v>
      </c>
      <c r="V23" s="1559" t="s">
        <v>8</v>
      </c>
      <c r="W23" s="1560">
        <f>J23</f>
        <v>100</v>
      </c>
      <c r="X23" s="3183"/>
      <c r="Y23" s="3455"/>
      <c r="Z23" s="3185" t="str">
        <f>Q23</f>
        <v>交通便捷度</v>
      </c>
      <c r="AA23" s="3186">
        <f t="shared" si="3"/>
        <v>1</v>
      </c>
      <c r="AB23" s="3186">
        <f t="shared" si="4"/>
        <v>1</v>
      </c>
      <c r="AC23" s="3186">
        <f t="shared" si="5"/>
        <v>1</v>
      </c>
    </row>
    <row r="24" spans="1:29" ht="21">
      <c r="A24" s="532"/>
      <c r="B24" s="578"/>
      <c r="C24" s="554" t="s">
        <v>3423</v>
      </c>
      <c r="D24" s="557"/>
      <c r="E24" s="554" t="s">
        <v>3423</v>
      </c>
      <c r="F24" s="555"/>
      <c r="G24" s="554" t="s">
        <v>3423</v>
      </c>
      <c r="H24" s="555"/>
      <c r="I24" s="554" t="s">
        <v>3423</v>
      </c>
      <c r="J24" s="555"/>
      <c r="K24" s="531"/>
      <c r="L24" s="2127"/>
      <c r="M24" s="2117"/>
      <c r="N24" s="2117"/>
      <c r="O24" s="2126"/>
      <c r="P24" s="3455"/>
      <c r="Q24" s="3184"/>
      <c r="R24" s="1559"/>
      <c r="S24" s="1560"/>
      <c r="T24" s="1559"/>
      <c r="U24" s="1560"/>
      <c r="V24" s="1559"/>
      <c r="W24" s="1560"/>
      <c r="X24" s="3183"/>
      <c r="Y24" s="3455"/>
      <c r="Z24" s="3185"/>
      <c r="AA24" s="3186">
        <v>1</v>
      </c>
      <c r="AB24" s="3186">
        <v>1</v>
      </c>
      <c r="AC24" s="3186">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455"/>
      <c r="Q25" s="3184" t="str">
        <f t="shared" ref="Q25:Q39" si="8">B25</f>
        <v>区域土地利用方向</v>
      </c>
      <c r="R25" s="1559" t="s">
        <v>8</v>
      </c>
      <c r="S25" s="1560">
        <f>F25</f>
        <v>100</v>
      </c>
      <c r="T25" s="1559" t="s">
        <v>8</v>
      </c>
      <c r="U25" s="1560">
        <f>H25</f>
        <v>100</v>
      </c>
      <c r="V25" s="1559" t="s">
        <v>8</v>
      </c>
      <c r="W25" s="1560">
        <f>J25</f>
        <v>100</v>
      </c>
      <c r="X25" s="3183"/>
      <c r="Y25" s="3455"/>
      <c r="Z25" s="3185" t="str">
        <f>Q25</f>
        <v>区域土地利用方向</v>
      </c>
      <c r="AA25" s="3186">
        <f t="shared" si="3"/>
        <v>1</v>
      </c>
      <c r="AB25" s="3186">
        <f t="shared" si="4"/>
        <v>1</v>
      </c>
      <c r="AC25" s="3186">
        <f t="shared" si="5"/>
        <v>1</v>
      </c>
    </row>
    <row r="26" spans="1:29" ht="21">
      <c r="A26" s="515"/>
      <c r="B26" s="1006"/>
      <c r="C26" s="554"/>
      <c r="D26" s="557"/>
      <c r="E26" s="558"/>
      <c r="F26" s="555"/>
      <c r="G26" s="556"/>
      <c r="H26" s="555"/>
      <c r="I26" s="558"/>
      <c r="J26" s="555"/>
      <c r="K26" s="531"/>
      <c r="L26" s="2127"/>
      <c r="M26" s="2117"/>
      <c r="N26" s="2117"/>
      <c r="O26" s="2126"/>
      <c r="P26" s="3455"/>
      <c r="Q26" s="3184"/>
      <c r="R26" s="1559"/>
      <c r="S26" s="1560"/>
      <c r="T26" s="1559"/>
      <c r="U26" s="1560"/>
      <c r="V26" s="1559"/>
      <c r="W26" s="1560"/>
      <c r="X26" s="3183"/>
      <c r="Y26" s="3455"/>
      <c r="Z26" s="3185"/>
      <c r="AA26" s="3186"/>
      <c r="AB26" s="3186"/>
      <c r="AC26" s="3186"/>
    </row>
    <row r="27" spans="1:29" ht="28.8">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103</v>
      </c>
      <c r="K27" s="535">
        <v>3</v>
      </c>
      <c r="L27" s="2127"/>
      <c r="M27" s="2117"/>
      <c r="N27" s="2117"/>
      <c r="O27" s="2126"/>
      <c r="P27" s="3455"/>
      <c r="Q27" s="3184" t="str">
        <f t="shared" si="8"/>
        <v>自然及人文环境状况</v>
      </c>
      <c r="R27" s="1559" t="s">
        <v>8</v>
      </c>
      <c r="S27" s="1560">
        <f>F27</f>
        <v>100</v>
      </c>
      <c r="T27" s="1559" t="s">
        <v>8</v>
      </c>
      <c r="U27" s="1560">
        <f>H27</f>
        <v>100</v>
      </c>
      <c r="V27" s="1559" t="s">
        <v>8</v>
      </c>
      <c r="W27" s="1560">
        <f>J27</f>
        <v>103</v>
      </c>
      <c r="X27" s="3183"/>
      <c r="Y27" s="3455"/>
      <c r="Z27" s="3185" t="str">
        <f>Q27</f>
        <v>自然及人文环境状况</v>
      </c>
      <c r="AA27" s="3186">
        <f t="shared" si="3"/>
        <v>1</v>
      </c>
      <c r="AB27" s="3186">
        <f t="shared" si="4"/>
        <v>1</v>
      </c>
      <c r="AC27" s="3186">
        <f t="shared" si="5"/>
        <v>0.970873786407767</v>
      </c>
    </row>
    <row r="28" spans="1:29" ht="21">
      <c r="A28" s="515"/>
      <c r="B28" s="566"/>
      <c r="C28" s="554" t="s">
        <v>3423</v>
      </c>
      <c r="D28" s="557"/>
      <c r="E28" s="554" t="s">
        <v>3423</v>
      </c>
      <c r="F28" s="555"/>
      <c r="G28" s="554" t="s">
        <v>3423</v>
      </c>
      <c r="H28" s="555"/>
      <c r="I28" s="554" t="s">
        <v>3429</v>
      </c>
      <c r="J28" s="555"/>
      <c r="K28" s="531"/>
      <c r="L28" s="2127"/>
      <c r="M28" s="2117"/>
      <c r="N28" s="2117"/>
      <c r="O28" s="2126"/>
      <c r="P28" s="3455"/>
      <c r="Q28" s="3184"/>
      <c r="R28" s="1559"/>
      <c r="S28" s="1560"/>
      <c r="T28" s="1559"/>
      <c r="U28" s="1560"/>
      <c r="V28" s="1559"/>
      <c r="W28" s="1560"/>
      <c r="X28" s="3183"/>
      <c r="Y28" s="3455"/>
      <c r="Z28" s="3185"/>
      <c r="AA28" s="3186">
        <v>1</v>
      </c>
      <c r="AB28" s="3186">
        <v>1</v>
      </c>
      <c r="AC28" s="3186">
        <v>1</v>
      </c>
    </row>
    <row r="29" spans="1:29" s="1215" customFormat="1" ht="21">
      <c r="A29" s="577"/>
      <c r="B29" s="2555" t="s">
        <v>2546</v>
      </c>
      <c r="C29" s="573" t="str">
        <f>估价对象房地状况!C21</f>
        <v>一般</v>
      </c>
      <c r="D29" s="563">
        <v>100</v>
      </c>
      <c r="E29" s="564"/>
      <c r="F29" s="559">
        <f>SUMIF(102:102,E30,103:103)-SUMIF(102:102,C30,103:103)+100</f>
        <v>103</v>
      </c>
      <c r="G29" s="562"/>
      <c r="H29" s="559">
        <f>SUMIF(102:102,G30,103:103)-SUMIF(102:102,C30,103:103)+100</f>
        <v>103</v>
      </c>
      <c r="I29" s="564"/>
      <c r="J29" s="559">
        <f>SUMIF(102:102,I30,103:103)-SUMIF(102:102,C30,103:103)+100</f>
        <v>103</v>
      </c>
      <c r="K29" s="535">
        <v>3</v>
      </c>
      <c r="L29" s="2120"/>
      <c r="M29" s="2117"/>
      <c r="N29" s="2117"/>
      <c r="O29" s="2122"/>
      <c r="P29" s="3455"/>
      <c r="Q29" s="3181" t="str">
        <f t="shared" si="8"/>
        <v>公共配套设施</v>
      </c>
      <c r="R29" s="1554" t="s">
        <v>8</v>
      </c>
      <c r="S29" s="1555">
        <f>F29</f>
        <v>103</v>
      </c>
      <c r="T29" s="1554" t="s">
        <v>8</v>
      </c>
      <c r="U29" s="1555">
        <f>H29</f>
        <v>103</v>
      </c>
      <c r="V29" s="1554" t="s">
        <v>8</v>
      </c>
      <c r="W29" s="1555">
        <f>J29</f>
        <v>103</v>
      </c>
      <c r="X29" s="1556"/>
      <c r="Y29" s="3455"/>
      <c r="Z29" s="3180" t="str">
        <f>Q29</f>
        <v>公共配套设施</v>
      </c>
      <c r="AA29" s="3186">
        <f>D29/F29</f>
        <v>0.970873786407767</v>
      </c>
      <c r="AB29" s="3186">
        <f>D29/H29</f>
        <v>0.970873786407767</v>
      </c>
      <c r="AC29" s="3186">
        <f>D29/J29</f>
        <v>0.970873786407767</v>
      </c>
    </row>
    <row r="30" spans="1:29" s="1215" customFormat="1" ht="21">
      <c r="A30" s="577"/>
      <c r="B30" s="566"/>
      <c r="C30" s="579" t="s">
        <v>3423</v>
      </c>
      <c r="D30" s="557"/>
      <c r="E30" s="3215" t="s">
        <v>3429</v>
      </c>
      <c r="F30" s="555"/>
      <c r="G30" s="3215" t="s">
        <v>3429</v>
      </c>
      <c r="H30" s="555"/>
      <c r="I30" s="3215" t="s">
        <v>3429</v>
      </c>
      <c r="J30" s="555"/>
      <c r="K30" s="531"/>
      <c r="L30" s="2120"/>
      <c r="M30" s="2117"/>
      <c r="N30" s="2117"/>
      <c r="O30" s="2122"/>
      <c r="P30" s="3455"/>
      <c r="Q30" s="3181"/>
      <c r="R30" s="1554"/>
      <c r="S30" s="1555"/>
      <c r="T30" s="1554"/>
      <c r="U30" s="1555"/>
      <c r="V30" s="1554"/>
      <c r="W30" s="1555"/>
      <c r="X30" s="1556"/>
      <c r="Y30" s="3455"/>
      <c r="Z30" s="3180"/>
      <c r="AA30" s="3186">
        <v>1</v>
      </c>
      <c r="AB30" s="3186">
        <v>1</v>
      </c>
      <c r="AC30" s="3186">
        <v>1</v>
      </c>
    </row>
    <row r="31" spans="1:29" s="1215" customFormat="1" ht="21">
      <c r="A31" s="577"/>
      <c r="B31" s="2555" t="s">
        <v>2547</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0"/>
      <c r="M31" s="2117"/>
      <c r="N31" s="2117"/>
      <c r="O31" s="2122"/>
      <c r="P31" s="3455"/>
      <c r="Q31" s="3181" t="str">
        <f t="shared" ref="Q31" si="9">B31</f>
        <v>基础设施水平</v>
      </c>
      <c r="R31" s="1554" t="s">
        <v>8</v>
      </c>
      <c r="S31" s="1555">
        <f>F31</f>
        <v>100</v>
      </c>
      <c r="T31" s="1554" t="s">
        <v>8</v>
      </c>
      <c r="U31" s="1555">
        <f>H31</f>
        <v>100</v>
      </c>
      <c r="V31" s="1554" t="s">
        <v>8</v>
      </c>
      <c r="W31" s="1555">
        <f>J31</f>
        <v>100</v>
      </c>
      <c r="X31" s="1556"/>
      <c r="Y31" s="3455"/>
      <c r="Z31" s="3180" t="str">
        <f>Q31</f>
        <v>基础设施水平</v>
      </c>
      <c r="AA31" s="3186">
        <f>D31/F31</f>
        <v>1</v>
      </c>
      <c r="AB31" s="3186">
        <f>D31/H31</f>
        <v>1</v>
      </c>
      <c r="AC31" s="3186">
        <f>D31/J31</f>
        <v>1</v>
      </c>
    </row>
    <row r="32" spans="1:29" s="1215" customFormat="1" ht="21">
      <c r="A32" s="577"/>
      <c r="B32" s="566"/>
      <c r="C32" s="579" t="s">
        <v>3426</v>
      </c>
      <c r="D32" s="557"/>
      <c r="E32" s="579" t="s">
        <v>3426</v>
      </c>
      <c r="F32" s="555"/>
      <c r="G32" s="579" t="s">
        <v>3426</v>
      </c>
      <c r="H32" s="555"/>
      <c r="I32" s="579" t="s">
        <v>3426</v>
      </c>
      <c r="J32" s="555"/>
      <c r="K32" s="531"/>
      <c r="L32" s="2120"/>
      <c r="M32" s="2117"/>
      <c r="N32" s="2117"/>
      <c r="O32" s="2122"/>
      <c r="P32" s="3455"/>
      <c r="Q32" s="3181"/>
      <c r="R32" s="1554"/>
      <c r="S32" s="1555"/>
      <c r="T32" s="1554"/>
      <c r="U32" s="1555"/>
      <c r="V32" s="1554"/>
      <c r="W32" s="1555"/>
      <c r="X32" s="1556"/>
      <c r="Y32" s="3455"/>
      <c r="Z32" s="3180"/>
      <c r="AA32" s="3186">
        <v>1</v>
      </c>
      <c r="AB32" s="3186">
        <v>1</v>
      </c>
      <c r="AC32" s="3186">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55"/>
      <c r="Q33" s="3184" t="str">
        <f t="shared" si="8"/>
        <v>临街状况</v>
      </c>
      <c r="R33" s="1559" t="s">
        <v>8</v>
      </c>
      <c r="S33" s="1560">
        <f t="shared" ref="S33:S47" si="10">F33</f>
        <v>100</v>
      </c>
      <c r="T33" s="1559" t="s">
        <v>8</v>
      </c>
      <c r="U33" s="1560">
        <f t="shared" ref="U33:U47" si="11">H33</f>
        <v>100</v>
      </c>
      <c r="V33" s="1559" t="s">
        <v>8</v>
      </c>
      <c r="W33" s="1560">
        <f t="shared" ref="W33:W47" si="12">J33</f>
        <v>100</v>
      </c>
      <c r="X33" s="3183"/>
      <c r="Y33" s="3455"/>
      <c r="Z33" s="3185" t="str">
        <f t="shared" ref="Z33:Z47" si="13">Q33</f>
        <v>临街状况</v>
      </c>
      <c r="AA33" s="3186">
        <f t="shared" si="3"/>
        <v>1</v>
      </c>
      <c r="AB33" s="3186">
        <f t="shared" si="4"/>
        <v>1</v>
      </c>
      <c r="AC33" s="3186">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55"/>
      <c r="Q34" s="3184" t="str">
        <f t="shared" si="8"/>
        <v>毗邻道路的类型与等级</v>
      </c>
      <c r="R34" s="1559" t="s">
        <v>8</v>
      </c>
      <c r="S34" s="1560">
        <f t="shared" si="10"/>
        <v>100</v>
      </c>
      <c r="T34" s="1559" t="s">
        <v>8</v>
      </c>
      <c r="U34" s="1560">
        <f t="shared" si="11"/>
        <v>100</v>
      </c>
      <c r="V34" s="1559" t="s">
        <v>8</v>
      </c>
      <c r="W34" s="1560">
        <f t="shared" si="12"/>
        <v>100</v>
      </c>
      <c r="X34" s="3183"/>
      <c r="Y34" s="3455"/>
      <c r="Z34" s="3185" t="str">
        <f t="shared" si="13"/>
        <v>毗邻道路的类型与等级</v>
      </c>
      <c r="AA34" s="3186">
        <f t="shared" si="3"/>
        <v>1</v>
      </c>
      <c r="AB34" s="3186">
        <f t="shared" si="4"/>
        <v>1</v>
      </c>
      <c r="AC34" s="3186">
        <f t="shared" si="5"/>
        <v>1</v>
      </c>
    </row>
    <row r="35" spans="1:29" ht="21">
      <c r="A35" s="532"/>
      <c r="B35" s="566"/>
      <c r="C35" s="554"/>
      <c r="D35" s="557"/>
      <c r="E35" s="576"/>
      <c r="F35" s="555"/>
      <c r="G35" s="554"/>
      <c r="H35" s="555"/>
      <c r="I35" s="576"/>
      <c r="J35" s="555"/>
      <c r="K35" s="581"/>
      <c r="L35" s="2127"/>
      <c r="M35" s="2117"/>
      <c r="N35" s="2117"/>
      <c r="O35" s="2126"/>
      <c r="P35" s="3455"/>
      <c r="Q35" s="3184"/>
      <c r="R35" s="1559"/>
      <c r="S35" s="1560"/>
      <c r="T35" s="1559"/>
      <c r="U35" s="1560"/>
      <c r="V35" s="1559"/>
      <c r="W35" s="1560"/>
      <c r="X35" s="3183"/>
      <c r="Y35" s="3455"/>
      <c r="Z35" s="3185"/>
      <c r="AA35" s="3186">
        <v>1</v>
      </c>
      <c r="AB35" s="3186">
        <v>1</v>
      </c>
      <c r="AC35" s="3186">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55"/>
      <c r="Q36" s="3184" t="str">
        <f t="shared" si="8"/>
        <v>土地级别</v>
      </c>
      <c r="R36" s="1559" t="s">
        <v>8</v>
      </c>
      <c r="S36" s="1560">
        <f t="shared" si="10"/>
        <v>100</v>
      </c>
      <c r="T36" s="1559" t="s">
        <v>8</v>
      </c>
      <c r="U36" s="1560">
        <f t="shared" si="11"/>
        <v>100</v>
      </c>
      <c r="V36" s="1559" t="s">
        <v>8</v>
      </c>
      <c r="W36" s="1560">
        <f t="shared" si="12"/>
        <v>100</v>
      </c>
      <c r="X36" s="3183"/>
      <c r="Y36" s="3455"/>
      <c r="Z36" s="3185" t="str">
        <f t="shared" si="13"/>
        <v>土地级别</v>
      </c>
      <c r="AA36" s="3186">
        <f t="shared" si="3"/>
        <v>1</v>
      </c>
      <c r="AB36" s="3186">
        <f t="shared" si="4"/>
        <v>1</v>
      </c>
      <c r="AC36" s="3186">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55"/>
      <c r="Q37" s="3184">
        <f t="shared" si="8"/>
        <v>111</v>
      </c>
      <c r="R37" s="1559" t="s">
        <v>8</v>
      </c>
      <c r="S37" s="1560">
        <f t="shared" si="10"/>
        <v>100</v>
      </c>
      <c r="T37" s="1559" t="s">
        <v>8</v>
      </c>
      <c r="U37" s="1560">
        <f t="shared" si="11"/>
        <v>100</v>
      </c>
      <c r="V37" s="1559" t="s">
        <v>8</v>
      </c>
      <c r="W37" s="1560">
        <f t="shared" si="12"/>
        <v>100</v>
      </c>
      <c r="X37" s="3183"/>
      <c r="Y37" s="3455"/>
      <c r="Z37" s="3185">
        <f t="shared" si="13"/>
        <v>111</v>
      </c>
      <c r="AA37" s="3186">
        <f t="shared" si="3"/>
        <v>1</v>
      </c>
      <c r="AB37" s="3186">
        <f t="shared" si="4"/>
        <v>1</v>
      </c>
      <c r="AC37" s="3186">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59" t="s">
        <v>550</v>
      </c>
      <c r="Q38" s="3184">
        <f t="shared" si="8"/>
        <v>111</v>
      </c>
      <c r="R38" s="1559" t="s">
        <v>8</v>
      </c>
      <c r="S38" s="1560">
        <f t="shared" si="10"/>
        <v>100</v>
      </c>
      <c r="T38" s="1559" t="s">
        <v>8</v>
      </c>
      <c r="U38" s="1560">
        <f t="shared" si="11"/>
        <v>100</v>
      </c>
      <c r="V38" s="1559" t="s">
        <v>8</v>
      </c>
      <c r="W38" s="1560">
        <f t="shared" si="12"/>
        <v>100</v>
      </c>
      <c r="X38" s="3183"/>
      <c r="Y38" s="3460" t="s">
        <v>550</v>
      </c>
      <c r="Z38" s="3185">
        <f t="shared" si="13"/>
        <v>111</v>
      </c>
      <c r="AA38" s="3186">
        <f t="shared" si="3"/>
        <v>1</v>
      </c>
      <c r="AB38" s="3186">
        <f t="shared" si="4"/>
        <v>1</v>
      </c>
      <c r="AC38" s="3186">
        <f t="shared" si="5"/>
        <v>1</v>
      </c>
    </row>
    <row r="39" spans="1:29" s="1334"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60"/>
      <c r="Q39" s="3184">
        <f t="shared" si="8"/>
        <v>111</v>
      </c>
      <c r="R39" s="1563" t="s">
        <v>8</v>
      </c>
      <c r="S39" s="1564">
        <f t="shared" si="10"/>
        <v>100</v>
      </c>
      <c r="T39" s="1563" t="s">
        <v>8</v>
      </c>
      <c r="U39" s="1564">
        <f t="shared" si="11"/>
        <v>100</v>
      </c>
      <c r="V39" s="1563" t="s">
        <v>8</v>
      </c>
      <c r="W39" s="1564">
        <f t="shared" si="12"/>
        <v>100</v>
      </c>
      <c r="X39" s="1565"/>
      <c r="Y39" s="3460"/>
      <c r="Z39" s="1566">
        <f t="shared" si="13"/>
        <v>111</v>
      </c>
      <c r="AA39" s="3186">
        <f t="shared" si="3"/>
        <v>1</v>
      </c>
      <c r="AB39" s="3186">
        <f t="shared" si="4"/>
        <v>1</v>
      </c>
      <c r="AC39" s="3186">
        <f t="shared" si="5"/>
        <v>1</v>
      </c>
    </row>
    <row r="40" spans="1:29" ht="21">
      <c r="A40" s="2862" t="s">
        <v>2752</v>
      </c>
      <c r="B40" s="595" t="s">
        <v>552</v>
      </c>
      <c r="C40" s="596">
        <f>'数据-基础表'!A3</f>
        <v>223160.97</v>
      </c>
      <c r="D40" s="597">
        <v>100</v>
      </c>
      <c r="E40" s="596">
        <f>Sheet0!D2</f>
        <v>39134.400000000001</v>
      </c>
      <c r="F40" s="597">
        <f>LOOKUP(E40,119:119,120:120)-LOOKUP(C40,119:119,120:120)+100</f>
        <v>92</v>
      </c>
      <c r="G40" s="3212">
        <f>Sheet0!D3+Sheet0!D5+Sheet0!D6+Sheet0!D8+Sheet0!D9</f>
        <v>404744.39999999997</v>
      </c>
      <c r="H40" s="597">
        <f>LOOKUP(G40,119:119,120:120)-LOOKUP(C40,119:119,120:120)+100</f>
        <v>100</v>
      </c>
      <c r="I40" s="3214">
        <f>Sheet0!D17+Sheet0!D18</f>
        <v>186317.9</v>
      </c>
      <c r="J40" s="597">
        <f>LOOKUP(I40,119:119,120:120)-LOOKUP(C40,119:119,120:120)+100</f>
        <v>98</v>
      </c>
      <c r="K40" s="581"/>
      <c r="L40" s="2127"/>
      <c r="M40" s="2117"/>
      <c r="N40" s="2117"/>
      <c r="O40" s="2126"/>
      <c r="P40" s="3460"/>
      <c r="Q40" s="3184" t="str">
        <f>B40</f>
        <v>宗地面积</v>
      </c>
      <c r="R40" s="1559" t="s">
        <v>8</v>
      </c>
      <c r="S40" s="1560">
        <f t="shared" si="10"/>
        <v>92</v>
      </c>
      <c r="T40" s="1559" t="s">
        <v>8</v>
      </c>
      <c r="U40" s="1560">
        <f t="shared" si="11"/>
        <v>100</v>
      </c>
      <c r="V40" s="1559" t="s">
        <v>8</v>
      </c>
      <c r="W40" s="1560">
        <f t="shared" si="12"/>
        <v>98</v>
      </c>
      <c r="X40" s="3183"/>
      <c r="Y40" s="3460"/>
      <c r="Z40" s="3185" t="str">
        <f t="shared" si="13"/>
        <v>宗地面积</v>
      </c>
      <c r="AA40" s="3186">
        <f t="shared" si="3"/>
        <v>1.0869565217391304</v>
      </c>
      <c r="AB40" s="3186">
        <f t="shared" si="4"/>
        <v>1</v>
      </c>
      <c r="AC40" s="3186">
        <f t="shared" si="5"/>
        <v>1.0204081632653061</v>
      </c>
    </row>
    <row r="41" spans="1:29" ht="21">
      <c r="A41" s="594"/>
      <c r="B41" s="527" t="s">
        <v>553</v>
      </c>
      <c r="C41" s="599" t="s">
        <v>3441</v>
      </c>
      <c r="D41" s="540">
        <v>100</v>
      </c>
      <c r="E41" s="599" t="s">
        <v>3441</v>
      </c>
      <c r="F41" s="540">
        <f>SUMIF(121:121,E41,122:122)-SUMIF(121:121,C41,122:122)+100</f>
        <v>100</v>
      </c>
      <c r="G41" s="599" t="s">
        <v>3441</v>
      </c>
      <c r="H41" s="540">
        <f>SUMIF(121:121,G41,122:122)-SUMIF(121:121,C41,122:122)+100</f>
        <v>100</v>
      </c>
      <c r="I41" s="599" t="s">
        <v>3441</v>
      </c>
      <c r="J41" s="540">
        <f>SUMIF(121:121,I41,122:122)-SUMIF(121:121,C41,122:122)+100</f>
        <v>100</v>
      </c>
      <c r="K41" s="584">
        <v>2</v>
      </c>
      <c r="L41" s="2127"/>
      <c r="M41" s="2117"/>
      <c r="N41" s="2117"/>
      <c r="O41" s="2126"/>
      <c r="P41" s="3460"/>
      <c r="Q41" s="3184" t="str">
        <f t="shared" ref="Q41:Q47" si="14">B41</f>
        <v>宗地形状</v>
      </c>
      <c r="R41" s="1559" t="s">
        <v>8</v>
      </c>
      <c r="S41" s="1560">
        <f t="shared" si="10"/>
        <v>100</v>
      </c>
      <c r="T41" s="1559" t="s">
        <v>8</v>
      </c>
      <c r="U41" s="1560">
        <f t="shared" si="11"/>
        <v>100</v>
      </c>
      <c r="V41" s="1559" t="s">
        <v>8</v>
      </c>
      <c r="W41" s="1560">
        <f t="shared" si="12"/>
        <v>100</v>
      </c>
      <c r="X41" s="3183"/>
      <c r="Y41" s="3460"/>
      <c r="Z41" s="3185" t="str">
        <f t="shared" si="13"/>
        <v>宗地形状</v>
      </c>
      <c r="AA41" s="3186">
        <f t="shared" si="3"/>
        <v>1</v>
      </c>
      <c r="AB41" s="3186">
        <f t="shared" si="4"/>
        <v>1</v>
      </c>
      <c r="AC41" s="3186">
        <f t="shared" si="5"/>
        <v>1</v>
      </c>
    </row>
    <row r="42" spans="1:29" ht="21">
      <c r="A42" s="594"/>
      <c r="B42" s="527" t="s">
        <v>554</v>
      </c>
      <c r="C42" s="599" t="s">
        <v>3443</v>
      </c>
      <c r="D42" s="540">
        <v>100</v>
      </c>
      <c r="E42" s="599" t="s">
        <v>3443</v>
      </c>
      <c r="F42" s="540">
        <f>SUMIF(123:123,E42,124:124)-SUMIF(123:123,C42,124:124)+100</f>
        <v>100</v>
      </c>
      <c r="G42" s="599" t="s">
        <v>3443</v>
      </c>
      <c r="H42" s="540">
        <f>SUMIF(123:123,G42,124:124)-SUMIF(123:123,C42,124:124)+100</f>
        <v>100</v>
      </c>
      <c r="I42" s="599" t="s">
        <v>3443</v>
      </c>
      <c r="J42" s="540">
        <f>SUMIF(123:123,I42,124:124)-SUMIF(123:123,C42,124:124)+100</f>
        <v>100</v>
      </c>
      <c r="K42" s="584">
        <v>2</v>
      </c>
      <c r="L42" s="2127"/>
      <c r="M42" s="2117"/>
      <c r="N42" s="2117"/>
      <c r="O42" s="2126"/>
      <c r="P42" s="3460"/>
      <c r="Q42" s="3184" t="str">
        <f t="shared" si="14"/>
        <v>临街宽度及深度</v>
      </c>
      <c r="R42" s="1559" t="s">
        <v>8</v>
      </c>
      <c r="S42" s="1560">
        <f t="shared" si="10"/>
        <v>100</v>
      </c>
      <c r="T42" s="1559" t="s">
        <v>8</v>
      </c>
      <c r="U42" s="1560">
        <f t="shared" si="11"/>
        <v>100</v>
      </c>
      <c r="V42" s="1559" t="s">
        <v>8</v>
      </c>
      <c r="W42" s="1560">
        <f t="shared" si="12"/>
        <v>100</v>
      </c>
      <c r="X42" s="3183"/>
      <c r="Y42" s="3460"/>
      <c r="Z42" s="3185" t="str">
        <f t="shared" si="13"/>
        <v>临街宽度及深度</v>
      </c>
      <c r="AA42" s="3186">
        <f t="shared" si="3"/>
        <v>1</v>
      </c>
      <c r="AB42" s="3186">
        <f t="shared" si="4"/>
        <v>1</v>
      </c>
      <c r="AC42" s="3186">
        <f t="shared" si="5"/>
        <v>1</v>
      </c>
    </row>
    <row r="43" spans="1:29" s="1215" customFormat="1" ht="21">
      <c r="A43" s="600"/>
      <c r="B43" s="1880" t="s">
        <v>2422</v>
      </c>
      <c r="C43" s="601" t="s">
        <v>3445</v>
      </c>
      <c r="D43" s="255">
        <v>100</v>
      </c>
      <c r="E43" s="601" t="s">
        <v>3445</v>
      </c>
      <c r="F43" s="540">
        <f>SUMIF(125:125,E43,126:126)-SUMIF(125:125,C43,126:126)+100</f>
        <v>100</v>
      </c>
      <c r="G43" s="601" t="s">
        <v>3445</v>
      </c>
      <c r="H43" s="540">
        <f>SUMIF(125:125,G43,126:126)-SUMIF(125:125,C43,126:126)+100</f>
        <v>100</v>
      </c>
      <c r="I43" s="601" t="s">
        <v>3445</v>
      </c>
      <c r="J43" s="540">
        <f>SUMIF(125:125,I43,126:126)-SUMIF(125:125,C43,126:126)+100</f>
        <v>100</v>
      </c>
      <c r="K43" s="584">
        <v>2</v>
      </c>
      <c r="L43" s="2120"/>
      <c r="M43" s="2117"/>
      <c r="N43" s="2117"/>
      <c r="O43" s="2122"/>
      <c r="P43" s="3460"/>
      <c r="Q43" s="3184" t="str">
        <f t="shared" si="14"/>
        <v>宗地开发程度</v>
      </c>
      <c r="R43" s="1554" t="s">
        <v>8</v>
      </c>
      <c r="S43" s="1555">
        <f t="shared" si="10"/>
        <v>100</v>
      </c>
      <c r="T43" s="1554" t="s">
        <v>8</v>
      </c>
      <c r="U43" s="1555">
        <f t="shared" si="11"/>
        <v>100</v>
      </c>
      <c r="V43" s="1554" t="s">
        <v>8</v>
      </c>
      <c r="W43" s="1555">
        <f t="shared" si="12"/>
        <v>100</v>
      </c>
      <c r="X43" s="1556"/>
      <c r="Y43" s="3460"/>
      <c r="Z43" s="3180" t="str">
        <f t="shared" si="13"/>
        <v>宗地开发程度</v>
      </c>
      <c r="AA43" s="1557">
        <f t="shared" si="3"/>
        <v>1</v>
      </c>
      <c r="AB43" s="1557">
        <f t="shared" si="4"/>
        <v>1</v>
      </c>
      <c r="AC43" s="1557">
        <f t="shared" si="5"/>
        <v>1</v>
      </c>
    </row>
    <row r="44" spans="1:29" ht="21">
      <c r="A44" s="594"/>
      <c r="B44" s="527" t="s">
        <v>555</v>
      </c>
      <c r="C44" s="599" t="s">
        <v>3429</v>
      </c>
      <c r="D44" s="540">
        <v>100</v>
      </c>
      <c r="E44" s="599" t="s">
        <v>3429</v>
      </c>
      <c r="F44" s="540">
        <f>SUMIF(127:127,E44,128:128)-SUMIF(127:127,C44,128:128)+100</f>
        <v>100</v>
      </c>
      <c r="G44" s="599" t="s">
        <v>3429</v>
      </c>
      <c r="H44" s="540">
        <f>SUMIF(127:127,G44,128:128)-SUMIF(127:127,C44,128:128)+100</f>
        <v>100</v>
      </c>
      <c r="I44" s="599" t="s">
        <v>3429</v>
      </c>
      <c r="J44" s="540">
        <f>SUMIF(127:127,I44,128:128)-SUMIF(127:127,C44,128:128)+100</f>
        <v>100</v>
      </c>
      <c r="K44" s="584">
        <v>2</v>
      </c>
      <c r="L44" s="2127"/>
      <c r="M44" s="2117"/>
      <c r="N44" s="2117"/>
      <c r="O44" s="2126"/>
      <c r="P44" s="3460" t="s">
        <v>550</v>
      </c>
      <c r="Q44" s="3184" t="str">
        <f t="shared" si="14"/>
        <v>工程地质条件</v>
      </c>
      <c r="R44" s="1559" t="s">
        <v>8</v>
      </c>
      <c r="S44" s="1560">
        <f t="shared" si="10"/>
        <v>100</v>
      </c>
      <c r="T44" s="1559" t="s">
        <v>8</v>
      </c>
      <c r="U44" s="1560">
        <f t="shared" si="11"/>
        <v>100</v>
      </c>
      <c r="V44" s="1559" t="s">
        <v>8</v>
      </c>
      <c r="W44" s="1560">
        <f t="shared" si="12"/>
        <v>100</v>
      </c>
      <c r="X44" s="3183"/>
      <c r="Y44" s="3460" t="s">
        <v>550</v>
      </c>
      <c r="Z44" s="3185" t="str">
        <f t="shared" si="13"/>
        <v>工程地质条件</v>
      </c>
      <c r="AA44" s="3186">
        <f t="shared" si="3"/>
        <v>1</v>
      </c>
      <c r="AB44" s="3186">
        <f t="shared" si="4"/>
        <v>1</v>
      </c>
      <c r="AC44" s="3186">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60"/>
      <c r="Q45" s="3184">
        <f t="shared" si="14"/>
        <v>111</v>
      </c>
      <c r="R45" s="1559" t="s">
        <v>8</v>
      </c>
      <c r="S45" s="1560">
        <f t="shared" si="10"/>
        <v>100</v>
      </c>
      <c r="T45" s="1559" t="s">
        <v>8</v>
      </c>
      <c r="U45" s="1560">
        <f t="shared" si="11"/>
        <v>100</v>
      </c>
      <c r="V45" s="1559" t="s">
        <v>8</v>
      </c>
      <c r="W45" s="1560">
        <f t="shared" si="12"/>
        <v>100</v>
      </c>
      <c r="X45" s="3183"/>
      <c r="Y45" s="3460"/>
      <c r="Z45" s="3185">
        <f t="shared" si="13"/>
        <v>111</v>
      </c>
      <c r="AA45" s="3186">
        <f t="shared" si="3"/>
        <v>1</v>
      </c>
      <c r="AB45" s="3186">
        <f t="shared" si="4"/>
        <v>1</v>
      </c>
      <c r="AC45" s="3186">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60"/>
      <c r="Q46" s="3184">
        <f t="shared" si="14"/>
        <v>111</v>
      </c>
      <c r="R46" s="1559" t="s">
        <v>8</v>
      </c>
      <c r="S46" s="1560">
        <f t="shared" si="10"/>
        <v>100</v>
      </c>
      <c r="T46" s="1559" t="s">
        <v>8</v>
      </c>
      <c r="U46" s="1560">
        <f t="shared" si="11"/>
        <v>100</v>
      </c>
      <c r="V46" s="1559" t="s">
        <v>8</v>
      </c>
      <c r="W46" s="1560">
        <f t="shared" si="12"/>
        <v>100</v>
      </c>
      <c r="X46" s="3183"/>
      <c r="Y46" s="3460"/>
      <c r="Z46" s="3185">
        <f t="shared" si="13"/>
        <v>111</v>
      </c>
      <c r="AA46" s="3186">
        <f t="shared" si="3"/>
        <v>1</v>
      </c>
      <c r="AB46" s="3186">
        <f t="shared" si="4"/>
        <v>1</v>
      </c>
      <c r="AC46" s="3186">
        <f t="shared" si="5"/>
        <v>1</v>
      </c>
    </row>
    <row r="47" spans="1:29" s="1334"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60"/>
      <c r="Q47" s="3184">
        <f t="shared" si="14"/>
        <v>111</v>
      </c>
      <c r="R47" s="1563" t="s">
        <v>8</v>
      </c>
      <c r="S47" s="1564">
        <f t="shared" si="10"/>
        <v>100</v>
      </c>
      <c r="T47" s="1563" t="s">
        <v>8</v>
      </c>
      <c r="U47" s="1564">
        <f t="shared" si="11"/>
        <v>100</v>
      </c>
      <c r="V47" s="1563" t="s">
        <v>8</v>
      </c>
      <c r="W47" s="1564">
        <f t="shared" si="12"/>
        <v>100</v>
      </c>
      <c r="X47" s="1565"/>
      <c r="Y47" s="3460"/>
      <c r="Z47" s="1566">
        <f t="shared" si="13"/>
        <v>111</v>
      </c>
      <c r="AA47" s="3186">
        <f t="shared" si="3"/>
        <v>1</v>
      </c>
      <c r="AB47" s="3186">
        <f t="shared" si="4"/>
        <v>1</v>
      </c>
      <c r="AC47" s="3186">
        <f t="shared" si="5"/>
        <v>1</v>
      </c>
    </row>
    <row r="48" spans="1:29" ht="21">
      <c r="A48" s="607" t="s">
        <v>556</v>
      </c>
      <c r="B48" s="608" t="s">
        <v>3432</v>
      </c>
      <c r="C48" s="609" t="s">
        <v>1</v>
      </c>
      <c r="D48" s="610"/>
      <c r="E48" s="611">
        <f>Sheet0!K2</f>
        <v>2486</v>
      </c>
      <c r="F48" s="612"/>
      <c r="G48" s="3213">
        <f>Sheet0!O3</f>
        <v>2495</v>
      </c>
      <c r="H48" s="614"/>
      <c r="I48" s="3211">
        <f>Sheet0!O17</f>
        <v>2810</v>
      </c>
      <c r="J48" s="614"/>
      <c r="K48" s="1335"/>
      <c r="L48" s="2129"/>
      <c r="M48" s="2117"/>
      <c r="N48" s="2117"/>
      <c r="O48" s="2130"/>
      <c r="P48" s="3452" t="str">
        <f>A48</f>
        <v>成交单价</v>
      </c>
      <c r="Q48" s="3452"/>
      <c r="R48" s="3461">
        <f>E48</f>
        <v>2486</v>
      </c>
      <c r="S48" s="3461"/>
      <c r="T48" s="3461">
        <f>G48</f>
        <v>2495</v>
      </c>
      <c r="U48" s="3461"/>
      <c r="V48" s="3461">
        <f>I48</f>
        <v>2810</v>
      </c>
      <c r="W48" s="3461"/>
      <c r="X48" s="1545"/>
      <c r="Y48" s="1567"/>
      <c r="Z48" s="1545"/>
      <c r="AA48" s="1545"/>
      <c r="AB48" s="1545"/>
      <c r="AC48" s="1545"/>
    </row>
    <row r="49" spans="1:29" ht="21.6" thickBot="1">
      <c r="A49" s="615" t="s">
        <v>2690</v>
      </c>
      <c r="B49" s="616"/>
      <c r="C49" s="617">
        <f>R50</f>
        <v>2583</v>
      </c>
      <c r="D49" s="618"/>
      <c r="E49" s="617">
        <f>R49</f>
        <v>2623</v>
      </c>
      <c r="F49" s="619"/>
      <c r="G49" s="620">
        <f>T49</f>
        <v>2422</v>
      </c>
      <c r="H49" s="618"/>
      <c r="I49" s="617">
        <f>V49</f>
        <v>2703</v>
      </c>
      <c r="J49" s="618"/>
      <c r="K49" s="1336"/>
      <c r="L49" s="2129"/>
      <c r="M49" s="2117"/>
      <c r="N49" s="2117"/>
      <c r="O49" s="2130"/>
      <c r="P49" s="3452" t="str">
        <f>A49</f>
        <v>比较价格（元/平方米）</v>
      </c>
      <c r="Q49" s="3452"/>
      <c r="R49" s="3453">
        <f>ROUND(PRODUCT(R48,AA9:AA47),0)</f>
        <v>2623</v>
      </c>
      <c r="S49" s="3453"/>
      <c r="T49" s="3453">
        <f>ROUND(PRODUCT(T48,AB9:AB47),0)</f>
        <v>2422</v>
      </c>
      <c r="U49" s="3453"/>
      <c r="V49" s="3453">
        <f>ROUND(PRODUCT(V48,AC9:AC47),0)</f>
        <v>2703</v>
      </c>
      <c r="W49" s="3453"/>
      <c r="X49" s="1545"/>
      <c r="Y49" s="1545"/>
      <c r="Z49" s="1545"/>
      <c r="AA49" s="1545"/>
      <c r="AB49" s="1545"/>
      <c r="AC49" s="1545"/>
    </row>
    <row r="50" spans="1:29" ht="21.6" thickBot="1">
      <c r="A50" s="621" t="s">
        <v>2929</v>
      </c>
      <c r="B50" s="622"/>
      <c r="C50" s="623">
        <f>R50</f>
        <v>2583</v>
      </c>
      <c r="D50" s="623"/>
      <c r="E50" s="623"/>
      <c r="F50" s="623"/>
      <c r="G50" s="623"/>
      <c r="H50" s="623"/>
      <c r="I50" s="623"/>
      <c r="J50" s="623"/>
      <c r="K50" s="1337"/>
      <c r="L50" s="2129"/>
      <c r="M50" s="2117"/>
      <c r="N50" s="2117"/>
      <c r="O50" s="2130"/>
      <c r="P50" s="3456" t="str">
        <f>A50</f>
        <v>估价对象XX用房的比较价格（楼面单价，元/平方米）</v>
      </c>
      <c r="Q50" s="3457"/>
      <c r="R50" s="3458">
        <f>ROUND(AVERAGE(R49:V49),0)</f>
        <v>2583</v>
      </c>
      <c r="S50" s="3458"/>
      <c r="T50" s="3458"/>
      <c r="U50" s="3458"/>
      <c r="V50" s="3458"/>
      <c r="W50" s="3458"/>
      <c r="X50" s="1545"/>
      <c r="Y50" s="1545"/>
      <c r="Z50" s="1545"/>
      <c r="AA50" s="1545"/>
      <c r="AB50" s="1545"/>
      <c r="AC50" s="1545"/>
    </row>
    <row r="51" spans="1:29" ht="21">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5.5108608205953313E-2</v>
      </c>
      <c r="F53" s="627" t="str">
        <f>IF(OR(E53&gt;=0.3,E53&lt;=-0.3),"超过30%","")</f>
        <v/>
      </c>
      <c r="G53" s="626">
        <f>IF(G48&lt;G49,G49/G48-1,G48/G49-1)</f>
        <v>3.014037985136242E-2</v>
      </c>
      <c r="H53" s="627" t="str">
        <f>IF(OR(G53&gt;=0.3,G53&lt;=-0.3),"超过30%","")</f>
        <v/>
      </c>
      <c r="I53" s="626">
        <f>IF(I48&lt;I49,I49/I48-1,I48/I49-1)</f>
        <v>3.958564557898625E-2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8.2989265070189999E-2</v>
      </c>
      <c r="F54" s="627" t="str">
        <f>IF(OR(E54&gt;=0.2,E54&lt;=-0.2),"超过20%","")</f>
        <v/>
      </c>
      <c r="G54" s="626">
        <f>IF(G49&lt;I49,I49/G49-1,G49/I49-1)</f>
        <v>0.11601981833195696</v>
      </c>
      <c r="H54" s="627" t="str">
        <f>IF(OR(G54&gt;=0.2,G54&lt;=-0.2),"超过20%","")</f>
        <v/>
      </c>
      <c r="I54" s="626">
        <f>IF(I49&lt;E49,E49/I49-1,I49/E49-1)</f>
        <v>3.0499428135722484E-2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3.6202735317778512E-3</v>
      </c>
      <c r="F55" s="627" t="str">
        <f>IF(OR(E55&gt;=0.3,E55&lt;=-0.3),"超过30%","")</f>
        <v/>
      </c>
      <c r="G55" s="626">
        <f>IF(G48&lt;I48,I48/G48-1,G48/I48-1)</f>
        <v>0.12625250501002006</v>
      </c>
      <c r="H55" s="627" t="str">
        <f>IF(OR(G55&gt;=0.3,G55&lt;=-0.3),"超过30%","")</f>
        <v/>
      </c>
      <c r="I55" s="626">
        <f>IF(I48&lt;E48,E48/I48-1,I48/E48-1)</f>
        <v>0.13032984714400642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6"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2291</v>
      </c>
      <c r="E57" s="631" t="s">
        <v>562</v>
      </c>
      <c r="F57" s="632" t="s">
        <v>563</v>
      </c>
      <c r="G57" s="3447" t="s">
        <v>2279</v>
      </c>
      <c r="H57" s="3448"/>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3.2">
      <c r="A58" s="633" t="s">
        <v>564</v>
      </c>
      <c r="B58" s="634">
        <f>C50</f>
        <v>2583</v>
      </c>
      <c r="C58" s="635">
        <v>1</v>
      </c>
      <c r="D58" s="2213">
        <v>1</v>
      </c>
      <c r="E58" s="635">
        <f>'数据-汇总表'!E8+'数据-汇总表'!E9</f>
        <v>768036</v>
      </c>
      <c r="F58" s="636">
        <f t="shared" ref="F58:F67" si="15">ROUND(B58*E58/10000,0)</f>
        <v>198384</v>
      </c>
      <c r="G58" s="3449"/>
      <c r="H58" s="3450"/>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565</v>
      </c>
      <c r="B59" s="638">
        <f>ROUND($C$50*C59*D59,0)</f>
        <v>0</v>
      </c>
      <c r="C59" s="378">
        <f t="shared" ref="C59:C67" si="16">IF($C$57="北京市系数",I59,J59)</f>
        <v>0</v>
      </c>
      <c r="D59" s="2214">
        <v>0.25</v>
      </c>
      <c r="E59" s="639">
        <v>0</v>
      </c>
      <c r="F59" s="636">
        <f t="shared" si="15"/>
        <v>0</v>
      </c>
      <c r="G59" s="3451" t="s">
        <v>2280</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566</v>
      </c>
      <c r="B60" s="638">
        <f t="shared" ref="B60:B67" si="17">ROUND($C$50*C60*D60,0)</f>
        <v>0</v>
      </c>
      <c r="C60" s="378">
        <f t="shared" si="16"/>
        <v>0</v>
      </c>
      <c r="D60" s="2214">
        <v>0.25</v>
      </c>
      <c r="E60" s="639">
        <v>0</v>
      </c>
      <c r="F60" s="636">
        <f t="shared" si="15"/>
        <v>0</v>
      </c>
      <c r="G60" s="3451"/>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567</v>
      </c>
      <c r="B61" s="638">
        <f t="shared" si="17"/>
        <v>0</v>
      </c>
      <c r="C61" s="378">
        <f t="shared" si="16"/>
        <v>0</v>
      </c>
      <c r="D61" s="2214">
        <v>0.25</v>
      </c>
      <c r="E61" s="639">
        <v>0</v>
      </c>
      <c r="F61" s="636">
        <f t="shared" si="15"/>
        <v>0</v>
      </c>
      <c r="G61" s="3451"/>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2">
      <c r="A62" s="637" t="s">
        <v>568</v>
      </c>
      <c r="B62" s="638">
        <f t="shared" si="17"/>
        <v>0</v>
      </c>
      <c r="C62" s="378">
        <f t="shared" si="16"/>
        <v>0</v>
      </c>
      <c r="D62" s="2214">
        <v>0.25</v>
      </c>
      <c r="E62" s="639">
        <v>0</v>
      </c>
      <c r="F62" s="636">
        <f t="shared" si="15"/>
        <v>0</v>
      </c>
      <c r="G62" s="3451"/>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2">
      <c r="A63" s="2316" t="s">
        <v>2326</v>
      </c>
      <c r="B63" s="638">
        <f t="shared" si="17"/>
        <v>0</v>
      </c>
      <c r="C63" s="378">
        <f t="shared" si="16"/>
        <v>0</v>
      </c>
      <c r="D63" s="2214">
        <v>0.25</v>
      </c>
      <c r="E63" s="641">
        <f>'数据-汇总表'!E11</f>
        <v>0</v>
      </c>
      <c r="F63" s="636">
        <f t="shared" si="15"/>
        <v>0</v>
      </c>
      <c r="G63" s="3182" t="s">
        <v>2281</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3.2">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3.2">
      <c r="A65" s="637" t="s">
        <v>570</v>
      </c>
      <c r="B65" s="638">
        <f t="shared" si="17"/>
        <v>0</v>
      </c>
      <c r="C65" s="378">
        <f t="shared" si="16"/>
        <v>0</v>
      </c>
      <c r="D65" s="2214">
        <v>0.25</v>
      </c>
      <c r="E65" s="641">
        <f>'数据-汇总表'!E13</f>
        <v>0</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3.2">
      <c r="A66" s="637" t="s">
        <v>571</v>
      </c>
      <c r="B66" s="638">
        <f t="shared" si="17"/>
        <v>0</v>
      </c>
      <c r="C66" s="378">
        <f t="shared" si="16"/>
        <v>0</v>
      </c>
      <c r="D66" s="2214">
        <v>0.25</v>
      </c>
      <c r="E66" s="641">
        <f>'数据-汇总表'!E14</f>
        <v>0</v>
      </c>
      <c r="F66" s="636">
        <f t="shared" si="15"/>
        <v>0</v>
      </c>
      <c r="G66" s="3182" t="s">
        <v>2280</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thickBot="1">
      <c r="A67" s="637" t="s">
        <v>572</v>
      </c>
      <c r="B67" s="638">
        <f t="shared" si="17"/>
        <v>0</v>
      </c>
      <c r="C67" s="378">
        <f t="shared" si="16"/>
        <v>0</v>
      </c>
      <c r="D67" s="2214">
        <v>0.25</v>
      </c>
      <c r="E67" s="641">
        <f>'数据-汇总表'!E15</f>
        <v>0</v>
      </c>
      <c r="F67" s="636">
        <f t="shared" si="15"/>
        <v>0</v>
      </c>
      <c r="G67" s="1932" t="s">
        <v>2281</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thickBot="1">
      <c r="A68" s="642" t="s">
        <v>573</v>
      </c>
      <c r="B68" s="643" t="s">
        <v>17</v>
      </c>
      <c r="C68" s="643" t="s">
        <v>18</v>
      </c>
      <c r="D68" s="643" t="s">
        <v>2292</v>
      </c>
      <c r="E68" s="643">
        <f>IF(B48="楼面地价",SUM(E58:E67),'数据-汇总表'!D3)</f>
        <v>768036</v>
      </c>
      <c r="F68" s="644">
        <f>IF(B48="楼面地价",SUM(F58:F67),ROUND(C50*E68/10000,0))</f>
        <v>198384</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2020-3-1</v>
      </c>
      <c r="D70" s="2754">
        <f>EDATE(C70,-3)</f>
        <v>43800</v>
      </c>
      <c r="E70" s="2754">
        <f t="shared" ref="E70:N70" si="18">EDATE(D70,-3)</f>
        <v>43709</v>
      </c>
      <c r="F70" s="2754">
        <f t="shared" si="18"/>
        <v>43617</v>
      </c>
      <c r="G70" s="2754">
        <f t="shared" si="18"/>
        <v>43525</v>
      </c>
      <c r="H70" s="2754">
        <f t="shared" si="18"/>
        <v>43435</v>
      </c>
      <c r="I70" s="2754">
        <f t="shared" si="18"/>
        <v>43344</v>
      </c>
      <c r="J70" s="2754">
        <f t="shared" si="18"/>
        <v>43252</v>
      </c>
      <c r="K70" s="2754">
        <f t="shared" si="18"/>
        <v>43160</v>
      </c>
      <c r="L70" s="2754">
        <f t="shared" si="18"/>
        <v>43070</v>
      </c>
      <c r="M70" s="2754">
        <f t="shared" si="18"/>
        <v>42979</v>
      </c>
      <c r="N70" s="2754">
        <f t="shared" si="18"/>
        <v>42887</v>
      </c>
      <c r="O70" s="2130"/>
      <c r="P70" s="2130"/>
      <c r="Q70" s="2130"/>
      <c r="R70" s="2130"/>
      <c r="S70" s="2130"/>
      <c r="T70" s="2130"/>
      <c r="U70" s="2130"/>
      <c r="V70" s="2130"/>
      <c r="W70" s="2130"/>
      <c r="X70" s="2130"/>
      <c r="Y70" s="2130"/>
      <c r="Z70" s="2130"/>
      <c r="AA70" s="2130"/>
      <c r="AB70" s="2130"/>
      <c r="AC70" s="2130"/>
    </row>
    <row r="71" spans="1:29" ht="22.2"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4.4">
      <c r="A72" s="2532" t="s">
        <v>2530</v>
      </c>
      <c r="B72" s="2533"/>
      <c r="C72" s="2756"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2644</v>
      </c>
      <c r="B73" s="479" t="str">
        <f>"北京市平均增长率"&amp;TEXT(SUMIF(基准地价!N21:N25,A73,基准地价!P21:P25),"0.00%")</f>
        <v>北京市平均增长率1.90%</v>
      </c>
      <c r="C73" s="893">
        <v>100</v>
      </c>
      <c r="D73" s="730">
        <v>100</v>
      </c>
      <c r="E73" s="730">
        <v>100</v>
      </c>
      <c r="F73" s="730">
        <v>100</v>
      </c>
      <c r="G73" s="730">
        <v>100</v>
      </c>
      <c r="H73" s="730">
        <v>100</v>
      </c>
      <c r="I73" s="730">
        <v>100</v>
      </c>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4.4">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577</v>
      </c>
      <c r="B77" s="665" t="s">
        <v>534</v>
      </c>
      <c r="C77" s="3194" t="s">
        <v>3417</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1</v>
      </c>
      <c r="E82" s="541">
        <v>2</v>
      </c>
      <c r="F82" s="541">
        <v>3</v>
      </c>
      <c r="G82" s="541">
        <v>4</v>
      </c>
      <c r="H82" s="541">
        <v>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1"/>
      <c r="O83" s="2151"/>
      <c r="P83" s="2150"/>
      <c r="Q83" s="2143"/>
      <c r="R83" s="2130"/>
      <c r="S83" s="2130"/>
      <c r="T83" s="2130"/>
      <c r="U83" s="2130"/>
      <c r="V83" s="2130"/>
      <c r="W83" s="2130"/>
      <c r="X83" s="2130"/>
      <c r="Y83" s="2130"/>
      <c r="Z83" s="2130"/>
      <c r="AA83" s="2130"/>
      <c r="AB83" s="2130"/>
      <c r="AC83" s="2130"/>
    </row>
    <row r="84" spans="1:29" s="1334" customFormat="1" ht="1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4.4"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4.4"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4.4"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4.4"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4.4" thickBot="1">
      <c r="A101" s="709"/>
      <c r="B101" s="678"/>
      <c r="C101" s="679">
        <v>100</v>
      </c>
      <c r="D101" s="679">
        <f>C101-$K27</f>
        <v>97</v>
      </c>
      <c r="E101" s="679">
        <f>D101-$K27</f>
        <v>94</v>
      </c>
      <c r="F101" s="679">
        <f>E101-$K27</f>
        <v>91</v>
      </c>
      <c r="G101" s="679">
        <f>F101-$K27</f>
        <v>88</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 thickTop="1">
      <c r="A102" s="687"/>
      <c r="B102" s="1881"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4.4" thickBot="1">
      <c r="A103" s="687"/>
      <c r="B103" s="678"/>
      <c r="C103" s="679">
        <v>100</v>
      </c>
      <c r="D103" s="679">
        <f>C103-$K29</f>
        <v>97</v>
      </c>
      <c r="E103" s="679">
        <f>D103-$K29</f>
        <v>94</v>
      </c>
      <c r="F103" s="679">
        <f>E103-$K29</f>
        <v>91</v>
      </c>
      <c r="G103" s="679">
        <f>F103-$K29</f>
        <v>88</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 thickTop="1">
      <c r="A104" s="687"/>
      <c r="B104" s="2561" t="s">
        <v>2547</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4.4"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9"/>
      <c r="B108" s="673" t="s">
        <v>548</v>
      </c>
      <c r="C108" s="3195" t="s">
        <v>3418</v>
      </c>
      <c r="D108" s="3195" t="s">
        <v>3419</v>
      </c>
      <c r="E108" s="3195" t="s">
        <v>3420</v>
      </c>
      <c r="F108" s="3195" t="s">
        <v>3421</v>
      </c>
      <c r="G108" s="3195" t="s">
        <v>3422</v>
      </c>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4.4"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4.4"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7.6">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v>
      </c>
      <c r="H118" s="704" t="str">
        <f t="shared" si="25"/>
        <v>(含)-</v>
      </c>
      <c r="I118" s="704" t="str">
        <f t="shared" si="25"/>
        <v>(含)-</v>
      </c>
      <c r="J118" s="3042" t="str">
        <f t="shared" si="25"/>
        <v>(含)-</v>
      </c>
      <c r="K118" s="3042" t="str">
        <f t="shared" si="25"/>
        <v>(含)-</v>
      </c>
      <c r="L118" s="3043" t="str">
        <f t="shared" si="25"/>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50000</v>
      </c>
      <c r="E119" s="730">
        <v>100000</v>
      </c>
      <c r="F119" s="730">
        <v>150000</v>
      </c>
      <c r="G119" s="730">
        <v>200000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100</v>
      </c>
      <c r="D120" s="726">
        <v>102</v>
      </c>
      <c r="E120" s="726">
        <v>104</v>
      </c>
      <c r="F120" s="726">
        <v>106</v>
      </c>
      <c r="G120" s="726">
        <v>108</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203" t="s">
        <v>3464</v>
      </c>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3204" t="s">
        <v>3465</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2423</v>
      </c>
      <c r="C125" s="3205" t="s">
        <v>3466</v>
      </c>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4.4"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204" t="s">
        <v>3467</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L18" sqref="L18"/>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450760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f>ROUND(B2*10000/'数据-汇总表'!E3,0)</f>
        <v>5771</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20199</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1347</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1">
      <c r="A6" s="512" t="s">
        <v>521</v>
      </c>
      <c r="B6" s="513"/>
      <c r="C6" s="3474" t="s">
        <v>522</v>
      </c>
      <c r="D6" s="3475"/>
      <c r="E6" s="3474" t="s">
        <v>523</v>
      </c>
      <c r="F6" s="3475"/>
      <c r="G6" s="3474" t="s">
        <v>524</v>
      </c>
      <c r="H6" s="3475"/>
      <c r="I6" s="3474" t="s">
        <v>525</v>
      </c>
      <c r="J6" s="3475"/>
      <c r="K6" s="514" t="s">
        <v>526</v>
      </c>
      <c r="L6" s="2118"/>
      <c r="M6" s="2117"/>
      <c r="N6" s="2117"/>
      <c r="O6" s="2119"/>
      <c r="P6" s="3476" t="s">
        <v>527</v>
      </c>
      <c r="Q6" s="3477"/>
      <c r="R6" s="3464" t="s">
        <v>523</v>
      </c>
      <c r="S6" s="3465"/>
      <c r="T6" s="3464" t="s">
        <v>524</v>
      </c>
      <c r="U6" s="3465"/>
      <c r="V6" s="3461" t="s">
        <v>525</v>
      </c>
      <c r="W6" s="3461"/>
      <c r="X6" s="1553"/>
      <c r="Y6" s="3464" t="s">
        <v>527</v>
      </c>
      <c r="Z6" s="3465"/>
      <c r="AA6" s="3470" t="s">
        <v>523</v>
      </c>
      <c r="AB6" s="3471" t="s">
        <v>524</v>
      </c>
      <c r="AC6" s="3470" t="s">
        <v>525</v>
      </c>
    </row>
    <row r="7" spans="1:30" ht="21">
      <c r="A7" s="515"/>
      <c r="B7" s="516"/>
      <c r="C7" s="3482" t="s">
        <v>2923</v>
      </c>
      <c r="D7" s="3483"/>
      <c r="E7" s="3482" t="str">
        <f>土地案例!A5</f>
        <v>能源金融贸易区文韵三路以东、沣柳路以西、文教六路以北、文教二路以南</v>
      </c>
      <c r="F7" s="3483"/>
      <c r="G7" s="3482" t="str">
        <f>土地案例!A6</f>
        <v>沣西新城精勤路以北、临渭路以东、学镇东路以南、学镇环路以西</v>
      </c>
      <c r="H7" s="3483"/>
      <c r="I7" s="3482" t="str">
        <f>土地案例!A91</f>
        <v>学苑五路以南,学苑八路以北,中央大街以西,文韵四路以东</v>
      </c>
      <c r="J7" s="3483"/>
      <c r="K7" s="514"/>
      <c r="L7" s="2118"/>
      <c r="M7" s="2117"/>
      <c r="N7" s="2117"/>
      <c r="O7" s="2119"/>
      <c r="P7" s="3478"/>
      <c r="Q7" s="3479"/>
      <c r="R7" s="3466"/>
      <c r="S7" s="3467"/>
      <c r="T7" s="3466"/>
      <c r="U7" s="3467"/>
      <c r="V7" s="3461"/>
      <c r="W7" s="3461"/>
      <c r="X7" s="1553"/>
      <c r="Y7" s="3466"/>
      <c r="Z7" s="3467"/>
      <c r="AA7" s="3471"/>
      <c r="AB7" s="3471"/>
      <c r="AC7" s="3471"/>
    </row>
    <row r="8" spans="1:30" ht="21.6" thickBot="1">
      <c r="A8" s="515"/>
      <c r="B8" s="516"/>
      <c r="C8" s="3486" t="s">
        <v>2927</v>
      </c>
      <c r="D8" s="3487"/>
      <c r="E8" s="3486" t="s">
        <v>2927</v>
      </c>
      <c r="F8" s="3487"/>
      <c r="G8" s="3488" t="s">
        <v>2927</v>
      </c>
      <c r="H8" s="3489"/>
      <c r="I8" s="3488" t="s">
        <v>2927</v>
      </c>
      <c r="J8" s="3489"/>
      <c r="K8" s="514" t="s">
        <v>528</v>
      </c>
      <c r="L8" s="2118"/>
      <c r="M8" s="2117"/>
      <c r="N8" s="2117"/>
      <c r="O8" s="2119"/>
      <c r="P8" s="3480"/>
      <c r="Q8" s="3481"/>
      <c r="R8" s="3466"/>
      <c r="S8" s="3467"/>
      <c r="T8" s="3468"/>
      <c r="U8" s="3469"/>
      <c r="V8" s="3461"/>
      <c r="W8" s="3461"/>
      <c r="X8" s="1553"/>
      <c r="Y8" s="3468"/>
      <c r="Z8" s="3469"/>
      <c r="AA8" s="3472"/>
      <c r="AB8" s="3472"/>
      <c r="AC8" s="3472"/>
    </row>
    <row r="9" spans="1:30" s="1215" customFormat="1" ht="21.6" thickBot="1">
      <c r="A9" s="2867"/>
      <c r="B9" s="2874" t="s">
        <v>529</v>
      </c>
      <c r="C9" s="2866">
        <f>'数据-取费表'!B2</f>
        <v>43902</v>
      </c>
      <c r="D9" s="520">
        <v>100</v>
      </c>
      <c r="E9" s="521" t="str">
        <f>土地案例!H5</f>
        <v>2020-01-17</v>
      </c>
      <c r="F9" s="522">
        <f>SUMIF(72:72,YEAR(E9)&amp;"-"&amp;INT((MONTH(E9)+2)/3),73:73)</f>
        <v>100</v>
      </c>
      <c r="G9" s="523" t="str">
        <f>土地案例!H6</f>
        <v>2019-12-19</v>
      </c>
      <c r="H9" s="520">
        <f>SUMIF(72:72,YEAR(G9)&amp;"-"&amp;INT((MONTH(G9)+2)/3),73:73)</f>
        <v>99</v>
      </c>
      <c r="I9" s="523" t="str">
        <f>土地案例!H91</f>
        <v>2018-07-18</v>
      </c>
      <c r="J9" s="520">
        <f>SUMIF(72:72,YEAR(I9)&amp;"-"&amp;INT((MONTH(I9)+2)/3),73:73)</f>
        <v>94</v>
      </c>
      <c r="K9" s="524"/>
      <c r="L9" s="2120"/>
      <c r="M9" s="2117"/>
      <c r="N9" s="2117"/>
      <c r="O9" s="2121"/>
      <c r="P9" s="3462" t="s">
        <v>530</v>
      </c>
      <c r="Q9" s="3473"/>
      <c r="R9" s="1554" t="s">
        <v>8</v>
      </c>
      <c r="S9" s="1555">
        <f t="shared" ref="S9:S17" si="0">F9</f>
        <v>100</v>
      </c>
      <c r="T9" s="1554" t="s">
        <v>8</v>
      </c>
      <c r="U9" s="1555">
        <f t="shared" ref="U9:U17" si="1">H9</f>
        <v>99</v>
      </c>
      <c r="V9" s="1554" t="s">
        <v>8</v>
      </c>
      <c r="W9" s="1555">
        <f t="shared" ref="W9:W17" si="2">J9</f>
        <v>94</v>
      </c>
      <c r="X9" s="1556"/>
      <c r="Y9" s="3462" t="s">
        <v>530</v>
      </c>
      <c r="Z9" s="3463"/>
      <c r="AA9" s="1557">
        <f>D9/F9</f>
        <v>1</v>
      </c>
      <c r="AB9" s="1557">
        <f>D9/H9</f>
        <v>1.0101010101010102</v>
      </c>
      <c r="AC9" s="1557">
        <f>D9/J9</f>
        <v>1.0638297872340425</v>
      </c>
    </row>
    <row r="10" spans="1:30" s="1215" customFormat="1" ht="21.6" thickBot="1">
      <c r="A10" s="2868"/>
      <c r="B10" s="2875" t="s">
        <v>531</v>
      </c>
      <c r="C10" s="856" t="s">
        <v>532</v>
      </c>
      <c r="D10" s="520">
        <v>100</v>
      </c>
      <c r="E10" s="525" t="s">
        <v>3415</v>
      </c>
      <c r="F10" s="522">
        <f>SUMIF(75:75,E10,76:76)-SUMIF(75:75,C10,76:76)+100</f>
        <v>100</v>
      </c>
      <c r="G10" s="525" t="s">
        <v>3415</v>
      </c>
      <c r="H10" s="520">
        <f>SUMIF(75:75,G10,76:76)-SUMIF(75:75,C10,76:76)+100</f>
        <v>100</v>
      </c>
      <c r="I10" s="525" t="s">
        <v>3415</v>
      </c>
      <c r="J10" s="520">
        <f>SUMIF(75:75,I10,76:76)-SUMIF(75:75,C10,76:76)+100</f>
        <v>100</v>
      </c>
      <c r="K10" s="524"/>
      <c r="L10" s="2120"/>
      <c r="M10" s="2117"/>
      <c r="N10" s="2117"/>
      <c r="O10" s="2121"/>
      <c r="P10" s="3462" t="s">
        <v>533</v>
      </c>
      <c r="Q10" s="3463"/>
      <c r="R10" s="1554" t="s">
        <v>8</v>
      </c>
      <c r="S10" s="1555">
        <f t="shared" si="0"/>
        <v>100</v>
      </c>
      <c r="T10" s="1554" t="s">
        <v>8</v>
      </c>
      <c r="U10" s="1555">
        <f t="shared" si="1"/>
        <v>100</v>
      </c>
      <c r="V10" s="1554" t="s">
        <v>8</v>
      </c>
      <c r="W10" s="1555">
        <f t="shared" si="2"/>
        <v>100</v>
      </c>
      <c r="X10" s="1556"/>
      <c r="Y10" s="3462" t="s">
        <v>533</v>
      </c>
      <c r="Z10" s="3463"/>
      <c r="AA10" s="1557">
        <f t="shared" ref="AA10:AA47" si="3">D10/F10</f>
        <v>1</v>
      </c>
      <c r="AB10" s="1557">
        <f t="shared" ref="AB10:AB47" si="4">D10/H10</f>
        <v>1</v>
      </c>
      <c r="AC10" s="1557">
        <f t="shared" ref="AC10:AC47" si="5">D10/J10</f>
        <v>1</v>
      </c>
    </row>
    <row r="11" spans="1:30" s="1215" customFormat="1" ht="21">
      <c r="A11" s="2869"/>
      <c r="B11" s="2876" t="s">
        <v>2753</v>
      </c>
      <c r="C11" s="2863" t="s">
        <v>923</v>
      </c>
      <c r="D11" s="254">
        <v>100</v>
      </c>
      <c r="E11" s="2863" t="s">
        <v>923</v>
      </c>
      <c r="F11" s="254">
        <f>SUMIF(77:77,E11,78:78)-SUMIF(77:77,C11,78:78)+100</f>
        <v>100</v>
      </c>
      <c r="G11" s="2863" t="s">
        <v>923</v>
      </c>
      <c r="H11" s="254">
        <f>SUMIF(77:77,G11,78:78)-SUMIF(77:77,C11,78:78)+100</f>
        <v>100</v>
      </c>
      <c r="I11" s="2863" t="s">
        <v>923</v>
      </c>
      <c r="J11" s="254">
        <f>SUMIF(77:77,I11,78:78)-SUMIF(77:77,C11,78:78)+100</f>
        <v>100</v>
      </c>
      <c r="K11" s="524"/>
      <c r="L11" s="2120"/>
      <c r="M11" s="2117"/>
      <c r="N11" s="2117"/>
      <c r="O11" s="2122"/>
      <c r="P11" s="3452" t="s">
        <v>535</v>
      </c>
      <c r="Q11" s="1146" t="str">
        <f t="shared" ref="Q11:Q17" si="6">B11</f>
        <v>用途</v>
      </c>
      <c r="R11" s="1554" t="s">
        <v>8</v>
      </c>
      <c r="S11" s="1555">
        <f t="shared" si="0"/>
        <v>100</v>
      </c>
      <c r="T11" s="1554" t="s">
        <v>8</v>
      </c>
      <c r="U11" s="1555">
        <f t="shared" si="1"/>
        <v>100</v>
      </c>
      <c r="V11" s="1554" t="s">
        <v>8</v>
      </c>
      <c r="W11" s="1555">
        <f t="shared" si="2"/>
        <v>100</v>
      </c>
      <c r="X11" s="1556"/>
      <c r="Y11" s="3416" t="s">
        <v>536</v>
      </c>
      <c r="Z11" s="1145" t="str">
        <f t="shared" ref="Z11:Z17" si="7">Q11</f>
        <v>用途</v>
      </c>
      <c r="AA11" s="1557">
        <f t="shared" si="3"/>
        <v>1</v>
      </c>
      <c r="AB11" s="1557">
        <f t="shared" si="4"/>
        <v>1</v>
      </c>
      <c r="AC11" s="1557">
        <f t="shared" si="5"/>
        <v>1</v>
      </c>
    </row>
    <row r="12" spans="1:30" s="1333" customFormat="1" ht="28.8">
      <c r="A12" s="2870"/>
      <c r="B12" s="2875" t="s">
        <v>2754</v>
      </c>
      <c r="C12" s="909">
        <f>项目基本情况!D19</f>
        <v>70</v>
      </c>
      <c r="D12" s="255">
        <v>100</v>
      </c>
      <c r="E12" s="529" t="s">
        <v>3440</v>
      </c>
      <c r="F12" s="255">
        <f>ROUND(100/'数据-取费表'!G16,0)</f>
        <v>100</v>
      </c>
      <c r="G12" s="530" t="s">
        <v>3440</v>
      </c>
      <c r="H12" s="255">
        <f>ROUND(100/'数据-取费表'!G16,0)</f>
        <v>100</v>
      </c>
      <c r="I12" s="530" t="s">
        <v>3440</v>
      </c>
      <c r="J12" s="255">
        <f>ROUND(100/'数据-取费表'!G16,0)</f>
        <v>100</v>
      </c>
      <c r="K12" s="531"/>
      <c r="L12" s="2123"/>
      <c r="M12" s="2117"/>
      <c r="N12" s="2117"/>
      <c r="O12" s="2124"/>
      <c r="P12" s="3452"/>
      <c r="Q12" s="1146" t="str">
        <f t="shared" si="6"/>
        <v>土地使用年限（年）</v>
      </c>
      <c r="R12" s="1554" t="s">
        <v>8</v>
      </c>
      <c r="S12" s="1555">
        <f t="shared" si="0"/>
        <v>100</v>
      </c>
      <c r="T12" s="1554" t="s">
        <v>8</v>
      </c>
      <c r="U12" s="1555">
        <f t="shared" si="1"/>
        <v>100</v>
      </c>
      <c r="V12" s="1554" t="s">
        <v>8</v>
      </c>
      <c r="W12" s="1555">
        <f t="shared" si="2"/>
        <v>100</v>
      </c>
      <c r="X12" s="1556"/>
      <c r="Y12" s="3416"/>
      <c r="Z12" s="1145" t="str">
        <f t="shared" si="7"/>
        <v>土地使用年限（年）</v>
      </c>
      <c r="AA12" s="1557">
        <f t="shared" si="3"/>
        <v>1</v>
      </c>
      <c r="AB12" s="1557">
        <f t="shared" si="4"/>
        <v>1</v>
      </c>
      <c r="AC12" s="1557">
        <f t="shared" si="5"/>
        <v>1</v>
      </c>
    </row>
    <row r="13" spans="1:30" ht="21">
      <c r="A13" s="2871"/>
      <c r="B13" s="2875" t="s">
        <v>2755</v>
      </c>
      <c r="C13" s="534">
        <v>3.5</v>
      </c>
      <c r="D13" s="255">
        <v>100</v>
      </c>
      <c r="E13" s="533">
        <v>2</v>
      </c>
      <c r="F13" s="255">
        <f>LOOKUP(E13,82:82,83:83)-LOOKUP(C13,82:82,83:83)+100</f>
        <v>102</v>
      </c>
      <c r="G13" s="534">
        <v>2.2000000000000002</v>
      </c>
      <c r="H13" s="255">
        <f>LOOKUP(G13,82:82,83:83)-LOOKUP(C13,82:82,83:83)+100</f>
        <v>102</v>
      </c>
      <c r="I13" s="533">
        <v>2.2000000000000002</v>
      </c>
      <c r="J13" s="255">
        <f>LOOKUP(I13,82:82,83:83)-LOOKUP(C13,82:82,83:83)+100</f>
        <v>102</v>
      </c>
      <c r="K13" s="535">
        <v>2</v>
      </c>
      <c r="L13" s="2125"/>
      <c r="M13" s="2117"/>
      <c r="N13" s="2117"/>
      <c r="O13" s="2126"/>
      <c r="P13" s="3452"/>
      <c r="Q13" s="1146" t="str">
        <f t="shared" si="6"/>
        <v>容积率</v>
      </c>
      <c r="R13" s="1554" t="s">
        <v>8</v>
      </c>
      <c r="S13" s="1555">
        <f t="shared" si="0"/>
        <v>102</v>
      </c>
      <c r="T13" s="1554" t="s">
        <v>8</v>
      </c>
      <c r="U13" s="1555">
        <f t="shared" si="1"/>
        <v>102</v>
      </c>
      <c r="V13" s="1554" t="s">
        <v>8</v>
      </c>
      <c r="W13" s="1555">
        <f t="shared" si="2"/>
        <v>102</v>
      </c>
      <c r="X13" s="1556"/>
      <c r="Y13" s="3416"/>
      <c r="Z13" s="1145" t="str">
        <f t="shared" si="7"/>
        <v>容积率</v>
      </c>
      <c r="AA13" s="1557">
        <f t="shared" si="3"/>
        <v>0.98039215686274506</v>
      </c>
      <c r="AB13" s="1557">
        <f t="shared" si="4"/>
        <v>0.98039215686274506</v>
      </c>
      <c r="AC13" s="1557">
        <f t="shared" si="5"/>
        <v>0.98039215686274506</v>
      </c>
    </row>
    <row r="14" spans="1:30" s="1215" customFormat="1" ht="21">
      <c r="A14" s="2868"/>
      <c r="B14" s="2877" t="s">
        <v>2756</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452"/>
      <c r="Q14" s="1146" t="str">
        <f t="shared" si="6"/>
        <v>配建</v>
      </c>
      <c r="R14" s="1554" t="s">
        <v>8</v>
      </c>
      <c r="S14" s="1555">
        <f t="shared" si="0"/>
        <v>100</v>
      </c>
      <c r="T14" s="1554" t="s">
        <v>8</v>
      </c>
      <c r="U14" s="1555">
        <f t="shared" si="1"/>
        <v>100</v>
      </c>
      <c r="V14" s="1554" t="s">
        <v>8</v>
      </c>
      <c r="W14" s="1555">
        <f t="shared" si="2"/>
        <v>100</v>
      </c>
      <c r="X14" s="1556"/>
      <c r="Y14" s="3416"/>
      <c r="Z14" s="1145" t="str">
        <f t="shared" si="7"/>
        <v>配建</v>
      </c>
      <c r="AA14" s="1557">
        <f>D14/F14</f>
        <v>1</v>
      </c>
      <c r="AB14" s="1557">
        <f>D14/H14</f>
        <v>1</v>
      </c>
      <c r="AC14" s="1557">
        <f>D14/J14</f>
        <v>1</v>
      </c>
    </row>
    <row r="15" spans="1:30" ht="21">
      <c r="A15" s="2872"/>
      <c r="B15" s="2878">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52"/>
      <c r="Q15" s="1146">
        <f t="shared" si="6"/>
        <v>111</v>
      </c>
      <c r="R15" s="1554" t="s">
        <v>8</v>
      </c>
      <c r="S15" s="1555">
        <f t="shared" si="0"/>
        <v>100</v>
      </c>
      <c r="T15" s="1554" t="s">
        <v>8</v>
      </c>
      <c r="U15" s="1555">
        <f t="shared" si="1"/>
        <v>100</v>
      </c>
      <c r="V15" s="1554" t="s">
        <v>8</v>
      </c>
      <c r="W15" s="1555">
        <f t="shared" si="2"/>
        <v>100</v>
      </c>
      <c r="X15" s="1556"/>
      <c r="Y15" s="3416"/>
      <c r="Z15" s="1145">
        <f t="shared" si="7"/>
        <v>111</v>
      </c>
      <c r="AA15" s="1557">
        <f>D15/F15</f>
        <v>1</v>
      </c>
      <c r="AB15" s="1557">
        <f>D15/H15</f>
        <v>1</v>
      </c>
      <c r="AC15" s="1557">
        <f>D15/J15</f>
        <v>1</v>
      </c>
    </row>
    <row r="16" spans="1:30" ht="21.6" thickBot="1">
      <c r="A16" s="2873"/>
      <c r="B16" s="2879">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52"/>
      <c r="Q16" s="1146">
        <f t="shared" si="6"/>
        <v>111</v>
      </c>
      <c r="R16" s="1554" t="s">
        <v>8</v>
      </c>
      <c r="S16" s="1555">
        <f t="shared" si="0"/>
        <v>100</v>
      </c>
      <c r="T16" s="1554" t="s">
        <v>8</v>
      </c>
      <c r="U16" s="1555">
        <f t="shared" si="1"/>
        <v>100</v>
      </c>
      <c r="V16" s="1554" t="s">
        <v>8</v>
      </c>
      <c r="W16" s="1555">
        <f t="shared" si="2"/>
        <v>100</v>
      </c>
      <c r="X16" s="1556"/>
      <c r="Y16" s="3416"/>
      <c r="Z16" s="1145">
        <f t="shared" si="7"/>
        <v>111</v>
      </c>
      <c r="AA16" s="1557">
        <f>D16/F16</f>
        <v>1</v>
      </c>
      <c r="AB16" s="1557">
        <f>D16/H16</f>
        <v>1</v>
      </c>
      <c r="AC16" s="1557">
        <f>D16/J16</f>
        <v>1</v>
      </c>
    </row>
    <row r="17" spans="1:29" ht="21">
      <c r="A17" s="2865" t="s">
        <v>2751</v>
      </c>
      <c r="B17" s="578" t="s">
        <v>295</v>
      </c>
      <c r="C17" s="548" t="str">
        <f>估价对象房地状况!C15</f>
        <v>一般</v>
      </c>
      <c r="D17" s="551">
        <v>100</v>
      </c>
      <c r="E17" s="552"/>
      <c r="F17" s="549">
        <f>SUMIF(90:90,E18,91:91)-SUMIF(90:90,C18,91:91)+100</f>
        <v>100</v>
      </c>
      <c r="G17" s="550"/>
      <c r="H17" s="549">
        <f>SUMIF(90:90,G18,91:91)-SUMIF(90:90,C18,91:91)+100</f>
        <v>100</v>
      </c>
      <c r="I17" s="552"/>
      <c r="J17" s="549">
        <f>SUMIF(90:90,I18,91:91)-SUMIF(90:90,C18,91:91)+100</f>
        <v>100</v>
      </c>
      <c r="K17" s="535">
        <v>2</v>
      </c>
      <c r="L17" s="2127"/>
      <c r="M17" s="2117"/>
      <c r="N17" s="2117"/>
      <c r="O17" s="2126"/>
      <c r="P17" s="3454" t="s">
        <v>540</v>
      </c>
      <c r="Q17" s="1558" t="str">
        <f t="shared" si="6"/>
        <v>居住社区成熟度</v>
      </c>
      <c r="R17" s="1559" t="s">
        <v>8</v>
      </c>
      <c r="S17" s="1560">
        <f t="shared" si="0"/>
        <v>100</v>
      </c>
      <c r="T17" s="1559" t="s">
        <v>8</v>
      </c>
      <c r="U17" s="1560">
        <f t="shared" si="1"/>
        <v>100</v>
      </c>
      <c r="V17" s="1559" t="s">
        <v>8</v>
      </c>
      <c r="W17" s="1560">
        <f t="shared" si="2"/>
        <v>100</v>
      </c>
      <c r="X17" s="1553"/>
      <c r="Y17" s="3454" t="s">
        <v>540</v>
      </c>
      <c r="Z17" s="1561" t="str">
        <f t="shared" si="7"/>
        <v>居住社区成熟度</v>
      </c>
      <c r="AA17" s="1562">
        <f t="shared" si="3"/>
        <v>1</v>
      </c>
      <c r="AB17" s="1562">
        <f t="shared" si="4"/>
        <v>1</v>
      </c>
      <c r="AC17" s="1562">
        <f t="shared" si="5"/>
        <v>1</v>
      </c>
    </row>
    <row r="18" spans="1:29" ht="21">
      <c r="A18" s="532"/>
      <c r="B18" s="553"/>
      <c r="C18" s="554" t="s">
        <v>3423</v>
      </c>
      <c r="D18" s="557"/>
      <c r="E18" s="558" t="s">
        <v>3423</v>
      </c>
      <c r="F18" s="555"/>
      <c r="G18" s="558" t="s">
        <v>3423</v>
      </c>
      <c r="H18" s="559"/>
      <c r="I18" s="558" t="s">
        <v>3423</v>
      </c>
      <c r="J18" s="555"/>
      <c r="K18" s="531"/>
      <c r="L18" s="2127"/>
      <c r="M18" s="2117"/>
      <c r="N18" s="2117"/>
      <c r="O18" s="2126"/>
      <c r="P18" s="3455"/>
      <c r="Q18" s="1558"/>
      <c r="R18" s="1559"/>
      <c r="S18" s="1560"/>
      <c r="T18" s="1559"/>
      <c r="U18" s="1560"/>
      <c r="V18" s="1559"/>
      <c r="W18" s="1560"/>
      <c r="X18" s="1553"/>
      <c r="Y18" s="3455"/>
      <c r="Z18" s="1561"/>
      <c r="AA18" s="1562">
        <v>1</v>
      </c>
      <c r="AB18" s="1562">
        <v>1</v>
      </c>
      <c r="AC18" s="1562">
        <v>1</v>
      </c>
    </row>
    <row r="19" spans="1:29" ht="21">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v>2</v>
      </c>
      <c r="L19" s="2127"/>
      <c r="M19" s="2117"/>
      <c r="N19" s="2117"/>
      <c r="O19" s="2126"/>
      <c r="P19" s="3455"/>
      <c r="Q19" s="1558" t="str">
        <f>B19</f>
        <v>商业繁华度</v>
      </c>
      <c r="R19" s="1559" t="s">
        <v>8</v>
      </c>
      <c r="S19" s="1560">
        <f>F19</f>
        <v>100</v>
      </c>
      <c r="T19" s="1559" t="s">
        <v>8</v>
      </c>
      <c r="U19" s="1560">
        <f>H19</f>
        <v>100</v>
      </c>
      <c r="V19" s="1559" t="s">
        <v>8</v>
      </c>
      <c r="W19" s="1560">
        <f>J19</f>
        <v>100</v>
      </c>
      <c r="X19" s="1553"/>
      <c r="Y19" s="3455"/>
      <c r="Z19" s="1561" t="str">
        <f>Q19</f>
        <v>商业繁华度</v>
      </c>
      <c r="AA19" s="1562">
        <f t="shared" si="3"/>
        <v>1</v>
      </c>
      <c r="AB19" s="1562">
        <f t="shared" si="4"/>
        <v>1</v>
      </c>
      <c r="AC19" s="1562">
        <f t="shared" si="5"/>
        <v>1</v>
      </c>
    </row>
    <row r="20" spans="1:29" ht="21">
      <c r="A20" s="532"/>
      <c r="B20" s="566"/>
      <c r="C20" s="567" t="s">
        <v>3423</v>
      </c>
      <c r="D20" s="563"/>
      <c r="E20" s="567" t="s">
        <v>3423</v>
      </c>
      <c r="F20" s="559"/>
      <c r="G20" s="567" t="s">
        <v>3423</v>
      </c>
      <c r="H20" s="555"/>
      <c r="I20" s="567" t="s">
        <v>3423</v>
      </c>
      <c r="J20" s="555"/>
      <c r="K20" s="531"/>
      <c r="L20" s="2127"/>
      <c r="M20" s="2117"/>
      <c r="N20" s="2117"/>
      <c r="O20" s="2126"/>
      <c r="P20" s="3455"/>
      <c r="Q20" s="1558"/>
      <c r="R20" s="1559"/>
      <c r="S20" s="1560"/>
      <c r="T20" s="1559"/>
      <c r="U20" s="1560"/>
      <c r="V20" s="1559"/>
      <c r="W20" s="1560"/>
      <c r="X20" s="1553"/>
      <c r="Y20" s="3455"/>
      <c r="Z20" s="1561"/>
      <c r="AA20" s="1562">
        <v>1</v>
      </c>
      <c r="AB20" s="1562">
        <v>1</v>
      </c>
      <c r="AC20" s="1562">
        <v>1</v>
      </c>
    </row>
    <row r="21" spans="1:29" ht="2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55"/>
      <c r="Q21" s="1558" t="str">
        <f>B21</f>
        <v>办公集聚程度</v>
      </c>
      <c r="R21" s="1559" t="s">
        <v>8</v>
      </c>
      <c r="S21" s="1560">
        <f>F21</f>
        <v>100</v>
      </c>
      <c r="T21" s="1559" t="s">
        <v>8</v>
      </c>
      <c r="U21" s="1560">
        <f>H21</f>
        <v>100</v>
      </c>
      <c r="V21" s="1559" t="s">
        <v>8</v>
      </c>
      <c r="W21" s="1560">
        <f>J21</f>
        <v>100</v>
      </c>
      <c r="X21" s="1553"/>
      <c r="Y21" s="3455"/>
      <c r="Z21" s="1561" t="str">
        <f>Q21</f>
        <v>办公集聚程度</v>
      </c>
      <c r="AA21" s="1562">
        <f t="shared" si="3"/>
        <v>1</v>
      </c>
      <c r="AB21" s="1562">
        <f t="shared" si="4"/>
        <v>1</v>
      </c>
      <c r="AC21" s="1562">
        <f t="shared" si="5"/>
        <v>1</v>
      </c>
    </row>
    <row r="22" spans="1:29" ht="21">
      <c r="A22" s="532"/>
      <c r="B22" s="566"/>
      <c r="C22" s="554"/>
      <c r="D22" s="557"/>
      <c r="E22" s="558"/>
      <c r="F22" s="555"/>
      <c r="G22" s="556"/>
      <c r="H22" s="555"/>
      <c r="I22" s="558"/>
      <c r="J22" s="555"/>
      <c r="K22" s="531"/>
      <c r="L22" s="2127"/>
      <c r="M22" s="2117"/>
      <c r="N22" s="2117"/>
      <c r="O22" s="2126"/>
      <c r="P22" s="3455"/>
      <c r="Q22" s="1558"/>
      <c r="R22" s="1559"/>
      <c r="S22" s="1560"/>
      <c r="T22" s="1559"/>
      <c r="U22" s="1560"/>
      <c r="V22" s="1559"/>
      <c r="W22" s="1560"/>
      <c r="X22" s="1553"/>
      <c r="Y22" s="3455"/>
      <c r="Z22" s="1561"/>
      <c r="AA22" s="1562">
        <v>1</v>
      </c>
      <c r="AB22" s="1562">
        <v>1</v>
      </c>
      <c r="AC22" s="1562">
        <v>1</v>
      </c>
    </row>
    <row r="23" spans="1:29" ht="21">
      <c r="A23" s="532"/>
      <c r="B23" s="560" t="s">
        <v>543</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2</v>
      </c>
      <c r="L23" s="2127"/>
      <c r="M23" s="2117"/>
      <c r="N23" s="2117"/>
      <c r="O23" s="2126"/>
      <c r="P23" s="3455"/>
      <c r="Q23" s="1558" t="str">
        <f>B23</f>
        <v>交通便捷度</v>
      </c>
      <c r="R23" s="1559" t="s">
        <v>8</v>
      </c>
      <c r="S23" s="1560">
        <f>F23</f>
        <v>100</v>
      </c>
      <c r="T23" s="1559" t="s">
        <v>8</v>
      </c>
      <c r="U23" s="1560">
        <f>H23</f>
        <v>100</v>
      </c>
      <c r="V23" s="1559" t="s">
        <v>8</v>
      </c>
      <c r="W23" s="1560">
        <f>J23</f>
        <v>100</v>
      </c>
      <c r="X23" s="1553"/>
      <c r="Y23" s="3455"/>
      <c r="Z23" s="1561" t="str">
        <f>Q23</f>
        <v>交通便捷度</v>
      </c>
      <c r="AA23" s="1562">
        <f t="shared" si="3"/>
        <v>1</v>
      </c>
      <c r="AB23" s="1562">
        <f t="shared" si="4"/>
        <v>1</v>
      </c>
      <c r="AC23" s="1562">
        <f t="shared" si="5"/>
        <v>1</v>
      </c>
    </row>
    <row r="24" spans="1:29" ht="21">
      <c r="A24" s="532"/>
      <c r="B24" s="578"/>
      <c r="C24" s="554" t="s">
        <v>3423</v>
      </c>
      <c r="D24" s="557"/>
      <c r="E24" s="554" t="s">
        <v>3423</v>
      </c>
      <c r="F24" s="555"/>
      <c r="G24" s="554" t="s">
        <v>3423</v>
      </c>
      <c r="H24" s="555"/>
      <c r="I24" s="554" t="s">
        <v>3423</v>
      </c>
      <c r="J24" s="555"/>
      <c r="K24" s="531"/>
      <c r="L24" s="2127"/>
      <c r="M24" s="2117"/>
      <c r="N24" s="2117"/>
      <c r="O24" s="2126"/>
      <c r="P24" s="3455"/>
      <c r="Q24" s="1558"/>
      <c r="R24" s="1559"/>
      <c r="S24" s="1560"/>
      <c r="T24" s="1559"/>
      <c r="U24" s="1560"/>
      <c r="V24" s="1559"/>
      <c r="W24" s="1560"/>
      <c r="X24" s="1553"/>
      <c r="Y24" s="3455"/>
      <c r="Z24" s="1561"/>
      <c r="AA24" s="1562">
        <v>1</v>
      </c>
      <c r="AB24" s="1562">
        <v>1</v>
      </c>
      <c r="AC24" s="1562">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455"/>
      <c r="Q25" s="1558" t="str">
        <f t="shared" ref="Q25:Q39" si="8">B25</f>
        <v>区域土地利用方向</v>
      </c>
      <c r="R25" s="1559" t="s">
        <v>8</v>
      </c>
      <c r="S25" s="1560">
        <f>F25</f>
        <v>100</v>
      </c>
      <c r="T25" s="1559" t="s">
        <v>8</v>
      </c>
      <c r="U25" s="1560">
        <f>H25</f>
        <v>100</v>
      </c>
      <c r="V25" s="1559" t="s">
        <v>8</v>
      </c>
      <c r="W25" s="1560">
        <f>J25</f>
        <v>100</v>
      </c>
      <c r="X25" s="1553"/>
      <c r="Y25" s="3455"/>
      <c r="Z25" s="1561" t="str">
        <f>Q25</f>
        <v>区域土地利用方向</v>
      </c>
      <c r="AA25" s="1562">
        <f t="shared" si="3"/>
        <v>1</v>
      </c>
      <c r="AB25" s="1562">
        <f t="shared" si="4"/>
        <v>1</v>
      </c>
      <c r="AC25" s="1562">
        <f t="shared" si="5"/>
        <v>1</v>
      </c>
    </row>
    <row r="26" spans="1:29" ht="21">
      <c r="A26" s="515"/>
      <c r="B26" s="1006"/>
      <c r="C26" s="554"/>
      <c r="D26" s="557"/>
      <c r="E26" s="558"/>
      <c r="F26" s="555"/>
      <c r="G26" s="556"/>
      <c r="H26" s="555"/>
      <c r="I26" s="558"/>
      <c r="J26" s="555"/>
      <c r="K26" s="531"/>
      <c r="L26" s="2127"/>
      <c r="M26" s="2117"/>
      <c r="N26" s="2117"/>
      <c r="O26" s="2126"/>
      <c r="P26" s="3455"/>
      <c r="Q26" s="1558"/>
      <c r="R26" s="1559"/>
      <c r="S26" s="1560"/>
      <c r="T26" s="1559"/>
      <c r="U26" s="1560"/>
      <c r="V26" s="1559"/>
      <c r="W26" s="1560"/>
      <c r="X26" s="1553"/>
      <c r="Y26" s="3455"/>
      <c r="Z26" s="1561"/>
      <c r="AA26" s="1562"/>
      <c r="AB26" s="1562"/>
      <c r="AC26" s="1562"/>
    </row>
    <row r="27" spans="1:29" ht="28.8">
      <c r="A27" s="515"/>
      <c r="B27" s="578" t="s">
        <v>545</v>
      </c>
      <c r="C27" s="561" t="str">
        <f>估价对象房地状况!C20</f>
        <v>一般</v>
      </c>
      <c r="D27" s="563">
        <v>100</v>
      </c>
      <c r="E27" s="564"/>
      <c r="F27" s="559">
        <f>SUMIF(100:100,E28,101:101)-SUMIF(100:100,C28,101:101)+100</f>
        <v>102</v>
      </c>
      <c r="G27" s="562"/>
      <c r="H27" s="559">
        <f>SUMIF(100:100,G28,101:101)-SUMIF(100:100,C28,101:101)+100</f>
        <v>100</v>
      </c>
      <c r="I27" s="564"/>
      <c r="J27" s="559">
        <f>SUMIF(100:100,I28,101:101)-SUMIF(100:100,C28,101:101)+100</f>
        <v>100</v>
      </c>
      <c r="K27" s="535">
        <v>2</v>
      </c>
      <c r="L27" s="2127"/>
      <c r="M27" s="2117"/>
      <c r="N27" s="2117"/>
      <c r="O27" s="2126"/>
      <c r="P27" s="3455"/>
      <c r="Q27" s="1558" t="str">
        <f t="shared" si="8"/>
        <v>自然及人文环境状况</v>
      </c>
      <c r="R27" s="1559" t="s">
        <v>8</v>
      </c>
      <c r="S27" s="1560">
        <f>F27</f>
        <v>102</v>
      </c>
      <c r="T27" s="1559" t="s">
        <v>8</v>
      </c>
      <c r="U27" s="1560">
        <f>H27</f>
        <v>100</v>
      </c>
      <c r="V27" s="1559" t="s">
        <v>8</v>
      </c>
      <c r="W27" s="1560">
        <f>J27</f>
        <v>100</v>
      </c>
      <c r="X27" s="1553"/>
      <c r="Y27" s="3455"/>
      <c r="Z27" s="1561" t="str">
        <f>Q27</f>
        <v>自然及人文环境状况</v>
      </c>
      <c r="AA27" s="1562">
        <f t="shared" si="3"/>
        <v>0.98039215686274506</v>
      </c>
      <c r="AB27" s="1562">
        <f t="shared" si="4"/>
        <v>1</v>
      </c>
      <c r="AC27" s="1562">
        <f t="shared" si="5"/>
        <v>1</v>
      </c>
    </row>
    <row r="28" spans="1:29" ht="21">
      <c r="A28" s="515"/>
      <c r="B28" s="566"/>
      <c r="C28" s="554" t="s">
        <v>3423</v>
      </c>
      <c r="D28" s="557"/>
      <c r="E28" s="576" t="s">
        <v>3429</v>
      </c>
      <c r="F28" s="555"/>
      <c r="G28" s="554" t="s">
        <v>3423</v>
      </c>
      <c r="H28" s="555"/>
      <c r="I28" s="554" t="s">
        <v>3423</v>
      </c>
      <c r="J28" s="555"/>
      <c r="K28" s="531"/>
      <c r="L28" s="2127"/>
      <c r="M28" s="2117"/>
      <c r="N28" s="2117"/>
      <c r="O28" s="2126"/>
      <c r="P28" s="3455"/>
      <c r="Q28" s="1558"/>
      <c r="R28" s="1559"/>
      <c r="S28" s="1560"/>
      <c r="T28" s="1559"/>
      <c r="U28" s="1560"/>
      <c r="V28" s="1559"/>
      <c r="W28" s="1560"/>
      <c r="X28" s="1553"/>
      <c r="Y28" s="3455"/>
      <c r="Z28" s="1561"/>
      <c r="AA28" s="1562">
        <v>1</v>
      </c>
      <c r="AB28" s="1562">
        <v>1</v>
      </c>
      <c r="AC28" s="1562">
        <v>1</v>
      </c>
    </row>
    <row r="29" spans="1:29" s="1215" customFormat="1" ht="21">
      <c r="A29" s="577"/>
      <c r="B29" s="2555" t="s">
        <v>2546</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0"/>
      <c r="M29" s="2117"/>
      <c r="N29" s="2117"/>
      <c r="O29" s="2122"/>
      <c r="P29" s="3455"/>
      <c r="Q29" s="1146" t="str">
        <f t="shared" si="8"/>
        <v>公共配套设施</v>
      </c>
      <c r="R29" s="1554" t="s">
        <v>8</v>
      </c>
      <c r="S29" s="1555">
        <f>F29</f>
        <v>100</v>
      </c>
      <c r="T29" s="1554" t="s">
        <v>8</v>
      </c>
      <c r="U29" s="1555">
        <f>H29</f>
        <v>100</v>
      </c>
      <c r="V29" s="1554" t="s">
        <v>8</v>
      </c>
      <c r="W29" s="1555">
        <f>J29</f>
        <v>100</v>
      </c>
      <c r="X29" s="1556"/>
      <c r="Y29" s="3455"/>
      <c r="Z29" s="1145" t="str">
        <f>Q29</f>
        <v>公共配套设施</v>
      </c>
      <c r="AA29" s="1562">
        <f>D29/F29</f>
        <v>1</v>
      </c>
      <c r="AB29" s="1562">
        <f>D29/H29</f>
        <v>1</v>
      </c>
      <c r="AC29" s="1562">
        <f>D29/J29</f>
        <v>1</v>
      </c>
    </row>
    <row r="30" spans="1:29" s="1215" customFormat="1" ht="21">
      <c r="A30" s="577"/>
      <c r="B30" s="566"/>
      <c r="C30" s="579" t="s">
        <v>3423</v>
      </c>
      <c r="D30" s="557"/>
      <c r="E30" s="579" t="s">
        <v>3423</v>
      </c>
      <c r="F30" s="555"/>
      <c r="G30" s="579" t="s">
        <v>3423</v>
      </c>
      <c r="H30" s="555"/>
      <c r="I30" s="579" t="s">
        <v>3423</v>
      </c>
      <c r="J30" s="555"/>
      <c r="K30" s="531"/>
      <c r="L30" s="2120"/>
      <c r="M30" s="2117"/>
      <c r="N30" s="2117"/>
      <c r="O30" s="2122"/>
      <c r="P30" s="3455"/>
      <c r="Q30" s="1146"/>
      <c r="R30" s="1554"/>
      <c r="S30" s="1555"/>
      <c r="T30" s="1554"/>
      <c r="U30" s="1555"/>
      <c r="V30" s="1554"/>
      <c r="W30" s="1555"/>
      <c r="X30" s="1556"/>
      <c r="Y30" s="3455"/>
      <c r="Z30" s="1145"/>
      <c r="AA30" s="1562">
        <v>1</v>
      </c>
      <c r="AB30" s="1562">
        <v>1</v>
      </c>
      <c r="AC30" s="1562">
        <v>1</v>
      </c>
    </row>
    <row r="31" spans="1:29" s="1215" customFormat="1" ht="21">
      <c r="A31" s="577"/>
      <c r="B31" s="2555" t="s">
        <v>2547</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0"/>
      <c r="M31" s="2117"/>
      <c r="N31" s="2117"/>
      <c r="O31" s="2122"/>
      <c r="P31" s="3455"/>
      <c r="Q31" s="2542" t="str">
        <f t="shared" ref="Q31" si="9">B31</f>
        <v>基础设施水平</v>
      </c>
      <c r="R31" s="1554" t="s">
        <v>8</v>
      </c>
      <c r="S31" s="1555">
        <f>F31</f>
        <v>100</v>
      </c>
      <c r="T31" s="1554" t="s">
        <v>8</v>
      </c>
      <c r="U31" s="1555">
        <f>H31</f>
        <v>100</v>
      </c>
      <c r="V31" s="1554" t="s">
        <v>8</v>
      </c>
      <c r="W31" s="1555">
        <f>J31</f>
        <v>100</v>
      </c>
      <c r="X31" s="1556"/>
      <c r="Y31" s="3455"/>
      <c r="Z31" s="2539" t="str">
        <f>Q31</f>
        <v>基础设施水平</v>
      </c>
      <c r="AA31" s="1562">
        <f>D31/F31</f>
        <v>1</v>
      </c>
      <c r="AB31" s="1562">
        <f>D31/H31</f>
        <v>1</v>
      </c>
      <c r="AC31" s="1562">
        <f>D31/J31</f>
        <v>1</v>
      </c>
    </row>
    <row r="32" spans="1:29" s="1215" customFormat="1" ht="21">
      <c r="A32" s="577"/>
      <c r="B32" s="566"/>
      <c r="C32" s="579" t="s">
        <v>3426</v>
      </c>
      <c r="D32" s="557"/>
      <c r="E32" s="579" t="s">
        <v>3426</v>
      </c>
      <c r="F32" s="555"/>
      <c r="G32" s="579" t="s">
        <v>3426</v>
      </c>
      <c r="H32" s="555"/>
      <c r="I32" s="579" t="s">
        <v>3426</v>
      </c>
      <c r="J32" s="555"/>
      <c r="K32" s="531"/>
      <c r="L32" s="2120"/>
      <c r="M32" s="2117"/>
      <c r="N32" s="2117"/>
      <c r="O32" s="2122"/>
      <c r="P32" s="3455"/>
      <c r="Q32" s="2542"/>
      <c r="R32" s="1554"/>
      <c r="S32" s="1555"/>
      <c r="T32" s="1554"/>
      <c r="U32" s="1555"/>
      <c r="V32" s="1554"/>
      <c r="W32" s="1555"/>
      <c r="X32" s="1556"/>
      <c r="Y32" s="3455"/>
      <c r="Z32" s="2539"/>
      <c r="AA32" s="1562">
        <v>1</v>
      </c>
      <c r="AB32" s="1562">
        <v>1</v>
      </c>
      <c r="AC32" s="1562">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27"/>
      <c r="M33" s="2117"/>
      <c r="N33" s="2117"/>
      <c r="O33" s="2126"/>
      <c r="P33" s="3455"/>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55"/>
      <c r="Z33" s="1561" t="str">
        <f t="shared" ref="Z33:Z47" si="13">Q33</f>
        <v>临街状况</v>
      </c>
      <c r="AA33" s="1562">
        <f t="shared" si="3"/>
        <v>1</v>
      </c>
      <c r="AB33" s="1562">
        <f t="shared" si="4"/>
        <v>1</v>
      </c>
      <c r="AC33" s="1562">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7"/>
      <c r="M34" s="2117"/>
      <c r="N34" s="2117"/>
      <c r="O34" s="2126"/>
      <c r="P34" s="3455"/>
      <c r="Q34" s="1558" t="str">
        <f t="shared" si="8"/>
        <v>毗邻道路的类型与等级</v>
      </c>
      <c r="R34" s="1559" t="s">
        <v>8</v>
      </c>
      <c r="S34" s="1560">
        <f t="shared" si="10"/>
        <v>100</v>
      </c>
      <c r="T34" s="1559" t="s">
        <v>8</v>
      </c>
      <c r="U34" s="1560">
        <f t="shared" si="11"/>
        <v>100</v>
      </c>
      <c r="V34" s="1559" t="s">
        <v>8</v>
      </c>
      <c r="W34" s="1560">
        <f t="shared" si="12"/>
        <v>100</v>
      </c>
      <c r="X34" s="1553"/>
      <c r="Y34" s="3455"/>
      <c r="Z34" s="1561" t="str">
        <f t="shared" si="13"/>
        <v>毗邻道路的类型与等级</v>
      </c>
      <c r="AA34" s="1562">
        <f t="shared" si="3"/>
        <v>1</v>
      </c>
      <c r="AB34" s="1562">
        <f t="shared" si="4"/>
        <v>1</v>
      </c>
      <c r="AC34" s="1562">
        <f t="shared" si="5"/>
        <v>1</v>
      </c>
    </row>
    <row r="35" spans="1:29" ht="21">
      <c r="A35" s="532"/>
      <c r="B35" s="566"/>
      <c r="C35" s="554"/>
      <c r="D35" s="557"/>
      <c r="E35" s="576"/>
      <c r="F35" s="555"/>
      <c r="G35" s="554"/>
      <c r="H35" s="555"/>
      <c r="I35" s="576"/>
      <c r="J35" s="555"/>
      <c r="K35" s="581"/>
      <c r="L35" s="2127"/>
      <c r="M35" s="2117"/>
      <c r="N35" s="2117"/>
      <c r="O35" s="2126"/>
      <c r="P35" s="3455"/>
      <c r="Q35" s="1558"/>
      <c r="R35" s="1559"/>
      <c r="S35" s="1560"/>
      <c r="T35" s="1559"/>
      <c r="U35" s="1560"/>
      <c r="V35" s="1559"/>
      <c r="W35" s="1560"/>
      <c r="X35" s="1553"/>
      <c r="Y35" s="3455"/>
      <c r="Z35" s="1561"/>
      <c r="AA35" s="1562">
        <v>1</v>
      </c>
      <c r="AB35" s="1562">
        <v>1</v>
      </c>
      <c r="AC35" s="1562">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2</v>
      </c>
      <c r="L36" s="2127"/>
      <c r="M36" s="2117"/>
      <c r="N36" s="2117"/>
      <c r="O36" s="2126"/>
      <c r="P36" s="3455"/>
      <c r="Q36" s="1558" t="str">
        <f t="shared" si="8"/>
        <v>土地级别</v>
      </c>
      <c r="R36" s="1559" t="s">
        <v>8</v>
      </c>
      <c r="S36" s="1560">
        <f t="shared" si="10"/>
        <v>100</v>
      </c>
      <c r="T36" s="1559" t="s">
        <v>8</v>
      </c>
      <c r="U36" s="1560">
        <f t="shared" si="11"/>
        <v>100</v>
      </c>
      <c r="V36" s="1559" t="s">
        <v>8</v>
      </c>
      <c r="W36" s="1560">
        <f t="shared" si="12"/>
        <v>100</v>
      </c>
      <c r="X36" s="1553"/>
      <c r="Y36" s="3455"/>
      <c r="Z36" s="1561" t="str">
        <f t="shared" si="13"/>
        <v>土地级别</v>
      </c>
      <c r="AA36" s="1562">
        <f t="shared" si="3"/>
        <v>1</v>
      </c>
      <c r="AB36" s="1562">
        <f t="shared" si="4"/>
        <v>1</v>
      </c>
      <c r="AC36" s="1562">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55"/>
      <c r="Q37" s="1558">
        <f t="shared" si="8"/>
        <v>111</v>
      </c>
      <c r="R37" s="1559" t="s">
        <v>8</v>
      </c>
      <c r="S37" s="1560">
        <f t="shared" si="10"/>
        <v>100</v>
      </c>
      <c r="T37" s="1559" t="s">
        <v>8</v>
      </c>
      <c r="U37" s="1560">
        <f t="shared" si="11"/>
        <v>100</v>
      </c>
      <c r="V37" s="1559" t="s">
        <v>8</v>
      </c>
      <c r="W37" s="1560">
        <f t="shared" si="12"/>
        <v>100</v>
      </c>
      <c r="X37" s="1553"/>
      <c r="Y37" s="3455"/>
      <c r="Z37" s="1561">
        <f t="shared" si="13"/>
        <v>111</v>
      </c>
      <c r="AA37" s="1562">
        <f t="shared" si="3"/>
        <v>1</v>
      </c>
      <c r="AB37" s="1562">
        <f t="shared" si="4"/>
        <v>1</v>
      </c>
      <c r="AC37" s="1562">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59" t="s">
        <v>550</v>
      </c>
      <c r="Q38" s="1558">
        <f t="shared" si="8"/>
        <v>111</v>
      </c>
      <c r="R38" s="1559" t="s">
        <v>8</v>
      </c>
      <c r="S38" s="1560">
        <f t="shared" si="10"/>
        <v>100</v>
      </c>
      <c r="T38" s="1559" t="s">
        <v>8</v>
      </c>
      <c r="U38" s="1560">
        <f t="shared" si="11"/>
        <v>100</v>
      </c>
      <c r="V38" s="1559" t="s">
        <v>8</v>
      </c>
      <c r="W38" s="1560">
        <f t="shared" si="12"/>
        <v>100</v>
      </c>
      <c r="X38" s="1553"/>
      <c r="Y38" s="3460" t="s">
        <v>550</v>
      </c>
      <c r="Z38" s="1561">
        <f t="shared" si="13"/>
        <v>111</v>
      </c>
      <c r="AA38" s="1562">
        <f t="shared" si="3"/>
        <v>1</v>
      </c>
      <c r="AB38" s="1562">
        <f t="shared" si="4"/>
        <v>1</v>
      </c>
      <c r="AC38" s="1562">
        <f t="shared" si="5"/>
        <v>1</v>
      </c>
    </row>
    <row r="39" spans="1:29" s="1334"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60"/>
      <c r="Q39" s="1558">
        <f t="shared" si="8"/>
        <v>111</v>
      </c>
      <c r="R39" s="1563" t="s">
        <v>8</v>
      </c>
      <c r="S39" s="1564">
        <f t="shared" si="10"/>
        <v>100</v>
      </c>
      <c r="T39" s="1563" t="s">
        <v>8</v>
      </c>
      <c r="U39" s="1564">
        <f t="shared" si="11"/>
        <v>100</v>
      </c>
      <c r="V39" s="1563" t="s">
        <v>8</v>
      </c>
      <c r="W39" s="1564">
        <f t="shared" si="12"/>
        <v>100</v>
      </c>
      <c r="X39" s="1565"/>
      <c r="Y39" s="3460"/>
      <c r="Z39" s="1566">
        <f t="shared" si="13"/>
        <v>111</v>
      </c>
      <c r="AA39" s="1562">
        <f t="shared" si="3"/>
        <v>1</v>
      </c>
      <c r="AB39" s="1562">
        <f t="shared" si="4"/>
        <v>1</v>
      </c>
      <c r="AC39" s="1562">
        <f t="shared" si="5"/>
        <v>1</v>
      </c>
    </row>
    <row r="40" spans="1:29" ht="21">
      <c r="A40" s="2862" t="s">
        <v>2752</v>
      </c>
      <c r="B40" s="595" t="s">
        <v>552</v>
      </c>
      <c r="C40" s="596">
        <f>'数据-基础表'!A3</f>
        <v>223160.97</v>
      </c>
      <c r="D40" s="597">
        <v>100</v>
      </c>
      <c r="E40" s="596">
        <f>土地案例!D5</f>
        <v>93571.45</v>
      </c>
      <c r="F40" s="597">
        <f>LOOKUP(E40,119:119,120:120)-LOOKUP(C40,119:119,120:120)+100</f>
        <v>96</v>
      </c>
      <c r="G40" s="596">
        <f>土地案例!D6</f>
        <v>77203.399999999994</v>
      </c>
      <c r="H40" s="597">
        <f>LOOKUP(G40,119:119,120:120)-LOOKUP(C40,119:119,120:120)+100</f>
        <v>96</v>
      </c>
      <c r="I40" s="598">
        <f>土地案例!D91</f>
        <v>45889.54</v>
      </c>
      <c r="J40" s="597">
        <f>LOOKUP(I40,119:119,120:120)-LOOKUP(C40,119:119,120:120)+100</f>
        <v>94</v>
      </c>
      <c r="K40" s="581"/>
      <c r="L40" s="2127"/>
      <c r="M40" s="2117"/>
      <c r="N40" s="2117"/>
      <c r="O40" s="2126"/>
      <c r="P40" s="3460"/>
      <c r="Q40" s="1558" t="str">
        <f>B40</f>
        <v>宗地面积</v>
      </c>
      <c r="R40" s="1559" t="s">
        <v>8</v>
      </c>
      <c r="S40" s="1560">
        <f t="shared" si="10"/>
        <v>96</v>
      </c>
      <c r="T40" s="1559" t="s">
        <v>8</v>
      </c>
      <c r="U40" s="1560">
        <f t="shared" si="11"/>
        <v>96</v>
      </c>
      <c r="V40" s="1559" t="s">
        <v>8</v>
      </c>
      <c r="W40" s="1560">
        <f t="shared" si="12"/>
        <v>94</v>
      </c>
      <c r="X40" s="1553"/>
      <c r="Y40" s="3460"/>
      <c r="Z40" s="1561" t="str">
        <f t="shared" si="13"/>
        <v>宗地面积</v>
      </c>
      <c r="AA40" s="1562">
        <f t="shared" si="3"/>
        <v>1.0416666666666667</v>
      </c>
      <c r="AB40" s="1562">
        <f t="shared" si="4"/>
        <v>1.0416666666666667</v>
      </c>
      <c r="AC40" s="1562">
        <f t="shared" si="5"/>
        <v>1.0638297872340425</v>
      </c>
    </row>
    <row r="41" spans="1:29" ht="21">
      <c r="A41" s="594"/>
      <c r="B41" s="527" t="s">
        <v>553</v>
      </c>
      <c r="C41" s="599" t="s">
        <v>3441</v>
      </c>
      <c r="D41" s="540">
        <v>100</v>
      </c>
      <c r="E41" s="599" t="s">
        <v>3441</v>
      </c>
      <c r="F41" s="540">
        <f>SUMIF(121:121,E41,122:122)-SUMIF(121:121,C41,122:122)+100</f>
        <v>100</v>
      </c>
      <c r="G41" s="599" t="s">
        <v>3441</v>
      </c>
      <c r="H41" s="540">
        <f>SUMIF(121:121,G41,122:122)-SUMIF(121:121,C41,122:122)+100</f>
        <v>100</v>
      </c>
      <c r="I41" s="599" t="s">
        <v>3441</v>
      </c>
      <c r="J41" s="540">
        <f>SUMIF(121:121,I41,122:122)-SUMIF(121:121,C41,122:122)+100</f>
        <v>100</v>
      </c>
      <c r="K41" s="584">
        <v>2</v>
      </c>
      <c r="L41" s="2127"/>
      <c r="M41" s="2117"/>
      <c r="N41" s="2117"/>
      <c r="O41" s="2126"/>
      <c r="P41" s="3460"/>
      <c r="Q41" s="1558" t="str">
        <f t="shared" ref="Q41:Q47" si="14">B41</f>
        <v>宗地形状</v>
      </c>
      <c r="R41" s="1559" t="s">
        <v>8</v>
      </c>
      <c r="S41" s="1560">
        <f t="shared" si="10"/>
        <v>100</v>
      </c>
      <c r="T41" s="1559" t="s">
        <v>8</v>
      </c>
      <c r="U41" s="1560">
        <f t="shared" si="11"/>
        <v>100</v>
      </c>
      <c r="V41" s="1559" t="s">
        <v>8</v>
      </c>
      <c r="W41" s="1560">
        <f t="shared" si="12"/>
        <v>100</v>
      </c>
      <c r="X41" s="1553"/>
      <c r="Y41" s="3460"/>
      <c r="Z41" s="1561" t="str">
        <f t="shared" si="13"/>
        <v>宗地形状</v>
      </c>
      <c r="AA41" s="1562">
        <f t="shared" si="3"/>
        <v>1</v>
      </c>
      <c r="AB41" s="1562">
        <f t="shared" si="4"/>
        <v>1</v>
      </c>
      <c r="AC41" s="1562">
        <f t="shared" si="5"/>
        <v>1</v>
      </c>
    </row>
    <row r="42" spans="1:29" ht="21">
      <c r="A42" s="594"/>
      <c r="B42" s="527" t="s">
        <v>554</v>
      </c>
      <c r="C42" s="599" t="s">
        <v>3443</v>
      </c>
      <c r="D42" s="540">
        <v>100</v>
      </c>
      <c r="E42" s="599" t="s">
        <v>3443</v>
      </c>
      <c r="F42" s="540">
        <f>SUMIF(123:123,E42,124:124)-SUMIF(123:123,C42,124:124)+100</f>
        <v>100</v>
      </c>
      <c r="G42" s="599" t="s">
        <v>3443</v>
      </c>
      <c r="H42" s="540">
        <f>SUMIF(123:123,G42,124:124)-SUMIF(123:123,C42,124:124)+100</f>
        <v>100</v>
      </c>
      <c r="I42" s="599" t="s">
        <v>3443</v>
      </c>
      <c r="J42" s="540">
        <f>SUMIF(123:123,I42,124:124)-SUMIF(123:123,C42,124:124)+100</f>
        <v>100</v>
      </c>
      <c r="K42" s="584">
        <v>2</v>
      </c>
      <c r="L42" s="2127"/>
      <c r="M42" s="2117"/>
      <c r="N42" s="2117"/>
      <c r="O42" s="2126"/>
      <c r="P42" s="3460"/>
      <c r="Q42" s="1558" t="str">
        <f t="shared" si="14"/>
        <v>临街宽度及深度</v>
      </c>
      <c r="R42" s="1559" t="s">
        <v>8</v>
      </c>
      <c r="S42" s="1560">
        <f t="shared" si="10"/>
        <v>100</v>
      </c>
      <c r="T42" s="1559" t="s">
        <v>8</v>
      </c>
      <c r="U42" s="1560">
        <f t="shared" si="11"/>
        <v>100</v>
      </c>
      <c r="V42" s="1559" t="s">
        <v>8</v>
      </c>
      <c r="W42" s="1560">
        <f t="shared" si="12"/>
        <v>100</v>
      </c>
      <c r="X42" s="1553"/>
      <c r="Y42" s="3460"/>
      <c r="Z42" s="1561" t="str">
        <f t="shared" si="13"/>
        <v>临街宽度及深度</v>
      </c>
      <c r="AA42" s="1562">
        <f t="shared" si="3"/>
        <v>1</v>
      </c>
      <c r="AB42" s="1562">
        <f t="shared" si="4"/>
        <v>1</v>
      </c>
      <c r="AC42" s="1562">
        <f t="shared" si="5"/>
        <v>1</v>
      </c>
    </row>
    <row r="43" spans="1:29" s="1215" customFormat="1" ht="21">
      <c r="A43" s="600"/>
      <c r="B43" s="1880" t="s">
        <v>2422</v>
      </c>
      <c r="C43" s="601" t="s">
        <v>3445</v>
      </c>
      <c r="D43" s="255">
        <v>100</v>
      </c>
      <c r="E43" s="601" t="s">
        <v>3445</v>
      </c>
      <c r="F43" s="540">
        <f>SUMIF(125:125,E43,126:126)-SUMIF(125:125,C43,126:126)+100</f>
        <v>100</v>
      </c>
      <c r="G43" s="601" t="s">
        <v>3445</v>
      </c>
      <c r="H43" s="540">
        <f>SUMIF(125:125,G43,126:126)-SUMIF(125:125,C43,126:126)+100</f>
        <v>100</v>
      </c>
      <c r="I43" s="601" t="s">
        <v>3445</v>
      </c>
      <c r="J43" s="540">
        <f>SUMIF(125:125,I43,126:126)-SUMIF(125:125,C43,126:126)+100</f>
        <v>100</v>
      </c>
      <c r="K43" s="584">
        <v>2</v>
      </c>
      <c r="L43" s="2120"/>
      <c r="M43" s="2117"/>
      <c r="N43" s="2117"/>
      <c r="O43" s="2122"/>
      <c r="P43" s="3460"/>
      <c r="Q43" s="1558" t="str">
        <f t="shared" si="14"/>
        <v>宗地开发程度</v>
      </c>
      <c r="R43" s="1554" t="s">
        <v>8</v>
      </c>
      <c r="S43" s="1555">
        <f t="shared" si="10"/>
        <v>100</v>
      </c>
      <c r="T43" s="1554" t="s">
        <v>8</v>
      </c>
      <c r="U43" s="1555">
        <f t="shared" si="11"/>
        <v>100</v>
      </c>
      <c r="V43" s="1554" t="s">
        <v>8</v>
      </c>
      <c r="W43" s="1555">
        <f t="shared" si="12"/>
        <v>100</v>
      </c>
      <c r="X43" s="1556"/>
      <c r="Y43" s="3460"/>
      <c r="Z43" s="1145" t="str">
        <f t="shared" si="13"/>
        <v>宗地开发程度</v>
      </c>
      <c r="AA43" s="1557">
        <f t="shared" si="3"/>
        <v>1</v>
      </c>
      <c r="AB43" s="1557">
        <f t="shared" si="4"/>
        <v>1</v>
      </c>
      <c r="AC43" s="1557">
        <f t="shared" si="5"/>
        <v>1</v>
      </c>
    </row>
    <row r="44" spans="1:29" ht="21">
      <c r="A44" s="594"/>
      <c r="B44" s="527" t="s">
        <v>555</v>
      </c>
      <c r="C44" s="599" t="s">
        <v>3429</v>
      </c>
      <c r="D44" s="540">
        <v>100</v>
      </c>
      <c r="E44" s="599" t="s">
        <v>3429</v>
      </c>
      <c r="F44" s="540">
        <f>SUMIF(127:127,E44,128:128)-SUMIF(127:127,C44,128:128)+100</f>
        <v>100</v>
      </c>
      <c r="G44" s="599" t="s">
        <v>3429</v>
      </c>
      <c r="H44" s="540">
        <f>SUMIF(127:127,G44,128:128)-SUMIF(127:127,C44,128:128)+100</f>
        <v>100</v>
      </c>
      <c r="I44" s="599" t="s">
        <v>3429</v>
      </c>
      <c r="J44" s="540">
        <f>SUMIF(127:127,I44,128:128)-SUMIF(127:127,C44,128:128)+100</f>
        <v>100</v>
      </c>
      <c r="K44" s="584">
        <v>2</v>
      </c>
      <c r="L44" s="2127"/>
      <c r="M44" s="2117"/>
      <c r="N44" s="2117"/>
      <c r="O44" s="2126"/>
      <c r="P44" s="3460" t="s">
        <v>550</v>
      </c>
      <c r="Q44" s="1558" t="str">
        <f t="shared" si="14"/>
        <v>工程地质条件</v>
      </c>
      <c r="R44" s="1559" t="s">
        <v>8</v>
      </c>
      <c r="S44" s="1560">
        <f t="shared" si="10"/>
        <v>100</v>
      </c>
      <c r="T44" s="1559" t="s">
        <v>8</v>
      </c>
      <c r="U44" s="1560">
        <f t="shared" si="11"/>
        <v>100</v>
      </c>
      <c r="V44" s="1559" t="s">
        <v>8</v>
      </c>
      <c r="W44" s="1560">
        <f t="shared" si="12"/>
        <v>100</v>
      </c>
      <c r="X44" s="1553"/>
      <c r="Y44" s="3460" t="s">
        <v>550</v>
      </c>
      <c r="Z44" s="1561" t="str">
        <f t="shared" si="13"/>
        <v>工程地质条件</v>
      </c>
      <c r="AA44" s="1562">
        <f t="shared" si="3"/>
        <v>1</v>
      </c>
      <c r="AB44" s="1562">
        <f t="shared" si="4"/>
        <v>1</v>
      </c>
      <c r="AC44" s="1562">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60"/>
      <c r="Q45" s="1558">
        <f t="shared" si="14"/>
        <v>111</v>
      </c>
      <c r="R45" s="1559" t="s">
        <v>8</v>
      </c>
      <c r="S45" s="1560">
        <f t="shared" si="10"/>
        <v>100</v>
      </c>
      <c r="T45" s="1559" t="s">
        <v>8</v>
      </c>
      <c r="U45" s="1560">
        <f t="shared" si="11"/>
        <v>100</v>
      </c>
      <c r="V45" s="1559" t="s">
        <v>8</v>
      </c>
      <c r="W45" s="1560">
        <f t="shared" si="12"/>
        <v>100</v>
      </c>
      <c r="X45" s="1553"/>
      <c r="Y45" s="3460"/>
      <c r="Z45" s="1561">
        <f t="shared" si="13"/>
        <v>111</v>
      </c>
      <c r="AA45" s="1562">
        <f t="shared" si="3"/>
        <v>1</v>
      </c>
      <c r="AB45" s="1562">
        <f t="shared" si="4"/>
        <v>1</v>
      </c>
      <c r="AC45" s="1562">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60"/>
      <c r="Q46" s="1558">
        <f t="shared" si="14"/>
        <v>111</v>
      </c>
      <c r="R46" s="1559" t="s">
        <v>8</v>
      </c>
      <c r="S46" s="1560">
        <f t="shared" si="10"/>
        <v>100</v>
      </c>
      <c r="T46" s="1559" t="s">
        <v>8</v>
      </c>
      <c r="U46" s="1560">
        <f t="shared" si="11"/>
        <v>100</v>
      </c>
      <c r="V46" s="1559" t="s">
        <v>8</v>
      </c>
      <c r="W46" s="1560">
        <f t="shared" si="12"/>
        <v>100</v>
      </c>
      <c r="X46" s="1553"/>
      <c r="Y46" s="3460"/>
      <c r="Z46" s="1561">
        <f t="shared" si="13"/>
        <v>111</v>
      </c>
      <c r="AA46" s="1562">
        <f t="shared" si="3"/>
        <v>1</v>
      </c>
      <c r="AB46" s="1562">
        <f t="shared" si="4"/>
        <v>1</v>
      </c>
      <c r="AC46" s="1562">
        <f t="shared" si="5"/>
        <v>1</v>
      </c>
    </row>
    <row r="47" spans="1:29" s="1334"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60"/>
      <c r="Q47" s="1558">
        <f t="shared" si="14"/>
        <v>111</v>
      </c>
      <c r="R47" s="1563" t="s">
        <v>8</v>
      </c>
      <c r="S47" s="1564">
        <f t="shared" si="10"/>
        <v>100</v>
      </c>
      <c r="T47" s="1563" t="s">
        <v>8</v>
      </c>
      <c r="U47" s="1564">
        <f t="shared" si="11"/>
        <v>100</v>
      </c>
      <c r="V47" s="1563" t="s">
        <v>8</v>
      </c>
      <c r="W47" s="1564">
        <f t="shared" si="12"/>
        <v>100</v>
      </c>
      <c r="X47" s="1565"/>
      <c r="Y47" s="3460"/>
      <c r="Z47" s="1566">
        <f t="shared" si="13"/>
        <v>111</v>
      </c>
      <c r="AA47" s="1562">
        <f t="shared" si="3"/>
        <v>1</v>
      </c>
      <c r="AB47" s="1562">
        <f t="shared" si="4"/>
        <v>1</v>
      </c>
      <c r="AC47" s="1562">
        <f t="shared" si="5"/>
        <v>1</v>
      </c>
    </row>
    <row r="48" spans="1:29" ht="21">
      <c r="A48" s="607" t="s">
        <v>556</v>
      </c>
      <c r="B48" s="608" t="s">
        <v>3432</v>
      </c>
      <c r="C48" s="609" t="s">
        <v>1</v>
      </c>
      <c r="D48" s="610"/>
      <c r="E48" s="611">
        <f>土地案例!K5</f>
        <v>4766.3999999999996</v>
      </c>
      <c r="F48" s="612"/>
      <c r="G48" s="613">
        <f>土地案例!K6</f>
        <v>5730.02</v>
      </c>
      <c r="H48" s="614"/>
      <c r="I48" s="611">
        <f>土地案例!K91</f>
        <v>6240.27</v>
      </c>
      <c r="J48" s="614"/>
      <c r="K48" s="1335"/>
      <c r="L48" s="2129"/>
      <c r="M48" s="2117"/>
      <c r="N48" s="2117"/>
      <c r="O48" s="2130"/>
      <c r="P48" s="3452" t="str">
        <f>A48</f>
        <v>成交单价</v>
      </c>
      <c r="Q48" s="3452"/>
      <c r="R48" s="3461">
        <f>E48</f>
        <v>4766.3999999999996</v>
      </c>
      <c r="S48" s="3461"/>
      <c r="T48" s="3461">
        <f>G48</f>
        <v>5730.02</v>
      </c>
      <c r="U48" s="3461"/>
      <c r="V48" s="3461">
        <f>I48</f>
        <v>6240.27</v>
      </c>
      <c r="W48" s="3461"/>
      <c r="X48" s="1545"/>
      <c r="Y48" s="1567"/>
      <c r="Z48" s="1545"/>
      <c r="AA48" s="1545"/>
      <c r="AB48" s="1545"/>
      <c r="AC48" s="1545"/>
    </row>
    <row r="49" spans="1:29" ht="21.6" thickBot="1">
      <c r="A49" s="615" t="s">
        <v>2690</v>
      </c>
      <c r="B49" s="616"/>
      <c r="C49" s="617">
        <f>R50</f>
        <v>5869</v>
      </c>
      <c r="D49" s="618"/>
      <c r="E49" s="617">
        <f>R49</f>
        <v>4772</v>
      </c>
      <c r="F49" s="619"/>
      <c r="G49" s="620">
        <f>T49</f>
        <v>5911</v>
      </c>
      <c r="H49" s="618"/>
      <c r="I49" s="617">
        <f>V49</f>
        <v>6924</v>
      </c>
      <c r="J49" s="618"/>
      <c r="K49" s="1336"/>
      <c r="L49" s="2129"/>
      <c r="M49" s="2117"/>
      <c r="N49" s="2117"/>
      <c r="O49" s="2130"/>
      <c r="P49" s="3452" t="str">
        <f>A49</f>
        <v>比较价格（元/平方米）</v>
      </c>
      <c r="Q49" s="3452"/>
      <c r="R49" s="3453">
        <f>ROUND(PRODUCT(R48,AA9:AA47),0)</f>
        <v>4772</v>
      </c>
      <c r="S49" s="3453"/>
      <c r="T49" s="3453">
        <f>ROUND(PRODUCT(T48,AB9:AB47),0)</f>
        <v>5911</v>
      </c>
      <c r="U49" s="3453"/>
      <c r="V49" s="3453">
        <f>ROUND(PRODUCT(V48,AC9:AC47),0)</f>
        <v>6924</v>
      </c>
      <c r="W49" s="3453"/>
      <c r="X49" s="1545"/>
      <c r="Y49" s="1545"/>
      <c r="Z49" s="1545"/>
      <c r="AA49" s="1545"/>
      <c r="AB49" s="1545"/>
      <c r="AC49" s="1545"/>
    </row>
    <row r="50" spans="1:29" ht="21.6" thickBot="1">
      <c r="A50" s="621" t="s">
        <v>2929</v>
      </c>
      <c r="B50" s="622"/>
      <c r="C50" s="623">
        <f>R50</f>
        <v>5869</v>
      </c>
      <c r="D50" s="623"/>
      <c r="E50" s="623"/>
      <c r="F50" s="623"/>
      <c r="G50" s="623"/>
      <c r="H50" s="623"/>
      <c r="I50" s="623"/>
      <c r="J50" s="623"/>
      <c r="K50" s="1337"/>
      <c r="L50" s="2129"/>
      <c r="M50" s="2117"/>
      <c r="N50" s="2117"/>
      <c r="O50" s="2130"/>
      <c r="P50" s="3456" t="str">
        <f>A50</f>
        <v>估价对象XX用房的比较价格（楼面单价，元/平方米）</v>
      </c>
      <c r="Q50" s="3457"/>
      <c r="R50" s="3458">
        <f>ROUND(AVERAGE(R49:V49),0)</f>
        <v>5869</v>
      </c>
      <c r="S50" s="3458"/>
      <c r="T50" s="3458"/>
      <c r="U50" s="3458"/>
      <c r="V50" s="3458"/>
      <c r="W50" s="3458"/>
      <c r="X50" s="1545"/>
      <c r="Y50" s="1545"/>
      <c r="Z50" s="1545"/>
      <c r="AA50" s="1545"/>
      <c r="AB50" s="1545"/>
      <c r="AC50" s="1545"/>
    </row>
    <row r="51" spans="1:29" ht="21">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1.1748909029876131E-3</v>
      </c>
      <c r="F53" s="627" t="str">
        <f>IF(OR(E53&gt;=0.3,E53&lt;=-0.3),"超过30%","")</f>
        <v/>
      </c>
      <c r="G53" s="626">
        <f>IF(G48&lt;G49,G49/G48-1,G48/G49-1)</f>
        <v>3.158453199116229E-2</v>
      </c>
      <c r="H53" s="627" t="str">
        <f>IF(OR(G53&gt;=0.3,G53&lt;=-0.3),"超过30%","")</f>
        <v/>
      </c>
      <c r="I53" s="626">
        <f>IF(I48&lt;I49,I49/I48-1,I48/I49-1)</f>
        <v>0.10956737448860387</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0.23868398994132445</v>
      </c>
      <c r="F54" s="627" t="str">
        <f>IF(OR(E54&gt;=0.2,E54&lt;=-0.2),"超过20%","")</f>
        <v>超过20%</v>
      </c>
      <c r="G54" s="626">
        <f>IF(G49&lt;I49,I49/G49-1,G49/I49-1)</f>
        <v>0.17137540179326671</v>
      </c>
      <c r="H54" s="627" t="str">
        <f>IF(OR(G54&gt;=0.2,G54&lt;=-0.2),"超过20%","")</f>
        <v/>
      </c>
      <c r="I54" s="626">
        <f>IF(I49&lt;E49,E49/I49-1,I49/E49-1)</f>
        <v>0.45096395641240572</v>
      </c>
      <c r="J54" s="627" t="str">
        <f>IF(OR(I54&gt;=0.2,I54&lt;=-0.2),"超过20%","")</f>
        <v>超过20%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0.20216935213158793</v>
      </c>
      <c r="F55" s="627" t="str">
        <f>IF(OR(E55&gt;=0.3,E55&lt;=-0.3),"超过30%","")</f>
        <v/>
      </c>
      <c r="G55" s="626">
        <f>IF(G48&lt;I48,I48/G48-1,G48/I48-1)</f>
        <v>8.9048554804346258E-2</v>
      </c>
      <c r="H55" s="627" t="str">
        <f>IF(OR(G55&gt;=0.3,G55&lt;=-0.3),"超过30%","")</f>
        <v/>
      </c>
      <c r="I55" s="626">
        <f>IF(I48&lt;E48,E48/I48-1,I48/E48-1)</f>
        <v>0.30922079556898296</v>
      </c>
      <c r="J55" s="627" t="str">
        <f>IF(OR(I55&gt;=0.3,I55&lt;=-0.3),"超过30%","")</f>
        <v>超过30%</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6"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2291</v>
      </c>
      <c r="E57" s="631" t="s">
        <v>562</v>
      </c>
      <c r="F57" s="632" t="s">
        <v>563</v>
      </c>
      <c r="G57" s="3447" t="s">
        <v>2279</v>
      </c>
      <c r="H57" s="3448"/>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3.2">
      <c r="A58" s="633" t="s">
        <v>564</v>
      </c>
      <c r="B58" s="634">
        <f>C50</f>
        <v>5869</v>
      </c>
      <c r="C58" s="635">
        <v>1</v>
      </c>
      <c r="D58" s="2213">
        <v>1</v>
      </c>
      <c r="E58" s="635">
        <f>'数据-汇总表'!E8+'数据-汇总表'!E9</f>
        <v>768036</v>
      </c>
      <c r="F58" s="636">
        <f t="shared" ref="F58:F67" si="15">ROUND(B58*E58/10000,0)</f>
        <v>450760</v>
      </c>
      <c r="G58" s="3449"/>
      <c r="H58" s="3450"/>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565</v>
      </c>
      <c r="B59" s="638">
        <f>ROUND($C$50*C59*D59,0)</f>
        <v>0</v>
      </c>
      <c r="C59" s="378">
        <f t="shared" ref="C59:C67" si="16">IF($C$57="北京市系数",I59,J59)</f>
        <v>0</v>
      </c>
      <c r="D59" s="2214">
        <v>0.25</v>
      </c>
      <c r="E59" s="639">
        <v>0</v>
      </c>
      <c r="F59" s="636">
        <f t="shared" si="15"/>
        <v>0</v>
      </c>
      <c r="G59" s="3451" t="s">
        <v>2280</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566</v>
      </c>
      <c r="B60" s="638">
        <f t="shared" ref="B60:B67" si="17">ROUND($C$50*C60*D60,0)</f>
        <v>0</v>
      </c>
      <c r="C60" s="378">
        <f t="shared" si="16"/>
        <v>0</v>
      </c>
      <c r="D60" s="2214">
        <v>0.25</v>
      </c>
      <c r="E60" s="639">
        <v>0</v>
      </c>
      <c r="F60" s="636">
        <f t="shared" si="15"/>
        <v>0</v>
      </c>
      <c r="G60" s="3451"/>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567</v>
      </c>
      <c r="B61" s="638">
        <f t="shared" si="17"/>
        <v>0</v>
      </c>
      <c r="C61" s="378">
        <f t="shared" si="16"/>
        <v>0</v>
      </c>
      <c r="D61" s="2214">
        <v>0.25</v>
      </c>
      <c r="E61" s="639">
        <v>0</v>
      </c>
      <c r="F61" s="636">
        <f t="shared" si="15"/>
        <v>0</v>
      </c>
      <c r="G61" s="3451"/>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2">
      <c r="A62" s="637" t="s">
        <v>568</v>
      </c>
      <c r="B62" s="638">
        <f t="shared" si="17"/>
        <v>0</v>
      </c>
      <c r="C62" s="378">
        <f t="shared" si="16"/>
        <v>0</v>
      </c>
      <c r="D62" s="2214">
        <v>0.25</v>
      </c>
      <c r="E62" s="639">
        <v>0</v>
      </c>
      <c r="F62" s="636">
        <f t="shared" si="15"/>
        <v>0</v>
      </c>
      <c r="G62" s="3451"/>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2">
      <c r="A63" s="2316" t="s">
        <v>2326</v>
      </c>
      <c r="B63" s="638">
        <f t="shared" si="17"/>
        <v>0</v>
      </c>
      <c r="C63" s="378">
        <f t="shared" si="16"/>
        <v>0</v>
      </c>
      <c r="D63" s="2214">
        <v>0.25</v>
      </c>
      <c r="E63" s="641">
        <f>'数据-汇总表'!E11</f>
        <v>0</v>
      </c>
      <c r="F63" s="636">
        <f t="shared" si="15"/>
        <v>0</v>
      </c>
      <c r="G63" s="1930" t="s">
        <v>2281</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3.2">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3.2">
      <c r="A65" s="637" t="s">
        <v>570</v>
      </c>
      <c r="B65" s="638">
        <f t="shared" si="17"/>
        <v>0</v>
      </c>
      <c r="C65" s="378">
        <f t="shared" si="16"/>
        <v>0</v>
      </c>
      <c r="D65" s="2214">
        <v>0.25</v>
      </c>
      <c r="E65" s="641">
        <f>'数据-汇总表'!E13</f>
        <v>0</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3.2">
      <c r="A66" s="637" t="s">
        <v>571</v>
      </c>
      <c r="B66" s="638">
        <f t="shared" si="17"/>
        <v>0</v>
      </c>
      <c r="C66" s="378">
        <f t="shared" si="16"/>
        <v>0</v>
      </c>
      <c r="D66" s="2214">
        <v>0.25</v>
      </c>
      <c r="E66" s="641">
        <f>'数据-汇总表'!E14</f>
        <v>0</v>
      </c>
      <c r="F66" s="636">
        <f t="shared" si="15"/>
        <v>0</v>
      </c>
      <c r="G66" s="1930" t="s">
        <v>2280</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thickBot="1">
      <c r="A67" s="637" t="s">
        <v>572</v>
      </c>
      <c r="B67" s="638">
        <f t="shared" si="17"/>
        <v>0</v>
      </c>
      <c r="C67" s="378">
        <f t="shared" si="16"/>
        <v>0</v>
      </c>
      <c r="D67" s="2214">
        <v>0.25</v>
      </c>
      <c r="E67" s="641">
        <f>'数据-汇总表'!E15</f>
        <v>0</v>
      </c>
      <c r="F67" s="636">
        <f t="shared" si="15"/>
        <v>0</v>
      </c>
      <c r="G67" s="1932" t="s">
        <v>2281</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thickBot="1">
      <c r="A68" s="642" t="s">
        <v>573</v>
      </c>
      <c r="B68" s="643" t="s">
        <v>17</v>
      </c>
      <c r="C68" s="643" t="s">
        <v>18</v>
      </c>
      <c r="D68" s="643" t="s">
        <v>2292</v>
      </c>
      <c r="E68" s="643">
        <f>IF(B48="楼面地价",SUM(E58:E67),'数据-汇总表'!D3)</f>
        <v>768036</v>
      </c>
      <c r="F68" s="644">
        <f>IF(B48="楼面地价",SUM(F58:F67),ROUND(C50*E68/10000,0))</f>
        <v>450760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2020-3-1</v>
      </c>
      <c r="D70" s="2754">
        <f>EDATE(C70,-3)</f>
        <v>43800</v>
      </c>
      <c r="E70" s="2754">
        <f t="shared" ref="E70:N70" si="18">EDATE(D70,-3)</f>
        <v>43709</v>
      </c>
      <c r="F70" s="2754">
        <f t="shared" si="18"/>
        <v>43617</v>
      </c>
      <c r="G70" s="2754">
        <f t="shared" si="18"/>
        <v>43525</v>
      </c>
      <c r="H70" s="2754">
        <f t="shared" si="18"/>
        <v>43435</v>
      </c>
      <c r="I70" s="2754">
        <f t="shared" si="18"/>
        <v>43344</v>
      </c>
      <c r="J70" s="2754">
        <f t="shared" si="18"/>
        <v>43252</v>
      </c>
      <c r="K70" s="2754">
        <f t="shared" si="18"/>
        <v>43160</v>
      </c>
      <c r="L70" s="2754">
        <f t="shared" si="18"/>
        <v>43070</v>
      </c>
      <c r="M70" s="2754">
        <f t="shared" si="18"/>
        <v>42979</v>
      </c>
      <c r="N70" s="2754">
        <f t="shared" si="18"/>
        <v>42887</v>
      </c>
      <c r="O70" s="2130"/>
      <c r="P70" s="2130"/>
      <c r="Q70" s="2130"/>
      <c r="R70" s="2130"/>
      <c r="S70" s="2130"/>
      <c r="T70" s="2130"/>
      <c r="U70" s="2130"/>
      <c r="V70" s="2130"/>
      <c r="W70" s="2130"/>
      <c r="X70" s="2130"/>
      <c r="Y70" s="2130"/>
      <c r="Z70" s="2130"/>
      <c r="AA70" s="2130"/>
      <c r="AB70" s="2130"/>
      <c r="AC70" s="2130"/>
    </row>
    <row r="71" spans="1:29" ht="22.2"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4.4">
      <c r="A72" s="2532" t="s">
        <v>2530</v>
      </c>
      <c r="B72" s="2533"/>
      <c r="C72" s="2750"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2644</v>
      </c>
      <c r="B73" s="479" t="str">
        <f>"北京市平均增长率"&amp;TEXT(SUMIF(基准地价!N21:N25,A73,基准地价!P21:P25),"0.00%")</f>
        <v>北京市平均增长率1.90%</v>
      </c>
      <c r="C73" s="893">
        <v>100</v>
      </c>
      <c r="D73" s="730">
        <v>99</v>
      </c>
      <c r="E73" s="730">
        <v>98</v>
      </c>
      <c r="F73" s="730">
        <v>97</v>
      </c>
      <c r="G73" s="730">
        <v>96</v>
      </c>
      <c r="H73" s="730">
        <v>95</v>
      </c>
      <c r="I73" s="730">
        <v>94</v>
      </c>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4.4">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577</v>
      </c>
      <c r="B77" s="665" t="s">
        <v>534</v>
      </c>
      <c r="C77" s="3194" t="s">
        <v>3439</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1"/>
      <c r="O83" s="2151"/>
      <c r="P83" s="2150"/>
      <c r="Q83" s="2143"/>
      <c r="R83" s="2130"/>
      <c r="S83" s="2130"/>
      <c r="T83" s="2130"/>
      <c r="U83" s="2130"/>
      <c r="V83" s="2130"/>
      <c r="W83" s="2130"/>
      <c r="X83" s="2130"/>
      <c r="Y83" s="2130"/>
      <c r="Z83" s="2130"/>
      <c r="AA83" s="2130"/>
      <c r="AB83" s="2130"/>
      <c r="AC83" s="2130"/>
    </row>
    <row r="84" spans="1:29" s="1334" customFormat="1" ht="1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4.4"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4.4"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4.4"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4.4"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 thickTop="1">
      <c r="A102" s="687"/>
      <c r="B102" s="1881"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 thickTop="1">
      <c r="A104" s="687"/>
      <c r="B104" s="2561" t="s">
        <v>2548</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4.4"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79">
        <v>100</v>
      </c>
      <c r="D111" s="679">
        <f>C111-$K36</f>
        <v>98</v>
      </c>
      <c r="E111" s="679">
        <f t="shared" ref="E111:M111" si="24">D111-$K36</f>
        <v>96</v>
      </c>
      <c r="F111" s="679">
        <f t="shared" si="24"/>
        <v>94</v>
      </c>
      <c r="G111" s="679">
        <f t="shared" si="24"/>
        <v>92</v>
      </c>
      <c r="H111" s="679">
        <f t="shared" si="24"/>
        <v>90</v>
      </c>
      <c r="I111" s="679">
        <f t="shared" si="24"/>
        <v>88</v>
      </c>
      <c r="J111" s="679">
        <f t="shared" si="24"/>
        <v>86</v>
      </c>
      <c r="K111" s="679">
        <f t="shared" si="24"/>
        <v>84</v>
      </c>
      <c r="L111" s="679">
        <f t="shared" si="24"/>
        <v>82</v>
      </c>
      <c r="M111" s="679">
        <f t="shared" si="24"/>
        <v>80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4.4"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4.4"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7.6">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v>
      </c>
      <c r="H118" s="704" t="str">
        <f t="shared" si="25"/>
        <v>(含)-</v>
      </c>
      <c r="I118" s="704" t="str">
        <f t="shared" si="25"/>
        <v>(含)-</v>
      </c>
      <c r="J118" s="3042" t="str">
        <f t="shared" si="25"/>
        <v>(含)-</v>
      </c>
      <c r="K118" s="3042" t="str">
        <f t="shared" si="25"/>
        <v>(含)-</v>
      </c>
      <c r="L118" s="3043" t="str">
        <f t="shared" si="25"/>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50000</v>
      </c>
      <c r="E119" s="730">
        <v>100000</v>
      </c>
      <c r="F119" s="730">
        <v>150000</v>
      </c>
      <c r="G119" s="730">
        <v>200000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100</v>
      </c>
      <c r="D120" s="726">
        <v>102</v>
      </c>
      <c r="E120" s="726">
        <v>104</v>
      </c>
      <c r="F120" s="726">
        <v>106</v>
      </c>
      <c r="G120" s="726">
        <v>106</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203" t="s">
        <v>3442</v>
      </c>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3204" t="s">
        <v>3444</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2423</v>
      </c>
      <c r="C125" s="3205" t="s">
        <v>3446</v>
      </c>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4.4"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204" t="s">
        <v>3447</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4.4">
      <c r="A6" s="512" t="s">
        <v>521</v>
      </c>
      <c r="B6" s="513"/>
      <c r="C6" s="3474" t="s">
        <v>522</v>
      </c>
      <c r="D6" s="3475"/>
      <c r="E6" s="3495" t="s">
        <v>523</v>
      </c>
      <c r="F6" s="3496"/>
      <c r="G6" s="3474" t="s">
        <v>524</v>
      </c>
      <c r="H6" s="3475"/>
      <c r="I6" s="3474" t="s">
        <v>525</v>
      </c>
      <c r="J6" s="3475"/>
      <c r="K6" s="514" t="s">
        <v>526</v>
      </c>
      <c r="L6" s="2118"/>
      <c r="M6" s="2119"/>
      <c r="N6" s="2119"/>
      <c r="O6" s="2119"/>
      <c r="P6" s="3476" t="s">
        <v>527</v>
      </c>
      <c r="Q6" s="3477"/>
      <c r="R6" s="3464" t="s">
        <v>523</v>
      </c>
      <c r="S6" s="3465"/>
      <c r="T6" s="3464" t="s">
        <v>524</v>
      </c>
      <c r="U6" s="3465"/>
      <c r="V6" s="3461" t="s">
        <v>525</v>
      </c>
      <c r="W6" s="3461"/>
      <c r="X6" s="1553"/>
      <c r="Y6" s="3464" t="s">
        <v>527</v>
      </c>
      <c r="Z6" s="3465"/>
      <c r="AA6" s="3470" t="s">
        <v>523</v>
      </c>
      <c r="AB6" s="3471" t="s">
        <v>524</v>
      </c>
      <c r="AC6" s="3470" t="s">
        <v>525</v>
      </c>
    </row>
    <row r="7" spans="1:29">
      <c r="A7" s="515"/>
      <c r="B7" s="516"/>
      <c r="C7" s="3482" t="s">
        <v>2923</v>
      </c>
      <c r="D7" s="3483"/>
      <c r="E7" s="3497" t="s">
        <v>2924</v>
      </c>
      <c r="F7" s="3498"/>
      <c r="G7" s="3482" t="s">
        <v>2925</v>
      </c>
      <c r="H7" s="3483"/>
      <c r="I7" s="3482" t="s">
        <v>2926</v>
      </c>
      <c r="J7" s="3483"/>
      <c r="K7" s="514"/>
      <c r="L7" s="2118"/>
      <c r="M7" s="2119"/>
      <c r="N7" s="2119"/>
      <c r="O7" s="2119"/>
      <c r="P7" s="3478"/>
      <c r="Q7" s="3479"/>
      <c r="R7" s="3466"/>
      <c r="S7" s="3467"/>
      <c r="T7" s="3466"/>
      <c r="U7" s="3467"/>
      <c r="V7" s="3461"/>
      <c r="W7" s="3461"/>
      <c r="X7" s="1553"/>
      <c r="Y7" s="3466"/>
      <c r="Z7" s="3467"/>
      <c r="AA7" s="3471"/>
      <c r="AB7" s="3471"/>
      <c r="AC7" s="3471"/>
    </row>
    <row r="8" spans="1:29" ht="15" thickBot="1">
      <c r="A8" s="517"/>
      <c r="B8" s="518"/>
      <c r="C8" s="3488" t="s">
        <v>2927</v>
      </c>
      <c r="D8" s="3489"/>
      <c r="E8" s="3499" t="s">
        <v>2927</v>
      </c>
      <c r="F8" s="3500"/>
      <c r="G8" s="3488" t="s">
        <v>2927</v>
      </c>
      <c r="H8" s="3489"/>
      <c r="I8" s="3488" t="s">
        <v>2927</v>
      </c>
      <c r="J8" s="3489"/>
      <c r="K8" s="514" t="s">
        <v>528</v>
      </c>
      <c r="L8" s="2118"/>
      <c r="M8" s="2119"/>
      <c r="N8" s="2119"/>
      <c r="O8" s="2119"/>
      <c r="P8" s="3480"/>
      <c r="Q8" s="3481"/>
      <c r="R8" s="3466"/>
      <c r="S8" s="3467"/>
      <c r="T8" s="3468"/>
      <c r="U8" s="3469"/>
      <c r="V8" s="3461"/>
      <c r="W8" s="3461"/>
      <c r="X8" s="1553"/>
      <c r="Y8" s="3468"/>
      <c r="Z8" s="3469"/>
      <c r="AA8" s="3472"/>
      <c r="AB8" s="3472"/>
      <c r="AC8" s="3472"/>
    </row>
    <row r="9" spans="1:29" s="1215" customFormat="1" ht="15" thickBot="1">
      <c r="A9" s="2867"/>
      <c r="B9" s="2874" t="s">
        <v>529</v>
      </c>
      <c r="C9" s="519">
        <f>'数据-取费表'!B2</f>
        <v>43902</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62" t="s">
        <v>530</v>
      </c>
      <c r="Q9" s="3473"/>
      <c r="R9" s="1554" t="s">
        <v>8</v>
      </c>
      <c r="S9" s="1555">
        <f t="shared" ref="S9:S17" si="0">F9</f>
        <v>0</v>
      </c>
      <c r="T9" s="1554" t="s">
        <v>8</v>
      </c>
      <c r="U9" s="1555">
        <f t="shared" ref="U9:U17" si="1">H9</f>
        <v>0</v>
      </c>
      <c r="V9" s="1554" t="s">
        <v>8</v>
      </c>
      <c r="W9" s="1555">
        <f t="shared" ref="W9:W17" si="2">J9</f>
        <v>0</v>
      </c>
      <c r="X9" s="1556"/>
      <c r="Y9" s="3462" t="s">
        <v>530</v>
      </c>
      <c r="Z9" s="3463"/>
      <c r="AA9" s="1557" t="e">
        <f>D9/F9</f>
        <v>#DIV/0!</v>
      </c>
      <c r="AB9" s="1557" t="e">
        <f>D9/H9</f>
        <v>#DIV/0!</v>
      </c>
      <c r="AC9" s="1557" t="e">
        <f>D9/J9</f>
        <v>#DIV/0!</v>
      </c>
    </row>
    <row r="10" spans="1:29" s="1215" customFormat="1" ht="1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62" t="s">
        <v>533</v>
      </c>
      <c r="Q10" s="3463"/>
      <c r="R10" s="1554" t="s">
        <v>8</v>
      </c>
      <c r="S10" s="1555">
        <f t="shared" si="0"/>
        <v>0</v>
      </c>
      <c r="T10" s="1554" t="s">
        <v>8</v>
      </c>
      <c r="U10" s="1555">
        <f t="shared" si="1"/>
        <v>0</v>
      </c>
      <c r="V10" s="1554" t="s">
        <v>8</v>
      </c>
      <c r="W10" s="1555">
        <f t="shared" si="2"/>
        <v>0</v>
      </c>
      <c r="X10" s="1556"/>
      <c r="Y10" s="3462" t="s">
        <v>533</v>
      </c>
      <c r="Z10" s="3463"/>
      <c r="AA10" s="1557" t="e">
        <f t="shared" ref="AA10:AA42" si="3">D10/F10</f>
        <v>#DIV/0!</v>
      </c>
      <c r="AB10" s="1557" t="e">
        <f t="shared" ref="AB10:AB42" si="4">D10/H10</f>
        <v>#DIV/0!</v>
      </c>
      <c r="AC10" s="1557" t="e">
        <f t="shared" ref="AC10:AC42" si="5">D10/J10</f>
        <v>#DIV/0!</v>
      </c>
    </row>
    <row r="11" spans="1:29" s="1215" customFormat="1" ht="14.4">
      <c r="A11" s="2869"/>
      <c r="B11" s="2876" t="s">
        <v>2753</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52" t="s">
        <v>535</v>
      </c>
      <c r="Q11" s="1146" t="str">
        <f t="shared" ref="Q11:Q17" si="6">B11</f>
        <v>用途</v>
      </c>
      <c r="R11" s="1554" t="s">
        <v>8</v>
      </c>
      <c r="S11" s="1555">
        <f t="shared" si="0"/>
        <v>100</v>
      </c>
      <c r="T11" s="1554" t="s">
        <v>8</v>
      </c>
      <c r="U11" s="1555">
        <f t="shared" si="1"/>
        <v>100</v>
      </c>
      <c r="V11" s="1554" t="s">
        <v>8</v>
      </c>
      <c r="W11" s="1555">
        <f t="shared" si="2"/>
        <v>100</v>
      </c>
      <c r="X11" s="1556"/>
      <c r="Y11" s="3416" t="s">
        <v>536</v>
      </c>
      <c r="Z11" s="1145" t="str">
        <f t="shared" ref="Z11:Z17" si="7">Q11</f>
        <v>用途</v>
      </c>
      <c r="AA11" s="1557">
        <f t="shared" si="3"/>
        <v>1</v>
      </c>
      <c r="AB11" s="1557">
        <f t="shared" si="4"/>
        <v>1</v>
      </c>
      <c r="AC11" s="1557">
        <f t="shared" si="5"/>
        <v>1</v>
      </c>
    </row>
    <row r="12" spans="1:29" s="1333" customFormat="1" ht="28.8">
      <c r="A12" s="2870"/>
      <c r="B12" s="2875" t="s">
        <v>2754</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452"/>
      <c r="Q12" s="1146" t="str">
        <f t="shared" si="6"/>
        <v>土地使用年限（年）</v>
      </c>
      <c r="R12" s="1554" t="s">
        <v>8</v>
      </c>
      <c r="S12" s="1555">
        <f t="shared" si="0"/>
        <v>100</v>
      </c>
      <c r="T12" s="1554" t="s">
        <v>8</v>
      </c>
      <c r="U12" s="1555">
        <f t="shared" si="1"/>
        <v>100</v>
      </c>
      <c r="V12" s="1554" t="s">
        <v>8</v>
      </c>
      <c r="W12" s="1555">
        <f t="shared" si="2"/>
        <v>100</v>
      </c>
      <c r="X12" s="1556"/>
      <c r="Y12" s="3416"/>
      <c r="Z12" s="1145" t="str">
        <f t="shared" si="7"/>
        <v>土地使用年限（年）</v>
      </c>
      <c r="AA12" s="1557">
        <f t="shared" si="3"/>
        <v>1</v>
      </c>
      <c r="AB12" s="1557">
        <f t="shared" si="4"/>
        <v>1</v>
      </c>
      <c r="AC12" s="1557">
        <f t="shared" si="5"/>
        <v>1</v>
      </c>
    </row>
    <row r="13" spans="1:29" ht="15">
      <c r="A13" s="2871"/>
      <c r="B13" s="2875"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52"/>
      <c r="Q13" s="1146" t="str">
        <f t="shared" si="6"/>
        <v>容积率</v>
      </c>
      <c r="R13" s="1554" t="s">
        <v>8</v>
      </c>
      <c r="S13" s="1555" t="e">
        <f t="shared" si="0"/>
        <v>#N/A</v>
      </c>
      <c r="T13" s="1554" t="s">
        <v>8</v>
      </c>
      <c r="U13" s="1555" t="e">
        <f t="shared" si="1"/>
        <v>#N/A</v>
      </c>
      <c r="V13" s="1554" t="s">
        <v>8</v>
      </c>
      <c r="W13" s="1555" t="e">
        <f t="shared" si="2"/>
        <v>#N/A</v>
      </c>
      <c r="X13" s="1556"/>
      <c r="Y13" s="3416"/>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52"/>
      <c r="Q14" s="1146">
        <f t="shared" si="6"/>
        <v>111</v>
      </c>
      <c r="R14" s="1554" t="s">
        <v>8</v>
      </c>
      <c r="S14" s="1555">
        <f t="shared" si="0"/>
        <v>100</v>
      </c>
      <c r="T14" s="1554" t="s">
        <v>8</v>
      </c>
      <c r="U14" s="1555">
        <f t="shared" si="1"/>
        <v>100</v>
      </c>
      <c r="V14" s="1554" t="s">
        <v>8</v>
      </c>
      <c r="W14" s="1555">
        <f t="shared" si="2"/>
        <v>100</v>
      </c>
      <c r="X14" s="1556"/>
      <c r="Y14" s="3416"/>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52"/>
      <c r="Q15" s="1146">
        <f t="shared" si="6"/>
        <v>111</v>
      </c>
      <c r="R15" s="1554" t="s">
        <v>8</v>
      </c>
      <c r="S15" s="1555">
        <f t="shared" si="0"/>
        <v>100</v>
      </c>
      <c r="T15" s="1554" t="s">
        <v>8</v>
      </c>
      <c r="U15" s="1555">
        <f t="shared" si="1"/>
        <v>100</v>
      </c>
      <c r="V15" s="1554" t="s">
        <v>8</v>
      </c>
      <c r="W15" s="1555">
        <f t="shared" si="2"/>
        <v>100</v>
      </c>
      <c r="X15" s="1556"/>
      <c r="Y15" s="3416"/>
      <c r="Z15" s="1145">
        <f t="shared" si="7"/>
        <v>111</v>
      </c>
      <c r="AA15" s="1557">
        <f t="shared" si="3"/>
        <v>1</v>
      </c>
      <c r="AB15" s="1557">
        <f t="shared" si="4"/>
        <v>1</v>
      </c>
      <c r="AC15" s="1557">
        <f t="shared" si="5"/>
        <v>1</v>
      </c>
    </row>
    <row r="16" spans="1:29" ht="15.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52"/>
      <c r="Q16" s="1146">
        <f t="shared" si="6"/>
        <v>111</v>
      </c>
      <c r="R16" s="1554" t="s">
        <v>8</v>
      </c>
      <c r="S16" s="1555">
        <f t="shared" si="0"/>
        <v>100</v>
      </c>
      <c r="T16" s="1554" t="s">
        <v>8</v>
      </c>
      <c r="U16" s="1555">
        <f t="shared" si="1"/>
        <v>100</v>
      </c>
      <c r="V16" s="1554" t="s">
        <v>8</v>
      </c>
      <c r="W16" s="1555">
        <f t="shared" si="2"/>
        <v>100</v>
      </c>
      <c r="X16" s="1556"/>
      <c r="Y16" s="3416"/>
      <c r="Z16" s="1145">
        <f t="shared" si="7"/>
        <v>111</v>
      </c>
      <c r="AA16" s="1557">
        <f t="shared" si="3"/>
        <v>1</v>
      </c>
      <c r="AB16" s="1557">
        <f t="shared" si="4"/>
        <v>1</v>
      </c>
      <c r="AC16" s="1557">
        <f t="shared" si="5"/>
        <v>1</v>
      </c>
    </row>
    <row r="17" spans="1:29" ht="69">
      <c r="A17" s="2865" t="s">
        <v>2751</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54" t="s">
        <v>540</v>
      </c>
      <c r="Q17" s="1558" t="str">
        <f t="shared" si="6"/>
        <v>产业集聚程度</v>
      </c>
      <c r="R17" s="1559" t="s">
        <v>8</v>
      </c>
      <c r="S17" s="1560">
        <f t="shared" si="0"/>
        <v>100</v>
      </c>
      <c r="T17" s="1559" t="s">
        <v>8</v>
      </c>
      <c r="U17" s="1560">
        <f t="shared" si="1"/>
        <v>100</v>
      </c>
      <c r="V17" s="1559" t="s">
        <v>8</v>
      </c>
      <c r="W17" s="1560">
        <f t="shared" si="2"/>
        <v>100</v>
      </c>
      <c r="X17" s="1553"/>
      <c r="Y17" s="3454"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55"/>
      <c r="Q18" s="1558"/>
      <c r="R18" s="1559"/>
      <c r="S18" s="1560"/>
      <c r="T18" s="1559"/>
      <c r="U18" s="1560"/>
      <c r="V18" s="1559"/>
      <c r="W18" s="1560"/>
      <c r="X18" s="1553"/>
      <c r="Y18" s="3455"/>
      <c r="Z18" s="1561"/>
      <c r="AA18" s="1562">
        <v>1</v>
      </c>
      <c r="AB18" s="1562">
        <v>1</v>
      </c>
      <c r="AC18" s="1562">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55"/>
      <c r="Q19" s="1558" t="str">
        <f>B19</f>
        <v>交通便捷度</v>
      </c>
      <c r="R19" s="1559" t="s">
        <v>8</v>
      </c>
      <c r="S19" s="1560">
        <f>F19</f>
        <v>100</v>
      </c>
      <c r="T19" s="1559" t="s">
        <v>8</v>
      </c>
      <c r="U19" s="1560">
        <f>H19</f>
        <v>100</v>
      </c>
      <c r="V19" s="1559" t="s">
        <v>8</v>
      </c>
      <c r="W19" s="1560">
        <f>J19</f>
        <v>100</v>
      </c>
      <c r="X19" s="1553"/>
      <c r="Y19" s="3455"/>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455"/>
      <c r="Q20" s="1558"/>
      <c r="R20" s="1559"/>
      <c r="S20" s="1560"/>
      <c r="T20" s="1559"/>
      <c r="U20" s="1560"/>
      <c r="V20" s="1559"/>
      <c r="W20" s="1560"/>
      <c r="X20" s="1553"/>
      <c r="Y20" s="3455"/>
      <c r="Z20" s="1561"/>
      <c r="AA20" s="1562">
        <v>1</v>
      </c>
      <c r="AB20" s="1562">
        <v>1</v>
      </c>
      <c r="AC20" s="1562">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55"/>
      <c r="Q21" s="1558" t="str">
        <f t="shared" ref="Q21:Q35" si="8">B21</f>
        <v>区域土地利用方向</v>
      </c>
      <c r="R21" s="1559" t="s">
        <v>8</v>
      </c>
      <c r="S21" s="1560">
        <f>F21</f>
        <v>100</v>
      </c>
      <c r="T21" s="1559" t="s">
        <v>8</v>
      </c>
      <c r="U21" s="1560">
        <f>H21</f>
        <v>100</v>
      </c>
      <c r="V21" s="1559" t="s">
        <v>8</v>
      </c>
      <c r="W21" s="1560">
        <f>J21</f>
        <v>100</v>
      </c>
      <c r="X21" s="1553"/>
      <c r="Y21" s="3455"/>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55"/>
      <c r="Q22" s="1558"/>
      <c r="R22" s="1559"/>
      <c r="S22" s="1560"/>
      <c r="T22" s="1559"/>
      <c r="U22" s="1560"/>
      <c r="V22" s="1559"/>
      <c r="W22" s="1560"/>
      <c r="X22" s="1553"/>
      <c r="Y22" s="3455"/>
      <c r="Z22" s="1561"/>
      <c r="AA22" s="1562"/>
      <c r="AB22" s="1562"/>
      <c r="AC22" s="1562"/>
    </row>
    <row r="23" spans="1:29" ht="82.8">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55"/>
      <c r="Q23" s="1558" t="str">
        <f t="shared" si="8"/>
        <v>环境状况</v>
      </c>
      <c r="R23" s="1559" t="s">
        <v>8</v>
      </c>
      <c r="S23" s="1560">
        <f>F23</f>
        <v>100</v>
      </c>
      <c r="T23" s="1559" t="s">
        <v>8</v>
      </c>
      <c r="U23" s="1560">
        <f>H23</f>
        <v>100</v>
      </c>
      <c r="V23" s="1559" t="s">
        <v>8</v>
      </c>
      <c r="W23" s="1560">
        <f>J23</f>
        <v>100</v>
      </c>
      <c r="X23" s="1553"/>
      <c r="Y23" s="3455"/>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55"/>
      <c r="Q24" s="1558"/>
      <c r="R24" s="1559"/>
      <c r="S24" s="1560"/>
      <c r="T24" s="1559"/>
      <c r="U24" s="1560"/>
      <c r="V24" s="1559"/>
      <c r="W24" s="1560"/>
      <c r="X24" s="1553"/>
      <c r="Y24" s="3455"/>
      <c r="Z24" s="1561"/>
      <c r="AA24" s="1562">
        <v>1</v>
      </c>
      <c r="AB24" s="1562">
        <v>1</v>
      </c>
      <c r="AC24" s="1562">
        <v>1</v>
      </c>
    </row>
    <row r="25" spans="1:29" s="1215" customFormat="1" ht="41.4">
      <c r="A25" s="577"/>
      <c r="B25" s="2557"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55"/>
      <c r="Q25" s="1146" t="str">
        <f t="shared" si="8"/>
        <v>公共配套设施</v>
      </c>
      <c r="R25" s="1554" t="s">
        <v>8</v>
      </c>
      <c r="S25" s="1555">
        <f>F25</f>
        <v>100</v>
      </c>
      <c r="T25" s="1554" t="s">
        <v>8</v>
      </c>
      <c r="U25" s="1555">
        <f>H25</f>
        <v>100</v>
      </c>
      <c r="V25" s="1554" t="s">
        <v>8</v>
      </c>
      <c r="W25" s="1555">
        <f>J25</f>
        <v>100</v>
      </c>
      <c r="X25" s="1556"/>
      <c r="Y25" s="3455"/>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55"/>
      <c r="Q26" s="1146"/>
      <c r="R26" s="1554"/>
      <c r="S26" s="1555"/>
      <c r="T26" s="1554"/>
      <c r="U26" s="1555"/>
      <c r="V26" s="1554"/>
      <c r="W26" s="1555"/>
      <c r="X26" s="1556"/>
      <c r="Y26" s="3455"/>
      <c r="Z26" s="1145"/>
      <c r="AA26" s="1557">
        <v>1</v>
      </c>
      <c r="AB26" s="1557">
        <v>1</v>
      </c>
      <c r="AC26" s="1557">
        <v>1</v>
      </c>
    </row>
    <row r="27" spans="1:29" s="1215" customFormat="1" ht="41.4">
      <c r="A27" s="577"/>
      <c r="B27" s="2557"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55"/>
      <c r="Q27" s="2542" t="str">
        <f t="shared" ref="Q27" si="9">B27</f>
        <v>基础设施水平</v>
      </c>
      <c r="R27" s="1554" t="s">
        <v>8</v>
      </c>
      <c r="S27" s="1555">
        <f>F27</f>
        <v>100</v>
      </c>
      <c r="T27" s="1554" t="s">
        <v>8</v>
      </c>
      <c r="U27" s="1555">
        <f>H27</f>
        <v>100</v>
      </c>
      <c r="V27" s="1554" t="s">
        <v>8</v>
      </c>
      <c r="W27" s="1555">
        <f>J27</f>
        <v>100</v>
      </c>
      <c r="X27" s="1556"/>
      <c r="Y27" s="3455"/>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55"/>
      <c r="Q28" s="2542"/>
      <c r="R28" s="1554"/>
      <c r="S28" s="1555"/>
      <c r="T28" s="1554"/>
      <c r="U28" s="1555"/>
      <c r="V28" s="1554"/>
      <c r="W28" s="1555"/>
      <c r="X28" s="1556"/>
      <c r="Y28" s="3455"/>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55"/>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55"/>
      <c r="Z29" s="1561" t="str">
        <f t="shared" ref="Z29:Z42" si="13">Q29</f>
        <v>临街状况</v>
      </c>
      <c r="AA29" s="1562">
        <f t="shared" si="3"/>
        <v>1</v>
      </c>
      <c r="AB29" s="1562">
        <f t="shared" si="4"/>
        <v>1</v>
      </c>
      <c r="AC29" s="1562">
        <f t="shared" si="5"/>
        <v>1</v>
      </c>
    </row>
    <row r="30" spans="1:29" ht="28.8">
      <c r="A30" s="532"/>
      <c r="B30" s="921"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55"/>
      <c r="Q30" s="1558" t="str">
        <f t="shared" si="8"/>
        <v>毗邻道路的类型与等级</v>
      </c>
      <c r="R30" s="1559" t="s">
        <v>8</v>
      </c>
      <c r="S30" s="1560">
        <f t="shared" si="10"/>
        <v>100</v>
      </c>
      <c r="T30" s="1559" t="s">
        <v>8</v>
      </c>
      <c r="U30" s="1560">
        <f t="shared" si="11"/>
        <v>100</v>
      </c>
      <c r="V30" s="1559" t="s">
        <v>8</v>
      </c>
      <c r="W30" s="1560">
        <f t="shared" si="12"/>
        <v>100</v>
      </c>
      <c r="X30" s="1553"/>
      <c r="Y30" s="3455"/>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55"/>
      <c r="Q31" s="1558"/>
      <c r="R31" s="1559"/>
      <c r="S31" s="1560"/>
      <c r="T31" s="1559"/>
      <c r="U31" s="1560"/>
      <c r="V31" s="1559"/>
      <c r="W31" s="1560"/>
      <c r="X31" s="1553"/>
      <c r="Y31" s="3455"/>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55"/>
      <c r="Q32" s="1558" t="str">
        <f t="shared" si="8"/>
        <v>土地级别</v>
      </c>
      <c r="R32" s="1559" t="s">
        <v>8</v>
      </c>
      <c r="S32" s="1560">
        <f t="shared" si="10"/>
        <v>100</v>
      </c>
      <c r="T32" s="1559" t="s">
        <v>8</v>
      </c>
      <c r="U32" s="1560">
        <f t="shared" si="11"/>
        <v>100</v>
      </c>
      <c r="V32" s="1559" t="s">
        <v>8</v>
      </c>
      <c r="W32" s="1560">
        <f t="shared" si="12"/>
        <v>100</v>
      </c>
      <c r="X32" s="1553"/>
      <c r="Y32" s="3455"/>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55"/>
      <c r="Q33" s="1558">
        <f t="shared" si="8"/>
        <v>111</v>
      </c>
      <c r="R33" s="1559" t="s">
        <v>8</v>
      </c>
      <c r="S33" s="1560">
        <f t="shared" si="10"/>
        <v>100</v>
      </c>
      <c r="T33" s="1559" t="s">
        <v>8</v>
      </c>
      <c r="U33" s="1560">
        <f t="shared" si="11"/>
        <v>100</v>
      </c>
      <c r="V33" s="1559" t="s">
        <v>8</v>
      </c>
      <c r="W33" s="1560">
        <f t="shared" si="12"/>
        <v>100</v>
      </c>
      <c r="X33" s="1553"/>
      <c r="Y33" s="3455"/>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59" t="s">
        <v>550</v>
      </c>
      <c r="Q34" s="1558">
        <f t="shared" si="8"/>
        <v>111</v>
      </c>
      <c r="R34" s="1559" t="s">
        <v>8</v>
      </c>
      <c r="S34" s="1560">
        <f t="shared" si="10"/>
        <v>100</v>
      </c>
      <c r="T34" s="1559" t="s">
        <v>8</v>
      </c>
      <c r="U34" s="1560">
        <f t="shared" si="11"/>
        <v>100</v>
      </c>
      <c r="V34" s="1559" t="s">
        <v>8</v>
      </c>
      <c r="W34" s="1560">
        <f t="shared" si="12"/>
        <v>100</v>
      </c>
      <c r="X34" s="1553"/>
      <c r="Y34" s="3460" t="s">
        <v>550</v>
      </c>
      <c r="Z34" s="1561">
        <f t="shared" si="13"/>
        <v>111</v>
      </c>
      <c r="AA34" s="1562">
        <f t="shared" si="3"/>
        <v>1</v>
      </c>
      <c r="AB34" s="1562">
        <f t="shared" si="4"/>
        <v>1</v>
      </c>
      <c r="AC34" s="1562">
        <f t="shared" si="5"/>
        <v>1</v>
      </c>
    </row>
    <row r="35" spans="1:29" s="1334"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60"/>
      <c r="Q35" s="1558">
        <f t="shared" si="8"/>
        <v>111</v>
      </c>
      <c r="R35" s="1563" t="s">
        <v>8</v>
      </c>
      <c r="S35" s="1564">
        <f t="shared" si="10"/>
        <v>100</v>
      </c>
      <c r="T35" s="1563" t="s">
        <v>8</v>
      </c>
      <c r="U35" s="1564">
        <f t="shared" si="11"/>
        <v>100</v>
      </c>
      <c r="V35" s="1563" t="s">
        <v>8</v>
      </c>
      <c r="W35" s="1564">
        <f t="shared" si="12"/>
        <v>100</v>
      </c>
      <c r="X35" s="1565"/>
      <c r="Y35" s="3460"/>
      <c r="Z35" s="1566">
        <f t="shared" si="13"/>
        <v>111</v>
      </c>
      <c r="AA35" s="1562">
        <f t="shared" si="3"/>
        <v>1</v>
      </c>
      <c r="AB35" s="1562">
        <f t="shared" si="4"/>
        <v>1</v>
      </c>
      <c r="AC35" s="1562">
        <f t="shared" si="5"/>
        <v>1</v>
      </c>
    </row>
    <row r="36" spans="1:29" ht="15">
      <c r="A36" s="2862"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60"/>
      <c r="Q36" s="1558" t="str">
        <f>B36</f>
        <v>宗地面积</v>
      </c>
      <c r="R36" s="1559" t="s">
        <v>8</v>
      </c>
      <c r="S36" s="1560" t="e">
        <f t="shared" si="10"/>
        <v>#N/A</v>
      </c>
      <c r="T36" s="1559" t="s">
        <v>8</v>
      </c>
      <c r="U36" s="1560" t="e">
        <f t="shared" si="11"/>
        <v>#N/A</v>
      </c>
      <c r="V36" s="1559" t="s">
        <v>8</v>
      </c>
      <c r="W36" s="1560" t="e">
        <f t="shared" si="12"/>
        <v>#N/A</v>
      </c>
      <c r="X36" s="1553"/>
      <c r="Y36" s="3460"/>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60"/>
      <c r="Q37" s="1558" t="str">
        <f t="shared" ref="Q37:Q42" si="14">B37</f>
        <v>宗地形状</v>
      </c>
      <c r="R37" s="1559" t="s">
        <v>8</v>
      </c>
      <c r="S37" s="1560">
        <f t="shared" si="10"/>
        <v>100</v>
      </c>
      <c r="T37" s="1559" t="s">
        <v>8</v>
      </c>
      <c r="U37" s="1560">
        <f t="shared" si="11"/>
        <v>100</v>
      </c>
      <c r="V37" s="1559" t="s">
        <v>8</v>
      </c>
      <c r="W37" s="1560">
        <f t="shared" si="12"/>
        <v>100</v>
      </c>
      <c r="X37" s="1553"/>
      <c r="Y37" s="3460"/>
      <c r="Z37" s="1561" t="str">
        <f t="shared" si="13"/>
        <v>宗地形状</v>
      </c>
      <c r="AA37" s="1562">
        <f t="shared" si="3"/>
        <v>1</v>
      </c>
      <c r="AB37" s="1562">
        <f t="shared" si="4"/>
        <v>1</v>
      </c>
      <c r="AC37" s="1562">
        <f t="shared" si="5"/>
        <v>1</v>
      </c>
    </row>
    <row r="38" spans="1:29" s="1215" customFormat="1" ht="15">
      <c r="A38" s="600"/>
      <c r="B38" s="1880"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60"/>
      <c r="Q38" s="1558" t="str">
        <f t="shared" si="14"/>
        <v>宗地开发程度</v>
      </c>
      <c r="R38" s="1554" t="s">
        <v>8</v>
      </c>
      <c r="S38" s="1555">
        <f t="shared" si="10"/>
        <v>100</v>
      </c>
      <c r="T38" s="1554" t="s">
        <v>8</v>
      </c>
      <c r="U38" s="1555">
        <f t="shared" si="11"/>
        <v>100</v>
      </c>
      <c r="V38" s="1554" t="s">
        <v>8</v>
      </c>
      <c r="W38" s="1555">
        <f t="shared" si="12"/>
        <v>100</v>
      </c>
      <c r="X38" s="1556"/>
      <c r="Y38" s="3460"/>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60" t="s">
        <v>601</v>
      </c>
      <c r="Q39" s="1558" t="str">
        <f t="shared" si="14"/>
        <v>工程地质条件</v>
      </c>
      <c r="R39" s="1559" t="s">
        <v>8</v>
      </c>
      <c r="S39" s="1560">
        <f t="shared" si="10"/>
        <v>100</v>
      </c>
      <c r="T39" s="1559" t="s">
        <v>8</v>
      </c>
      <c r="U39" s="1560">
        <f t="shared" si="11"/>
        <v>100</v>
      </c>
      <c r="V39" s="1559" t="s">
        <v>8</v>
      </c>
      <c r="W39" s="1560">
        <f t="shared" si="12"/>
        <v>100</v>
      </c>
      <c r="X39" s="1553"/>
      <c r="Y39" s="3460"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60"/>
      <c r="Q40" s="1558">
        <f t="shared" si="14"/>
        <v>111</v>
      </c>
      <c r="R40" s="1559" t="s">
        <v>8</v>
      </c>
      <c r="S40" s="1560">
        <f t="shared" si="10"/>
        <v>100</v>
      </c>
      <c r="T40" s="1559" t="s">
        <v>8</v>
      </c>
      <c r="U40" s="1560">
        <f t="shared" si="11"/>
        <v>100</v>
      </c>
      <c r="V40" s="1559" t="s">
        <v>8</v>
      </c>
      <c r="W40" s="1560">
        <f t="shared" si="12"/>
        <v>100</v>
      </c>
      <c r="X40" s="1553"/>
      <c r="Y40" s="3460"/>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60"/>
      <c r="Q41" s="1558">
        <f t="shared" si="14"/>
        <v>111</v>
      </c>
      <c r="R41" s="1559" t="s">
        <v>8</v>
      </c>
      <c r="S41" s="1560">
        <f t="shared" si="10"/>
        <v>100</v>
      </c>
      <c r="T41" s="1559" t="s">
        <v>8</v>
      </c>
      <c r="U41" s="1560">
        <f t="shared" si="11"/>
        <v>100</v>
      </c>
      <c r="V41" s="1559" t="s">
        <v>8</v>
      </c>
      <c r="W41" s="1560">
        <f t="shared" si="12"/>
        <v>100</v>
      </c>
      <c r="X41" s="1553"/>
      <c r="Y41" s="3460"/>
      <c r="Z41" s="1561">
        <f t="shared" si="13"/>
        <v>111</v>
      </c>
      <c r="AA41" s="1562">
        <f t="shared" si="3"/>
        <v>1</v>
      </c>
      <c r="AB41" s="1562">
        <f t="shared" si="4"/>
        <v>1</v>
      </c>
      <c r="AC41" s="1562">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60"/>
      <c r="Q42" s="1558">
        <f t="shared" si="14"/>
        <v>111</v>
      </c>
      <c r="R42" s="1563" t="s">
        <v>8</v>
      </c>
      <c r="S42" s="1564">
        <f t="shared" si="10"/>
        <v>100</v>
      </c>
      <c r="T42" s="1563" t="s">
        <v>8</v>
      </c>
      <c r="U42" s="1564">
        <f t="shared" si="11"/>
        <v>100</v>
      </c>
      <c r="V42" s="1563" t="s">
        <v>8</v>
      </c>
      <c r="W42" s="1564">
        <f t="shared" si="12"/>
        <v>100</v>
      </c>
      <c r="X42" s="1565"/>
      <c r="Y42" s="3460"/>
      <c r="Z42" s="1566">
        <f t="shared" si="13"/>
        <v>111</v>
      </c>
      <c r="AA42" s="1562">
        <f t="shared" si="3"/>
        <v>1</v>
      </c>
      <c r="AB42" s="1562">
        <f t="shared" si="4"/>
        <v>1</v>
      </c>
      <c r="AC42" s="1562">
        <f t="shared" si="5"/>
        <v>1</v>
      </c>
    </row>
    <row r="43" spans="1:29" ht="14.4">
      <c r="A43" s="607" t="s">
        <v>556</v>
      </c>
      <c r="B43" s="608" t="s">
        <v>2928</v>
      </c>
      <c r="C43" s="609" t="s">
        <v>1</v>
      </c>
      <c r="D43" s="610"/>
      <c r="E43" s="611"/>
      <c r="F43" s="612"/>
      <c r="G43" s="613"/>
      <c r="H43" s="614"/>
      <c r="I43" s="611"/>
      <c r="J43" s="614"/>
      <c r="K43" s="1335"/>
      <c r="L43" s="2129"/>
      <c r="M43" s="2119"/>
      <c r="N43" s="2119"/>
      <c r="O43" s="2130"/>
      <c r="P43" s="3452" t="str">
        <f>A43</f>
        <v>成交单价</v>
      </c>
      <c r="Q43" s="3452"/>
      <c r="R43" s="3461">
        <f>E43</f>
        <v>0</v>
      </c>
      <c r="S43" s="3461"/>
      <c r="T43" s="3461">
        <f>G43</f>
        <v>0</v>
      </c>
      <c r="U43" s="3461"/>
      <c r="V43" s="3461">
        <f>I43</f>
        <v>0</v>
      </c>
      <c r="W43" s="3461"/>
      <c r="X43" s="1545"/>
      <c r="Y43" s="1567"/>
      <c r="Z43" s="1545"/>
      <c r="AA43" s="1545"/>
      <c r="AB43" s="1545"/>
      <c r="AC43" s="1545"/>
    </row>
    <row r="44" spans="1:29" ht="15" thickBot="1">
      <c r="A44" s="615" t="s">
        <v>2690</v>
      </c>
      <c r="B44" s="616"/>
      <c r="C44" s="617" t="e">
        <f>R45</f>
        <v>#DIV/0!</v>
      </c>
      <c r="D44" s="618"/>
      <c r="E44" s="617" t="e">
        <f>R44</f>
        <v>#DIV/0!</v>
      </c>
      <c r="F44" s="619"/>
      <c r="G44" s="620" t="e">
        <f>T44</f>
        <v>#DIV/0!</v>
      </c>
      <c r="H44" s="618"/>
      <c r="I44" s="617" t="e">
        <f>V44</f>
        <v>#DIV/0!</v>
      </c>
      <c r="J44" s="618"/>
      <c r="K44" s="1336"/>
      <c r="L44" s="2129"/>
      <c r="M44" s="2119"/>
      <c r="N44" s="2119"/>
      <c r="O44" s="2130"/>
      <c r="P44" s="3452" t="str">
        <f>A44</f>
        <v>比较价格（元/平方米）</v>
      </c>
      <c r="Q44" s="3452"/>
      <c r="R44" s="3453" t="e">
        <f>ROUND(PRODUCT(R43,AA9:AA42),0)</f>
        <v>#DIV/0!</v>
      </c>
      <c r="S44" s="3453"/>
      <c r="T44" s="3453" t="e">
        <f>ROUND(PRODUCT(T43,AB9:AB42),0)</f>
        <v>#DIV/0!</v>
      </c>
      <c r="U44" s="3453"/>
      <c r="V44" s="3453" t="e">
        <f>ROUND(PRODUCT(V43,AC9:AC42),0)</f>
        <v>#DIV/0!</v>
      </c>
      <c r="W44" s="3453"/>
      <c r="X44" s="1545"/>
      <c r="Y44" s="1545"/>
      <c r="Z44" s="1545"/>
      <c r="AA44" s="1545"/>
      <c r="AB44" s="1545"/>
      <c r="AC44" s="1545"/>
    </row>
    <row r="45" spans="1:29" ht="15" thickBot="1">
      <c r="A45" s="621" t="s">
        <v>2929</v>
      </c>
      <c r="B45" s="622"/>
      <c r="C45" s="623" t="e">
        <f>R45</f>
        <v>#DIV/0!</v>
      </c>
      <c r="D45" s="623"/>
      <c r="E45" s="623"/>
      <c r="F45" s="623"/>
      <c r="G45" s="623"/>
      <c r="H45" s="623"/>
      <c r="I45" s="623"/>
      <c r="J45" s="623"/>
      <c r="K45" s="1337"/>
      <c r="L45" s="2129"/>
      <c r="M45" s="2119"/>
      <c r="N45" s="2119"/>
      <c r="O45" s="2130"/>
      <c r="P45" s="3456" t="str">
        <f>A45</f>
        <v>估价对象XX用房的比较价格（楼面单价，元/平方米）</v>
      </c>
      <c r="Q45" s="3457"/>
      <c r="R45" s="3458" t="e">
        <f>ROUND(AVERAGE(R44:V44),0)</f>
        <v>#DIV/0!</v>
      </c>
      <c r="S45" s="3458"/>
      <c r="T45" s="3458"/>
      <c r="U45" s="3458"/>
      <c r="V45" s="3458"/>
      <c r="W45" s="3458"/>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9" t="s">
        <v>560</v>
      </c>
      <c r="B52" s="630" t="s">
        <v>561</v>
      </c>
      <c r="C52" s="1546" t="s">
        <v>1724</v>
      </c>
      <c r="D52" s="2212" t="s">
        <v>2291</v>
      </c>
      <c r="E52" s="631" t="s">
        <v>562</v>
      </c>
      <c r="F52" s="1936" t="s">
        <v>563</v>
      </c>
      <c r="G52" s="3490" t="s">
        <v>2282</v>
      </c>
      <c r="H52" s="3491"/>
      <c r="I52" s="1937" t="s">
        <v>1943</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3.2">
      <c r="A53" s="633" t="s">
        <v>564</v>
      </c>
      <c r="B53" s="634" t="e">
        <f>C45</f>
        <v>#DIV/0!</v>
      </c>
      <c r="C53" s="635">
        <v>1</v>
      </c>
      <c r="D53" s="2213">
        <v>1</v>
      </c>
      <c r="E53" s="635">
        <f>'数据-汇总表'!E8+'数据-汇总表'!E9</f>
        <v>768036</v>
      </c>
      <c r="F53" s="1935" t="e">
        <f t="shared" ref="F53:F62" si="15">ROUND(B53*E53/10000,0)</f>
        <v>#DIV/0!</v>
      </c>
      <c r="G53" s="3492"/>
      <c r="H53" s="3493"/>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3.2">
      <c r="A54" s="637" t="s">
        <v>565</v>
      </c>
      <c r="B54" s="638" t="e">
        <f>ROUND($C$45*C54*D54,0)</f>
        <v>#DIV/0!</v>
      </c>
      <c r="C54" s="378">
        <f t="shared" ref="C54:C62" si="16">IF($C$52="北京市系数",I54,J54)</f>
        <v>0</v>
      </c>
      <c r="D54" s="2214">
        <v>0.25</v>
      </c>
      <c r="E54" s="639"/>
      <c r="F54" s="1935" t="e">
        <f t="shared" si="15"/>
        <v>#DIV/0!</v>
      </c>
      <c r="G54" s="3494" t="s">
        <v>2283</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3.2">
      <c r="A55" s="637" t="s">
        <v>566</v>
      </c>
      <c r="B55" s="638" t="e">
        <f t="shared" ref="B55:B62" si="17">ROUND($C$45*C55*D55,0)</f>
        <v>#DIV/0!</v>
      </c>
      <c r="C55" s="378">
        <f t="shared" si="16"/>
        <v>0</v>
      </c>
      <c r="D55" s="2214">
        <v>0.25</v>
      </c>
      <c r="E55" s="639"/>
      <c r="F55" s="1935" t="e">
        <f t="shared" si="15"/>
        <v>#DIV/0!</v>
      </c>
      <c r="G55" s="3494"/>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3.2">
      <c r="A56" s="637" t="s">
        <v>567</v>
      </c>
      <c r="B56" s="638" t="e">
        <f t="shared" si="17"/>
        <v>#DIV/0!</v>
      </c>
      <c r="C56" s="378">
        <f t="shared" si="16"/>
        <v>0</v>
      </c>
      <c r="D56" s="2214">
        <v>0.25</v>
      </c>
      <c r="E56" s="639"/>
      <c r="F56" s="1935" t="e">
        <f t="shared" si="15"/>
        <v>#DIV/0!</v>
      </c>
      <c r="G56" s="3494"/>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3.2">
      <c r="A57" s="637" t="s">
        <v>568</v>
      </c>
      <c r="B57" s="638" t="e">
        <f t="shared" si="17"/>
        <v>#DIV/0!</v>
      </c>
      <c r="C57" s="378">
        <f t="shared" si="16"/>
        <v>0</v>
      </c>
      <c r="D57" s="2214">
        <v>0.25</v>
      </c>
      <c r="E57" s="639"/>
      <c r="F57" s="1935" t="e">
        <f t="shared" si="15"/>
        <v>#DIV/0!</v>
      </c>
      <c r="G57" s="3494"/>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3.2">
      <c r="A58" s="2316" t="s">
        <v>2326</v>
      </c>
      <c r="B58" s="638" t="e">
        <f t="shared" si="17"/>
        <v>#DIV/0!</v>
      </c>
      <c r="C58" s="378">
        <f t="shared" si="16"/>
        <v>0</v>
      </c>
      <c r="D58" s="2214">
        <v>0.25</v>
      </c>
      <c r="E58" s="641">
        <f>'数据-汇总表'!E11</f>
        <v>0</v>
      </c>
      <c r="F58" s="1935" t="e">
        <f t="shared" si="15"/>
        <v>#DIV/0!</v>
      </c>
      <c r="G58" s="1941" t="s">
        <v>2284</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570</v>
      </c>
      <c r="B60" s="638" t="e">
        <f t="shared" si="17"/>
        <v>#DIV/0!</v>
      </c>
      <c r="C60" s="378">
        <f t="shared" si="16"/>
        <v>0</v>
      </c>
      <c r="D60" s="2214">
        <v>0.25</v>
      </c>
      <c r="E60" s="641">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571</v>
      </c>
      <c r="B61" s="638" t="e">
        <f t="shared" si="17"/>
        <v>#DIV/0!</v>
      </c>
      <c r="C61" s="378">
        <f t="shared" si="16"/>
        <v>0</v>
      </c>
      <c r="D61" s="2214">
        <v>0.25</v>
      </c>
      <c r="E61" s="641">
        <f>'数据-汇总表'!E14</f>
        <v>0</v>
      </c>
      <c r="F61" s="1935" t="e">
        <f t="shared" si="15"/>
        <v>#DIV/0!</v>
      </c>
      <c r="G61" s="1941" t="s">
        <v>2283</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thickBot="1">
      <c r="A62" s="637" t="s">
        <v>572</v>
      </c>
      <c r="B62" s="638" t="e">
        <f t="shared" si="17"/>
        <v>#DIV/0!</v>
      </c>
      <c r="C62" s="378">
        <f t="shared" si="16"/>
        <v>0</v>
      </c>
      <c r="D62" s="2214">
        <v>0.25</v>
      </c>
      <c r="E62" s="641">
        <f>'数据-汇总表'!E15</f>
        <v>0</v>
      </c>
      <c r="F62" s="1935" t="e">
        <f t="shared" si="15"/>
        <v>#DIV/0!</v>
      </c>
      <c r="G62" s="1942" t="s">
        <v>2284</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thickBot="1">
      <c r="A63" s="642" t="s">
        <v>573</v>
      </c>
      <c r="B63" s="643" t="s">
        <v>17</v>
      </c>
      <c r="C63" s="643" t="s">
        <v>18</v>
      </c>
      <c r="D63" s="643" t="s">
        <v>2292</v>
      </c>
      <c r="E63" s="643">
        <f>IF(B43="楼面地价",SUM(E53:E62),'数据-汇总表'!D3)</f>
        <v>223160.97</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2020-3-1</v>
      </c>
      <c r="D65" s="2754">
        <f>EDATE(C65,-3)</f>
        <v>43800</v>
      </c>
      <c r="E65" s="2754">
        <f t="shared" ref="E65:N65" si="18">EDATE(D65,-3)</f>
        <v>43709</v>
      </c>
      <c r="F65" s="2754">
        <f t="shared" si="18"/>
        <v>43617</v>
      </c>
      <c r="G65" s="2754">
        <f t="shared" si="18"/>
        <v>43525</v>
      </c>
      <c r="H65" s="2754">
        <f t="shared" si="18"/>
        <v>43435</v>
      </c>
      <c r="I65" s="2754">
        <f t="shared" si="18"/>
        <v>43344</v>
      </c>
      <c r="J65" s="2754">
        <f t="shared" si="18"/>
        <v>43252</v>
      </c>
      <c r="K65" s="2754">
        <f t="shared" si="18"/>
        <v>43160</v>
      </c>
      <c r="L65" s="2754">
        <f t="shared" si="18"/>
        <v>43070</v>
      </c>
      <c r="M65" s="2754">
        <f t="shared" si="18"/>
        <v>42979</v>
      </c>
      <c r="N65" s="2754">
        <f t="shared" si="18"/>
        <v>42887</v>
      </c>
      <c r="O65" s="2130"/>
      <c r="P65" s="2130"/>
      <c r="Q65" s="2130"/>
      <c r="R65" s="2130"/>
      <c r="S65" s="2130"/>
      <c r="T65" s="2130"/>
      <c r="U65" s="2130"/>
      <c r="V65" s="2130"/>
      <c r="W65" s="2130"/>
      <c r="X65" s="2130"/>
      <c r="Y65" s="2130"/>
      <c r="Z65" s="2130"/>
      <c r="AA65" s="2130"/>
      <c r="AB65" s="2130"/>
      <c r="AC65" s="2130"/>
    </row>
    <row r="66" spans="1:29" ht="22.2"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4.4">
      <c r="A67" s="2532" t="s">
        <v>2531</v>
      </c>
      <c r="B67" s="646"/>
      <c r="C67" s="2750" t="str">
        <f>YEAR(C65)&amp;"-"&amp;ROUNDUP(MONTH(C65)/3,0)</f>
        <v>2020-1</v>
      </c>
      <c r="D67" s="2756" t="str">
        <f t="shared" ref="D67:N67" si="19">YEAR(D65)&amp;"-"&amp;ROUNDUP(MONTH(D65)/3,0)</f>
        <v>2019-4</v>
      </c>
      <c r="E67" s="2756" t="str">
        <f t="shared" si="19"/>
        <v>2019-3</v>
      </c>
      <c r="F67" s="2756" t="str">
        <f t="shared" si="19"/>
        <v>2019-2</v>
      </c>
      <c r="G67" s="2756" t="str">
        <f t="shared" si="19"/>
        <v>2019-1</v>
      </c>
      <c r="H67" s="2756" t="str">
        <f t="shared" si="19"/>
        <v>2018-4</v>
      </c>
      <c r="I67" s="2756" t="str">
        <f t="shared" si="19"/>
        <v>2018-3</v>
      </c>
      <c r="J67" s="2756" t="str">
        <f t="shared" si="19"/>
        <v>2018-2</v>
      </c>
      <c r="K67" s="2756" t="str">
        <f t="shared" si="19"/>
        <v>2018-1</v>
      </c>
      <c r="L67" s="2756" t="str">
        <f t="shared" si="19"/>
        <v>2017-4</v>
      </c>
      <c r="M67" s="2756" t="str">
        <f t="shared" si="19"/>
        <v>2017-3</v>
      </c>
      <c r="N67" s="2756" t="str">
        <f t="shared" si="19"/>
        <v>2017-2</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2646</v>
      </c>
      <c r="B68" s="479" t="str">
        <f>"北京市平均增长率"&amp;TEXT(基准地价!P24,"0.00%")</f>
        <v>北京市平均增长率1.33%</v>
      </c>
      <c r="C68" s="893">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4.4">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4.4"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4.4">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4.4"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9.4"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4.4"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4.4"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4.4"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4.4"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4.4"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4.4"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4.4">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 thickTop="1">
      <c r="A93" s="687"/>
      <c r="B93" s="1881" t="s">
        <v>2546</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 thickTop="1">
      <c r="A95" s="687"/>
      <c r="B95" s="2561" t="s">
        <v>2548</v>
      </c>
      <c r="C95" s="2562" t="s">
        <v>2549</v>
      </c>
      <c r="D95" s="2562" t="s">
        <v>2550</v>
      </c>
      <c r="E95" s="2562" t="s">
        <v>2551</v>
      </c>
      <c r="F95" s="2562" t="s">
        <v>2552</v>
      </c>
      <c r="G95" s="2562" t="s">
        <v>2553</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4.4"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4.4"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4.4"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4.4"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2423</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4.4"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4.4"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4.4"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4.4"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1694</v>
      </c>
      <c r="B1" s="1396"/>
      <c r="C1" s="1402" t="s">
        <v>2424</v>
      </c>
      <c r="D1" s="1508">
        <f>SUM(D29:D30,D33:D39)</f>
        <v>0</v>
      </c>
      <c r="E1" s="1402" t="s">
        <v>2425</v>
      </c>
      <c r="F1" s="2416"/>
      <c r="G1" s="1397"/>
      <c r="H1" s="1397"/>
      <c r="I1" s="1397"/>
      <c r="J1" s="1397"/>
      <c r="K1" s="1397"/>
      <c r="L1" s="1867" t="s">
        <v>2236</v>
      </c>
      <c r="M1" s="1868">
        <f>SUMPRODUCT((区片价!B5:B9=I2)*(区片价!C3:F3=E2)*(区片价!C5:F9))</f>
        <v>0</v>
      </c>
      <c r="N1" s="1869">
        <f>SUMPRODUCT((因素修正幅度!B5:B9=I2)*(因素修正幅度!C3:F3=E2)*(因素修正幅度!C5:F9))</f>
        <v>0</v>
      </c>
      <c r="O1" s="1397"/>
      <c r="P1" s="1397"/>
      <c r="Q1" s="2174"/>
      <c r="R1" s="2891" t="s">
        <v>2759</v>
      </c>
      <c r="S1" s="2891" t="s">
        <v>2760</v>
      </c>
      <c r="T1" s="2891" t="s">
        <v>2781</v>
      </c>
      <c r="U1" s="2891" t="s">
        <v>2782</v>
      </c>
      <c r="V1" s="2891" t="s">
        <v>2783</v>
      </c>
      <c r="W1" s="2174"/>
      <c r="X1" s="2174"/>
      <c r="Y1" s="2174"/>
      <c r="Z1" s="2174"/>
      <c r="AA1" s="2174"/>
      <c r="AB1" s="2174"/>
      <c r="AC1" s="2175"/>
    </row>
    <row r="2" spans="1:39" ht="15.6">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2237</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6">
      <c r="A3" s="1407" t="s">
        <v>1687</v>
      </c>
      <c r="B3" s="1037" t="e">
        <f>ROUND(B2*10000/D1,0)</f>
        <v>#DIV/0!</v>
      </c>
      <c r="C3" s="1403" t="s">
        <v>927</v>
      </c>
      <c r="D3" s="1404" t="s">
        <v>928</v>
      </c>
      <c r="E3" s="1408"/>
      <c r="F3" s="1409"/>
      <c r="G3" s="1038">
        <f>IF(F3="宗地容积率",'数据-汇总表'!I4,IF(F3="估价对象容积率",'数据-汇总表'!I6,'数据-汇总表'!I7))</f>
        <v>3.5</v>
      </c>
      <c r="H3" s="1410" t="s">
        <v>929</v>
      </c>
      <c r="I3" s="1039">
        <v>8</v>
      </c>
      <c r="J3" s="1406" t="s">
        <v>930</v>
      </c>
      <c r="K3" s="1406"/>
      <c r="L3" s="1870" t="s">
        <v>2238</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31.2">
      <c r="A4" s="1876" t="s">
        <v>2278</v>
      </c>
      <c r="B4" s="2417" t="e">
        <f>ROUND(B2*10000/F1,0)</f>
        <v>#DIV/0!</v>
      </c>
      <c r="C4" s="1879" t="s">
        <v>2252</v>
      </c>
      <c r="D4" s="1879" t="e">
        <f>ROUND(B2/(F1/666.67),0)</f>
        <v>#DIV/0!</v>
      </c>
      <c r="E4" s="1879" t="s">
        <v>2253</v>
      </c>
      <c r="F4" s="1877"/>
      <c r="G4" s="1877"/>
      <c r="H4" s="1877"/>
      <c r="I4" s="1877"/>
      <c r="J4" s="1878"/>
      <c r="K4" s="3146"/>
      <c r="L4" s="1870" t="s">
        <v>2239</v>
      </c>
      <c r="M4" s="1871">
        <f>SUMPRODUCT((区片价!B49:B75=I2)*(区片价!C3:F3=E2)*(区片价!C49:F75))</f>
        <v>0</v>
      </c>
      <c r="N4" s="1872">
        <f>SUMPRODUCT((因素修正幅度!B49:B75=I2)*(因素修正幅度!C3:F3=E2)*(因素修正幅度!C49:F75))</f>
        <v>0</v>
      </c>
      <c r="O4" s="3146"/>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6" thickBot="1">
      <c r="A5" s="1623" t="s">
        <v>1823</v>
      </c>
      <c r="B5" s="1411" t="s">
        <v>931</v>
      </c>
      <c r="C5" s="1040" t="e">
        <f>ROUND(IF(E2="商业",C6*C7+C16,(IF(E2="住宅",C6*C12+C16,C6+C16))),0)</f>
        <v>#DIV/0!</v>
      </c>
      <c r="D5" s="3070" t="e">
        <f>ROUND(C6+C16,0)</f>
        <v>#DIV/0!</v>
      </c>
      <c r="E5" s="3070"/>
      <c r="F5" s="1412"/>
      <c r="G5" s="1413"/>
      <c r="H5" s="1413"/>
      <c r="I5" s="1413"/>
      <c r="J5" s="1414"/>
      <c r="K5" s="3147"/>
      <c r="L5" s="1870" t="s">
        <v>2240</v>
      </c>
      <c r="M5" s="1871">
        <f>SUMPRODUCT((区片价!B76:B109=I2)*(区片价!C3:F3=E2)*(区片价!C76:F109))</f>
        <v>0</v>
      </c>
      <c r="N5" s="1872">
        <f>SUMPRODUCT((因素修正幅度!B76:B109=I2)*(因素修正幅度!C3:F3=E2)*(因素修正幅度!C76:F109))</f>
        <v>0</v>
      </c>
      <c r="O5" s="3147"/>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6" thickBot="1">
      <c r="A6" s="1624" t="s">
        <v>1870</v>
      </c>
      <c r="B6" s="1418" t="s">
        <v>931</v>
      </c>
      <c r="C6" s="1041">
        <f>SUMIF(L1:L12,基准地价!G2,M1:M12)</f>
        <v>0</v>
      </c>
      <c r="D6" s="1419" t="s">
        <v>1695</v>
      </c>
      <c r="E6" s="1420"/>
      <c r="F6" s="1420"/>
      <c r="G6" s="1421"/>
      <c r="H6" s="1421"/>
      <c r="I6" s="1421"/>
      <c r="J6" s="1422"/>
      <c r="K6" s="1452"/>
      <c r="L6" s="1870" t="s">
        <v>2241</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502" t="str">
        <f>IF(E2="商业",IF(C8="不临58条商业街","",2),"")</f>
        <v/>
      </c>
      <c r="B7" s="1423" t="s">
        <v>932</v>
      </c>
      <c r="C7" s="1042" t="e">
        <f>IF(C8="不临58条商业街",1,ROUND(1+(1.6*E8+1.2*E9+0.8*E10+0.4*E11)*C9,4))</f>
        <v>#DIV/0!</v>
      </c>
      <c r="D7" s="1424" t="s">
        <v>933</v>
      </c>
      <c r="E7" s="1043"/>
      <c r="F7" s="1425"/>
      <c r="G7" s="1426"/>
      <c r="H7" s="1426"/>
      <c r="I7" s="1426"/>
      <c r="J7" s="1427"/>
      <c r="K7" s="1452"/>
      <c r="L7" s="1870" t="s">
        <v>2242</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2762</v>
      </c>
      <c r="X7" s="2882">
        <f>G2</f>
        <v>0</v>
      </c>
      <c r="Y7" s="2882" t="s">
        <v>2763</v>
      </c>
      <c r="Z7" s="2883">
        <f>G3</f>
        <v>3.5</v>
      </c>
      <c r="AA7" s="2177"/>
      <c r="AB7" s="2177"/>
      <c r="AC7" s="2178"/>
      <c r="AD7" s="2884"/>
      <c r="AE7" s="2884"/>
      <c r="AF7" s="2884"/>
      <c r="AG7" s="2884"/>
      <c r="AH7" s="2884"/>
      <c r="AI7" s="2884"/>
      <c r="AJ7" s="2885"/>
    </row>
    <row r="8" spans="1:39" ht="15">
      <c r="A8" s="3503"/>
      <c r="B8" s="1410" t="s">
        <v>934</v>
      </c>
      <c r="C8" s="1516"/>
      <c r="D8" s="1044" t="s">
        <v>935</v>
      </c>
      <c r="E8" s="1045" t="e">
        <f>ROUND(C11/E7,4)</f>
        <v>#DIV/0!</v>
      </c>
      <c r="F8" s="1428" t="s">
        <v>936</v>
      </c>
      <c r="G8" s="1429"/>
      <c r="H8" s="1429"/>
      <c r="I8" s="1429"/>
      <c r="J8" s="1430"/>
      <c r="K8" s="1452"/>
      <c r="L8" s="1870" t="s">
        <v>2243</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513" t="s">
        <v>2780</v>
      </c>
      <c r="X8" s="3514"/>
      <c r="Y8" s="1834" t="s">
        <v>2764</v>
      </c>
      <c r="Z8" s="1834" t="s">
        <v>2765</v>
      </c>
      <c r="AA8" s="1834" t="s">
        <v>2766</v>
      </c>
      <c r="AB8" s="1834" t="s">
        <v>2767</v>
      </c>
      <c r="AC8" s="1834" t="s">
        <v>2768</v>
      </c>
      <c r="AD8" s="1834" t="s">
        <v>2769</v>
      </c>
      <c r="AE8" s="1834" t="s">
        <v>2770</v>
      </c>
      <c r="AF8" s="1834" t="s">
        <v>2771</v>
      </c>
      <c r="AG8" s="1834" t="s">
        <v>2772</v>
      </c>
      <c r="AH8" s="1834" t="s">
        <v>2773</v>
      </c>
      <c r="AI8" s="1834" t="s">
        <v>2774</v>
      </c>
      <c r="AJ8" s="1834" t="s">
        <v>2775</v>
      </c>
    </row>
    <row r="9" spans="1:39" ht="15">
      <c r="A9" s="3503"/>
      <c r="B9" s="1410" t="s">
        <v>937</v>
      </c>
      <c r="C9" s="1046">
        <f>SUMIF(修正!C59:C119,C8,修正!E59:E119)</f>
        <v>0</v>
      </c>
      <c r="D9" s="1047" t="s">
        <v>938</v>
      </c>
      <c r="E9" s="1047" t="e">
        <f>ROUND(C11/E7,4)</f>
        <v>#DIV/0!</v>
      </c>
      <c r="F9" s="1428" t="s">
        <v>939</v>
      </c>
      <c r="G9" s="1429"/>
      <c r="H9" s="1429"/>
      <c r="I9" s="1429"/>
      <c r="J9" s="1430"/>
      <c r="K9" s="1452"/>
      <c r="L9" s="1870" t="s">
        <v>2244</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512" t="s">
        <v>2776</v>
      </c>
      <c r="X9" s="2886" t="s">
        <v>2777</v>
      </c>
      <c r="Y9" s="3048"/>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503"/>
      <c r="B10" s="1410" t="s">
        <v>940</v>
      </c>
      <c r="C10" s="1047">
        <f>SUMIF(修正!C59:C119,C8,修正!F59:F119)</f>
        <v>0</v>
      </c>
      <c r="D10" s="1047" t="s">
        <v>941</v>
      </c>
      <c r="E10" s="1047" t="e">
        <f>ROUND(C11/E7,4)</f>
        <v>#DIV/0!</v>
      </c>
      <c r="F10" s="1428" t="s">
        <v>942</v>
      </c>
      <c r="G10" s="1429"/>
      <c r="H10" s="1429"/>
      <c r="I10" s="1429"/>
      <c r="J10" s="1430"/>
      <c r="K10" s="1452"/>
      <c r="L10" s="1870" t="s">
        <v>2245</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512"/>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503"/>
      <c r="B11" s="1431" t="s">
        <v>943</v>
      </c>
      <c r="C11" s="1048">
        <f>C10/4</f>
        <v>0</v>
      </c>
      <c r="D11" s="1048" t="s">
        <v>944</v>
      </c>
      <c r="E11" s="1048" t="e">
        <f>ROUND(C11/E7,4)</f>
        <v>#DIV/0!</v>
      </c>
      <c r="F11" s="1432" t="s">
        <v>945</v>
      </c>
      <c r="G11" s="1433"/>
      <c r="H11" s="1433"/>
      <c r="I11" s="1433"/>
      <c r="J11" s="1434"/>
      <c r="K11" s="1452"/>
      <c r="L11" s="1870" t="s">
        <v>2246</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512" t="s">
        <v>2778</v>
      </c>
      <c r="X11" s="1047" t="s">
        <v>2763</v>
      </c>
      <c r="Y11" s="1638">
        <f>$G$3</f>
        <v>3.5</v>
      </c>
      <c r="Z11" s="1638">
        <f t="shared" ref="Z11:AJ11" si="3">$G$3</f>
        <v>3.5</v>
      </c>
      <c r="AA11" s="1638">
        <f t="shared" si="3"/>
        <v>3.5</v>
      </c>
      <c r="AB11" s="1638">
        <f t="shared" si="3"/>
        <v>3.5</v>
      </c>
      <c r="AC11" s="1638">
        <f t="shared" si="3"/>
        <v>3.5</v>
      </c>
      <c r="AD11" s="1638">
        <f t="shared" si="3"/>
        <v>3.5</v>
      </c>
      <c r="AE11" s="1638">
        <f t="shared" si="3"/>
        <v>3.5</v>
      </c>
      <c r="AF11" s="1638">
        <f t="shared" si="3"/>
        <v>3.5</v>
      </c>
      <c r="AG11" s="1638">
        <f t="shared" si="3"/>
        <v>3.5</v>
      </c>
      <c r="AH11" s="1638">
        <f t="shared" si="3"/>
        <v>3.5</v>
      </c>
      <c r="AI11" s="1638">
        <f t="shared" si="3"/>
        <v>3.5</v>
      </c>
      <c r="AJ11" s="1638">
        <f t="shared" si="3"/>
        <v>3.5</v>
      </c>
    </row>
    <row r="12" spans="1:39" ht="25.8" thickBot="1">
      <c r="A12" s="3502" t="s">
        <v>1871</v>
      </c>
      <c r="B12" s="1435" t="s">
        <v>946</v>
      </c>
      <c r="C12" s="1042">
        <f>ROUND(C15*D15*E15*F15*G15*H15*I15*J15,4)</f>
        <v>1</v>
      </c>
      <c r="D12" s="1436" t="s">
        <v>947</v>
      </c>
      <c r="E12" s="1437"/>
      <c r="F12" s="1437"/>
      <c r="G12" s="1438"/>
      <c r="H12" s="1438"/>
      <c r="I12" s="1438"/>
      <c r="J12" s="1439"/>
      <c r="K12" s="1452"/>
      <c r="L12" s="1873" t="s">
        <v>2247</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512"/>
      <c r="X12" s="2889" t="s">
        <v>2779</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504"/>
      <c r="B13" s="1440" t="s">
        <v>1696</v>
      </c>
      <c r="C13" s="1441" t="s">
        <v>1697</v>
      </c>
      <c r="D13" s="1084" t="s">
        <v>1698</v>
      </c>
      <c r="E13" s="1084" t="s">
        <v>1699</v>
      </c>
      <c r="F13" s="1442" t="s">
        <v>948</v>
      </c>
      <c r="G13" s="1443" t="s">
        <v>1642</v>
      </c>
      <c r="H13" s="1444" t="s">
        <v>1642</v>
      </c>
      <c r="I13" s="1445" t="s">
        <v>1642</v>
      </c>
      <c r="J13" s="1446" t="s">
        <v>1642</v>
      </c>
      <c r="K13" s="3162"/>
      <c r="L13" s="3162"/>
      <c r="M13" s="3162"/>
      <c r="N13" s="3162"/>
      <c r="O13" s="3162"/>
      <c r="P13" s="1397"/>
      <c r="Q13" s="2174"/>
      <c r="R13" s="2892">
        <v>12</v>
      </c>
      <c r="S13" s="2881"/>
      <c r="T13" s="2892" t="e">
        <f t="shared" si="0"/>
        <v>#DIV/0!</v>
      </c>
      <c r="U13" s="2881"/>
      <c r="V13" s="2892" t="e">
        <f t="shared" si="1"/>
        <v>#DIV/0!</v>
      </c>
      <c r="W13" s="3512"/>
      <c r="X13" s="2889"/>
      <c r="Y13" s="2888">
        <f>(-0.163*(Y12^2)-0.59*Y12+7617)*(10^(-4))/Y11</f>
        <v>0.21762857142857145</v>
      </c>
      <c r="Z13" s="2888">
        <f t="shared" ref="Z13:AJ13" si="5">(-0.163*(Z12^2)-0.59*Z12+7617)*(10^(-4))/Z11</f>
        <v>0.21762857142857145</v>
      </c>
      <c r="AA13" s="2888">
        <f t="shared" si="5"/>
        <v>0.21762857142857145</v>
      </c>
      <c r="AB13" s="2888">
        <f t="shared" si="5"/>
        <v>0.21762857142857145</v>
      </c>
      <c r="AC13" s="2888">
        <f t="shared" si="5"/>
        <v>0.21762857142857145</v>
      </c>
      <c r="AD13" s="2888">
        <f t="shared" si="5"/>
        <v>0.21762857142857145</v>
      </c>
      <c r="AE13" s="2888">
        <f t="shared" si="5"/>
        <v>0.21762857142857145</v>
      </c>
      <c r="AF13" s="2888">
        <f t="shared" si="5"/>
        <v>0.21762857142857145</v>
      </c>
      <c r="AG13" s="2888">
        <f t="shared" si="5"/>
        <v>0.21762857142857145</v>
      </c>
      <c r="AH13" s="2888">
        <f t="shared" si="5"/>
        <v>0.21762857142857145</v>
      </c>
      <c r="AI13" s="2888">
        <f t="shared" si="5"/>
        <v>0.21762857142857145</v>
      </c>
      <c r="AJ13" s="2888">
        <f t="shared" si="5"/>
        <v>0.21762857142857145</v>
      </c>
    </row>
    <row r="14" spans="1:39" ht="12.75" customHeight="1">
      <c r="A14" s="3504"/>
      <c r="B14" s="1447"/>
      <c r="C14" s="1448"/>
      <c r="D14" s="1449"/>
      <c r="E14" s="1449"/>
      <c r="F14" s="1450"/>
      <c r="G14" s="1451" t="s">
        <v>949</v>
      </c>
      <c r="H14" s="1452"/>
      <c r="I14" s="1453"/>
      <c r="J14" s="1454"/>
      <c r="K14" s="3148"/>
      <c r="L14" s="3148"/>
      <c r="M14" s="3148"/>
      <c r="N14" s="3148"/>
      <c r="O14" s="3148"/>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505"/>
      <c r="B15" s="3167" t="s">
        <v>1700</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502" t="s">
        <v>1838</v>
      </c>
      <c r="B16" s="1423" t="s">
        <v>950</v>
      </c>
      <c r="C16" s="1051" t="e">
        <f>ROUND(IF(F17="与级别开发程度一致",0,(G17-E17)/C17),0)</f>
        <v>#DIV/0!</v>
      </c>
      <c r="D16" s="3520" t="s">
        <v>954</v>
      </c>
      <c r="E16" s="3521"/>
      <c r="F16" s="3520" t="s">
        <v>951</v>
      </c>
      <c r="G16" s="3521"/>
      <c r="H16" s="1455"/>
      <c r="I16" s="1455"/>
      <c r="J16" s="1455"/>
      <c r="K16" s="1455"/>
      <c r="L16" s="1455"/>
      <c r="M16" s="1455"/>
      <c r="N16" s="1455"/>
      <c r="O16" s="3172"/>
      <c r="P16" s="1397"/>
      <c r="Q16" s="2177"/>
      <c r="R16" s="2892">
        <v>15</v>
      </c>
      <c r="S16" s="2881"/>
      <c r="T16" s="2892" t="e">
        <f t="shared" si="0"/>
        <v>#DIV/0!</v>
      </c>
      <c r="U16" s="2881"/>
      <c r="V16" s="2892" t="e">
        <f t="shared" si="1"/>
        <v>#DIV/0!</v>
      </c>
      <c r="W16" s="2177"/>
      <c r="X16" s="2177"/>
      <c r="Y16" s="2177"/>
      <c r="Z16" s="2177"/>
      <c r="AA16" s="2177"/>
      <c r="AB16" s="2177"/>
      <c r="AC16" s="2178"/>
    </row>
    <row r="17" spans="1:40" ht="13.8" thickBot="1">
      <c r="A17" s="3506"/>
      <c r="B17" s="3173" t="s">
        <v>953</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6">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 thickBot="1">
      <c r="A18" s="2734" t="s">
        <v>1829</v>
      </c>
      <c r="B18" s="3168" t="s">
        <v>955</v>
      </c>
      <c r="C18" s="3169">
        <f>SUMIF(修正!C18:C39,E3,修正!E18:E39)</f>
        <v>0</v>
      </c>
      <c r="D18" s="3170"/>
      <c r="E18" s="3171"/>
      <c r="F18" s="3153"/>
      <c r="G18" s="3147"/>
      <c r="H18" s="3147"/>
      <c r="I18" s="3147"/>
      <c r="J18" s="3161"/>
      <c r="K18" s="3147"/>
      <c r="L18" s="3147"/>
      <c r="M18" s="3147"/>
      <c r="N18" s="3147"/>
      <c r="O18" s="3147"/>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9.4" thickBot="1">
      <c r="A19" s="1625" t="s">
        <v>1835</v>
      </c>
      <c r="B19" s="1458" t="s">
        <v>956</v>
      </c>
      <c r="C19" s="1052">
        <f>ROUND(IF(H19="按公示增长率计算",SUMPRODUCT((地价!A3:A29=YEAR(G19)&amp;"-"&amp;ROUNDUP(MONTH(G19)/3,0))*(地价!X2:AB2=E2)*(地价!X3:AB29)),IF(H19="地价指数",M20/M19,(1+I19)^O19)),4)</f>
        <v>0</v>
      </c>
      <c r="D19" s="1462" t="s">
        <v>957</v>
      </c>
      <c r="E19" s="1053">
        <v>41640</v>
      </c>
      <c r="F19" s="1462" t="s">
        <v>958</v>
      </c>
      <c r="G19" s="1054">
        <f>'数据-取费表'!B2</f>
        <v>43902</v>
      </c>
      <c r="H19" s="1463" t="s">
        <v>2984</v>
      </c>
      <c r="I19" s="2740" t="str">
        <f>IF(H19="季度增幅（自定义）",SUMIF(N21:N24,E2,O21:O24),"")</f>
        <v/>
      </c>
      <c r="J19" s="1459"/>
      <c r="K19" s="3147"/>
      <c r="L19" s="2992" t="s">
        <v>2838</v>
      </c>
      <c r="M19" s="2993">
        <f>ROUND(SUMIF(地价!B2:F2,E2,地价!B29:F29),0)</f>
        <v>0</v>
      </c>
      <c r="N19" s="2742" t="s">
        <v>1676</v>
      </c>
      <c r="O19" s="2741">
        <f>ROUNDDOWN(DATEDIF(E19,G19,"M")/3,0)</f>
        <v>24</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9.4" thickBot="1">
      <c r="A20" s="2734" t="s">
        <v>1836</v>
      </c>
      <c r="B20" s="2735" t="s">
        <v>971</v>
      </c>
      <c r="C20" s="2736" t="e">
        <f>ROUND(POWER(1+G20,J20-I20)*(POWER(1+G20,I20)-1)/(POWER(1+G20,J20)-1),4)</f>
        <v>#DIV/0!</v>
      </c>
      <c r="D20" s="2737" t="s">
        <v>972</v>
      </c>
      <c r="E20" s="3045">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49"/>
      <c r="L20" s="2994" t="s">
        <v>2839</v>
      </c>
      <c r="M20" s="3156">
        <f>ROUND(SUMPRODUCT((地价!A4:A29=YEAR(G19)&amp;"-"&amp;ROUNDUP(MONTH(G19)/3,0))*(地价!B2:F2=E2)*(地价!B4:F29)),0)</f>
        <v>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4.4">
      <c r="A21" s="1627" t="s">
        <v>1837</v>
      </c>
      <c r="B21" s="1468" t="s">
        <v>2758</v>
      </c>
      <c r="C21" s="1153">
        <f>IF(B21="容积率修正",IF(G3&lt;=10,D22,J22),C23)</f>
        <v>0</v>
      </c>
      <c r="D21" s="1469"/>
      <c r="E21" s="1469"/>
      <c r="F21" s="1469"/>
      <c r="G21" s="1469"/>
      <c r="H21" s="1469"/>
      <c r="I21" s="1469"/>
      <c r="J21" s="1470"/>
      <c r="K21" s="3147"/>
      <c r="L21" s="1469"/>
      <c r="M21" s="1469"/>
      <c r="N21" s="1466" t="s">
        <v>975</v>
      </c>
      <c r="O21" s="1529"/>
      <c r="P21" s="2732">
        <f>SUMPRODUCT((地价!A3:A29=YEAR(G19)&amp;"-"&amp;ROUNDUP(MONTH(G19)/3,0))*(地价!AD2:AH2=N21)*(地价!AD3:AH29))</f>
        <v>1.35E-2</v>
      </c>
      <c r="Q21" s="2880"/>
      <c r="R21" s="2180"/>
      <c r="S21" s="2180"/>
      <c r="T21" s="2180"/>
      <c r="U21" s="2180"/>
      <c r="V21" s="2180"/>
      <c r="W21" s="2180"/>
      <c r="X21" s="2180"/>
      <c r="Y21" s="1399"/>
      <c r="Z21" s="1399"/>
      <c r="AA21" s="1399"/>
      <c r="AB21" s="1399"/>
      <c r="AC21" s="1460"/>
      <c r="AD21" s="1460"/>
    </row>
    <row r="22" spans="1:40" s="1417" customFormat="1" ht="14.4">
      <c r="A22" s="1628" t="s">
        <v>1870</v>
      </c>
      <c r="B22" s="1471" t="s">
        <v>976</v>
      </c>
      <c r="C22" s="1055" t="s">
        <v>1702</v>
      </c>
      <c r="D22" s="1055" t="b">
        <f>IF(E22=G22,F22,IF(G3&lt;=10,ROUND(F22+(H22-F22)*(G3-E22)/(G22-E22),4),"——"))</f>
        <v>0</v>
      </c>
      <c r="E22" s="1038">
        <f>ROUNDDOWN(G3,1)</f>
        <v>3.5</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3.5</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0"/>
      <c r="L22" s="1469"/>
      <c r="M22" s="1469"/>
      <c r="N22" s="1466" t="s">
        <v>978</v>
      </c>
      <c r="O22" s="1529"/>
      <c r="P22" s="2732">
        <f>SUMPRODUCT((地价!A3:A29=YEAR(G19)&amp;"-"&amp;ROUNDUP(MONTH(G19)/3,0))*(地价!AD2:AH2=N22)*(地价!AD3:AH29))</f>
        <v>1.35E-2</v>
      </c>
      <c r="Q22" s="2880"/>
      <c r="R22" s="2180"/>
      <c r="S22" s="2180"/>
      <c r="T22" s="2180"/>
      <c r="U22" s="2180"/>
      <c r="V22" s="2180"/>
      <c r="W22" s="2180"/>
      <c r="X22" s="2180"/>
      <c r="Y22" s="1460"/>
      <c r="Z22" s="1460"/>
      <c r="AA22" s="1460"/>
      <c r="AB22" s="1460"/>
      <c r="AC22" s="1460"/>
      <c r="AD22" s="1460"/>
    </row>
    <row r="23" spans="1:40" ht="1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1"/>
      <c r="L23" s="1397"/>
      <c r="M23" s="1397"/>
      <c r="N23" s="1466" t="s">
        <v>923</v>
      </c>
      <c r="O23" s="1529"/>
      <c r="P23" s="2732">
        <f>SUMPRODUCT((地价!A3:A29=YEAR(G19)&amp;"-"&amp;ROUNDUP(MONTH(G19)/3,0))*(地价!AD2:AH2=N23)*(地价!AD3:AH29))</f>
        <v>2.0799999999999999E-2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 thickBot="1">
      <c r="A24" s="1626" t="s">
        <v>1872</v>
      </c>
      <c r="B24" s="1411" t="s">
        <v>980</v>
      </c>
      <c r="C24" s="1057">
        <f>SUMIF(A44:A87,E2,B44:B87)</f>
        <v>0</v>
      </c>
      <c r="D24" s="1522"/>
      <c r="E24" s="1523"/>
      <c r="F24" s="1523"/>
      <c r="G24" s="1523"/>
      <c r="H24" s="1523"/>
      <c r="I24" s="1523"/>
      <c r="J24" s="1523"/>
      <c r="K24" s="3151"/>
      <c r="L24" s="1469"/>
      <c r="M24" s="1469"/>
      <c r="N24" s="1466" t="s">
        <v>981</v>
      </c>
      <c r="O24" s="3155"/>
      <c r="P24" s="2732">
        <f>SUMPRODUCT((地价!A3:A29=YEAR(G19)&amp;"-"&amp;ROUNDUP(MONTH(G19)/3,0))*(地价!AD2:AH2=N24)*(地价!AD3:AH29))</f>
        <v>1.3299999999999999E-2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7" t="s">
        <v>2645</v>
      </c>
      <c r="O25" s="3158"/>
      <c r="P25" s="2411">
        <f>SUMPRODUCT((地价!A3:A29=YEAR(G19)&amp;"-"&amp;ROUNDUP(MONTH(G19)/3,0))*(地价!AD2:AH2=N25)*(地价!AD3:AH29))</f>
        <v>1.9E-2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4">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24">
      <c r="A29" s="1489"/>
      <c r="B29" s="1490" t="s">
        <v>993</v>
      </c>
      <c r="C29" s="1058" t="e">
        <f>ROUND(C5*C18*C19*C20*C21*C24,0)</f>
        <v>#DIV/0!</v>
      </c>
      <c r="D29" s="1491"/>
      <c r="E29" s="1834" t="e">
        <f>ROUND(C29*D29/10000,0)</f>
        <v>#DIV/0!</v>
      </c>
      <c r="F29" s="1492" t="s">
        <v>1701</v>
      </c>
      <c r="G29" s="1493"/>
      <c r="H29" s="1493"/>
      <c r="I29" s="1493"/>
      <c r="J29" s="1494"/>
      <c r="K29" s="3152"/>
      <c r="L29" s="3152"/>
      <c r="M29" s="3152"/>
      <c r="N29" s="3152"/>
      <c r="O29" s="3152"/>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6" thickBot="1">
      <c r="A30" s="1495"/>
      <c r="B30" s="1496" t="s">
        <v>994</v>
      </c>
      <c r="C30" s="1050"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36">
      <c r="A32" s="1489"/>
      <c r="B32" s="1505"/>
      <c r="C32" s="1506" t="s">
        <v>990</v>
      </c>
      <c r="D32" s="1507" t="s">
        <v>991</v>
      </c>
      <c r="E32" s="1507" t="s">
        <v>992</v>
      </c>
      <c r="F32" s="1508" t="s">
        <v>998</v>
      </c>
      <c r="G32" s="1467" t="s">
        <v>990</v>
      </c>
      <c r="H32" s="1467" t="s">
        <v>991</v>
      </c>
      <c r="I32" s="1467" t="s">
        <v>992</v>
      </c>
      <c r="J32" s="1509"/>
      <c r="K32" s="3153"/>
      <c r="L32" s="3153"/>
      <c r="M32" s="3153"/>
      <c r="N32" s="3153"/>
      <c r="O32" s="3153"/>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3.2">
      <c r="A33" s="3509" t="s">
        <v>2954</v>
      </c>
      <c r="B33" s="1511" t="s">
        <v>999</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4"/>
      <c r="L33" s="3154"/>
      <c r="M33" s="3154"/>
      <c r="N33" s="3154"/>
      <c r="O33" s="3154"/>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3.2">
      <c r="A34" s="3510"/>
      <c r="B34" s="1441" t="s">
        <v>1000</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4"/>
      <c r="L34" s="3154"/>
      <c r="M34" s="3154"/>
      <c r="N34" s="3154"/>
      <c r="O34" s="3154"/>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3.2">
      <c r="A35" s="3510"/>
      <c r="B35" s="1441" t="s">
        <v>1001</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4"/>
      <c r="L35" s="3154"/>
      <c r="M35" s="3154"/>
      <c r="N35" s="3154"/>
      <c r="O35" s="3154"/>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8" thickBot="1">
      <c r="A36" s="3511"/>
      <c r="B36" s="1441" t="s">
        <v>1002</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4"/>
      <c r="L36" s="3154"/>
      <c r="M36" s="3154"/>
      <c r="N36" s="3154"/>
      <c r="O36" s="3154"/>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3.2">
      <c r="A37" s="1510"/>
      <c r="B37" s="1441" t="s">
        <v>1003</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3.2">
      <c r="A38" s="1510"/>
      <c r="B38" s="1441" t="s">
        <v>1004</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8" thickBot="1">
      <c r="A39" s="1495"/>
      <c r="B39" s="1513" t="s">
        <v>1005</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24">
      <c r="A41" s="1399"/>
      <c r="B41" s="3145" t="s">
        <v>2978</v>
      </c>
      <c r="C41" s="839" t="e">
        <f>ROUND(POWER(1+E41,H41-G41)*(POWER(1+E41,G41)-1)/(POWER(1+E41,H41)-1),4)</f>
        <v>#DIV/0!</v>
      </c>
      <c r="D41" s="378" t="s">
        <v>2976</v>
      </c>
      <c r="E41" s="3144">
        <f>G20</f>
        <v>0</v>
      </c>
      <c r="F41" s="378" t="s">
        <v>2977</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4.4">
      <c r="A45" s="2388" t="s">
        <v>1007</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1008</v>
      </c>
      <c r="B46" s="2372" t="s">
        <v>1009</v>
      </c>
      <c r="C46" s="2394" t="s">
        <v>1010</v>
      </c>
      <c r="D46" s="2395" t="s">
        <v>1011</v>
      </c>
      <c r="E46" s="2396" t="s">
        <v>1013</v>
      </c>
      <c r="F46" s="2397" t="s">
        <v>2248</v>
      </c>
      <c r="G46" s="2395" t="s">
        <v>1014</v>
      </c>
      <c r="H46" s="2378" t="s">
        <v>2416</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2" t="s">
        <v>1020</v>
      </c>
      <c r="B47" s="2375" t="str">
        <f>估价对象房地状况!C16</f>
        <v>一般</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24">
      <c r="A48" s="1062" t="s">
        <v>1021</v>
      </c>
      <c r="B48" s="2372" t="str">
        <f>估价对象房地状况!C18</f>
        <v>一般</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1022</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48">
      <c r="A50" s="1062" t="s">
        <v>1023</v>
      </c>
      <c r="B50" s="3047" t="s">
        <v>2931</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1024</v>
      </c>
      <c r="B51" s="2372" t="str">
        <f>估价对象房地状况!C24</f>
        <v>主干道——文兴路</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36">
      <c r="A52" s="1062" t="s">
        <v>1025</v>
      </c>
      <c r="B52" s="3046" t="s">
        <v>2930</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一般</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七通</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6" thickBot="1">
      <c r="A55" s="2405" t="s">
        <v>1028</v>
      </c>
      <c r="B55" s="2376" t="str">
        <f>估价对象房地状况!C20</f>
        <v>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4.4">
      <c r="A56" s="2388" t="s">
        <v>1029</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1008</v>
      </c>
      <c r="B57" s="2372"/>
      <c r="C57" s="2394" t="s">
        <v>1010</v>
      </c>
      <c r="D57" s="2395" t="s">
        <v>1011</v>
      </c>
      <c r="E57" s="2396" t="s">
        <v>1013</v>
      </c>
      <c r="F57" s="2397" t="s">
        <v>2249</v>
      </c>
      <c r="G57" s="2395" t="s">
        <v>1014</v>
      </c>
      <c r="H57" s="2378" t="s">
        <v>2416</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1030</v>
      </c>
      <c r="B58" s="2375">
        <f>估价对象房地状况!C17</f>
        <v>0</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24">
      <c r="A59" s="1062" t="s">
        <v>1021</v>
      </c>
      <c r="B59" s="2372" t="str">
        <f>估价对象房地状况!C18</f>
        <v>一般</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1022</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48">
      <c r="A61" s="1062" t="s">
        <v>1023</v>
      </c>
      <c r="B61" s="3047" t="s">
        <v>2932</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1024</v>
      </c>
      <c r="B62" s="2372" t="str">
        <f>估价对象房地状况!C24</f>
        <v>主干道——文兴路</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36">
      <c r="A63" s="1062" t="s">
        <v>1025</v>
      </c>
      <c r="B63" s="3046" t="s">
        <v>2930</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1026</v>
      </c>
      <c r="B64" s="2373" t="str">
        <f>估价对象房地状况!C21</f>
        <v>一般</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1027</v>
      </c>
      <c r="B65" s="2373" t="str">
        <f>估价对象房地状况!C22</f>
        <v>七通</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6" thickBot="1">
      <c r="A66" s="2405" t="s">
        <v>1028</v>
      </c>
      <c r="B66" s="2377" t="str">
        <f>估价对象房地状况!C20</f>
        <v>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4.4">
      <c r="A67" s="2388" t="s">
        <v>1031</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72"/>
      <c r="C68" s="2394" t="s">
        <v>1010</v>
      </c>
      <c r="D68" s="2395" t="s">
        <v>1011</v>
      </c>
      <c r="E68" s="2396" t="s">
        <v>1013</v>
      </c>
      <c r="F68" s="2397" t="s">
        <v>2250</v>
      </c>
      <c r="G68" s="2395" t="s">
        <v>1014</v>
      </c>
      <c r="H68" s="2378" t="s">
        <v>2416</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24">
      <c r="A69" s="1062" t="s">
        <v>1032</v>
      </c>
      <c r="B69" s="2375" t="str">
        <f>估价对象房地状况!C15</f>
        <v>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24">
      <c r="A70" s="1062" t="s">
        <v>1033</v>
      </c>
      <c r="B70" s="2372" t="str">
        <f>估价对象房地状况!C18</f>
        <v>一般</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3.8">
      <c r="A72" s="1062" t="s">
        <v>1034</v>
      </c>
      <c r="B72" s="2372" t="str">
        <f>估价对象房地状况!C24</f>
        <v>主干道——文兴路</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3" t="str">
        <f>估价对象房地状况!C21</f>
        <v>一般</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3" t="str">
        <f>估价对象房地状况!C22</f>
        <v>七通</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36">
      <c r="A75" s="1062" t="s">
        <v>1025</v>
      </c>
      <c r="B75" s="3046" t="s">
        <v>2930</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1028</v>
      </c>
      <c r="B76" s="2375" t="str">
        <f>估价对象房地状况!C20</f>
        <v>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36.6" thickBot="1">
      <c r="A77" s="2405" t="s">
        <v>1035</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4.4">
      <c r="A78" s="2388" t="s">
        <v>1036</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1008</v>
      </c>
      <c r="B79" s="2372"/>
      <c r="C79" s="2394" t="s">
        <v>1010</v>
      </c>
      <c r="D79" s="2395" t="s">
        <v>1011</v>
      </c>
      <c r="E79" s="2396" t="s">
        <v>1013</v>
      </c>
      <c r="F79" s="2397" t="s">
        <v>2251</v>
      </c>
      <c r="G79" s="2395" t="s">
        <v>1014</v>
      </c>
      <c r="H79" s="2378" t="s">
        <v>2416</v>
      </c>
      <c r="I79" s="2395" t="s">
        <v>1012</v>
      </c>
      <c r="J79" s="2398" t="s">
        <v>1015</v>
      </c>
      <c r="K79" s="2398" t="s">
        <v>1016</v>
      </c>
      <c r="L79" s="2398" t="s">
        <v>1017</v>
      </c>
      <c r="M79" s="2398" t="s">
        <v>1018</v>
      </c>
      <c r="N79" s="2398" t="s">
        <v>1019</v>
      </c>
      <c r="AC79" s="1401"/>
      <c r="AD79" s="1400"/>
      <c r="AJ79" s="1399"/>
      <c r="AN79" s="1400"/>
    </row>
    <row r="80" spans="1:40" ht="36">
      <c r="A80" s="1062" t="s">
        <v>1037</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1033</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1022</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3.8">
      <c r="A83" s="1062" t="s">
        <v>1034</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1026</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1027</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36">
      <c r="A86" s="1062" t="s">
        <v>1025</v>
      </c>
      <c r="B86" s="3046" t="s">
        <v>2930</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48.6" thickBot="1">
      <c r="A87" s="2405" t="s">
        <v>1038</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507" t="s">
        <v>1633</v>
      </c>
      <c r="B90" s="3507"/>
      <c r="C90" s="3507"/>
      <c r="D90" s="3507"/>
      <c r="E90" s="3507"/>
      <c r="F90" s="3507"/>
      <c r="G90" s="3507"/>
      <c r="H90" s="3507"/>
      <c r="I90" s="3507"/>
      <c r="J90" s="3507"/>
      <c r="K90" s="2414"/>
      <c r="L90" s="2414"/>
      <c r="M90" s="2414"/>
      <c r="N90" s="2414"/>
    </row>
    <row r="91" spans="1:40">
      <c r="A91" s="3508" t="s">
        <v>1443</v>
      </c>
      <c r="B91" s="3508" t="s">
        <v>1634</v>
      </c>
      <c r="C91" s="1135" t="s">
        <v>1635</v>
      </c>
      <c r="D91" s="1136"/>
      <c r="E91" s="1136"/>
      <c r="F91" s="1136"/>
      <c r="G91" s="1136"/>
      <c r="H91" s="1136"/>
      <c r="I91" s="1136"/>
      <c r="J91" s="1137"/>
      <c r="K91" s="1129"/>
      <c r="L91" s="1129"/>
      <c r="M91" s="1129"/>
      <c r="N91" s="1129"/>
    </row>
    <row r="92" spans="1:40">
      <c r="A92" s="3508"/>
      <c r="B92" s="3508"/>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515"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51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51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51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51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51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516"/>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51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515" t="s">
        <v>1637</v>
      </c>
      <c r="B101" s="1142" t="s">
        <v>906</v>
      </c>
      <c r="C101" s="1143">
        <f>$G$3</f>
        <v>3.5</v>
      </c>
      <c r="D101" s="1143">
        <f t="shared" ref="D101:N101" si="31">$G$3</f>
        <v>3.5</v>
      </c>
      <c r="E101" s="1143">
        <f t="shared" si="31"/>
        <v>3.5</v>
      </c>
      <c r="F101" s="1143">
        <f t="shared" si="31"/>
        <v>3.5</v>
      </c>
      <c r="G101" s="1143">
        <f t="shared" si="31"/>
        <v>3.5</v>
      </c>
      <c r="H101" s="1143">
        <f t="shared" si="31"/>
        <v>3.5</v>
      </c>
      <c r="I101" s="1143">
        <f t="shared" si="31"/>
        <v>3.5</v>
      </c>
      <c r="J101" s="1143">
        <f t="shared" si="31"/>
        <v>3.5</v>
      </c>
      <c r="K101" s="1143">
        <f t="shared" si="31"/>
        <v>3.5</v>
      </c>
      <c r="L101" s="1143">
        <f t="shared" si="31"/>
        <v>3.5</v>
      </c>
      <c r="M101" s="1143">
        <f t="shared" si="31"/>
        <v>3.5</v>
      </c>
      <c r="N101" s="1143">
        <f t="shared" si="31"/>
        <v>3.5</v>
      </c>
    </row>
    <row r="102" spans="1:14">
      <c r="A102" s="3516"/>
      <c r="B102" s="1138">
        <v>1</v>
      </c>
      <c r="C102" s="1139">
        <f>1.9362/C101</f>
        <v>0.55320000000000003</v>
      </c>
      <c r="D102" s="1139">
        <f>1.9362/D101</f>
        <v>0.55320000000000003</v>
      </c>
      <c r="E102" s="1139">
        <f>1.8629/E101</f>
        <v>0.53225714285714287</v>
      </c>
      <c r="F102" s="1139">
        <f>1.8629/F101</f>
        <v>0.53225714285714287</v>
      </c>
      <c r="G102" s="1139">
        <f>1.8629/G101</f>
        <v>0.53225714285714287</v>
      </c>
      <c r="H102" s="1139">
        <f>1.8629/H101</f>
        <v>0.53225714285714287</v>
      </c>
      <c r="I102" s="1139">
        <f>1.8629/I101</f>
        <v>0.53225714285714287</v>
      </c>
      <c r="J102" s="1139">
        <f>1.942/J101</f>
        <v>0.55485714285714283</v>
      </c>
      <c r="K102" s="1139">
        <f>1.942/K101</f>
        <v>0.55485714285714283</v>
      </c>
      <c r="L102" s="1139">
        <f>1.942/L101</f>
        <v>0.55485714285714283</v>
      </c>
      <c r="M102" s="1139">
        <f>1.942/M101</f>
        <v>0.55485714285714283</v>
      </c>
      <c r="N102" s="1139">
        <f>1.942/N101</f>
        <v>0.55485714285714283</v>
      </c>
    </row>
    <row r="103" spans="1:14">
      <c r="A103" s="3516"/>
      <c r="B103" s="1138">
        <v>2</v>
      </c>
      <c r="C103" s="1139">
        <f>1.4198/C101</f>
        <v>0.40565714285714283</v>
      </c>
      <c r="D103" s="1139">
        <f>1.4198/D101</f>
        <v>0.40565714285714283</v>
      </c>
      <c r="E103" s="1139">
        <f>1.3372/E101</f>
        <v>0.38205714285714282</v>
      </c>
      <c r="F103" s="1139">
        <f>1.3372/F101</f>
        <v>0.38205714285714282</v>
      </c>
      <c r="G103" s="1139">
        <f>1.3372/G101</f>
        <v>0.38205714285714282</v>
      </c>
      <c r="H103" s="1139">
        <f>1.3372/H101</f>
        <v>0.38205714285714282</v>
      </c>
      <c r="I103" s="1139">
        <f>1.3372/I101</f>
        <v>0.38205714285714282</v>
      </c>
      <c r="J103" s="1139">
        <f>1.2799/J101</f>
        <v>0.36568571428571428</v>
      </c>
      <c r="K103" s="1139">
        <f>1.2799/K101</f>
        <v>0.36568571428571428</v>
      </c>
      <c r="L103" s="1139">
        <f>1.2799/L101</f>
        <v>0.36568571428571428</v>
      </c>
      <c r="M103" s="1139">
        <f>1.2799/M101</f>
        <v>0.36568571428571428</v>
      </c>
      <c r="N103" s="1139">
        <f>1.2799/N101</f>
        <v>0.36568571428571428</v>
      </c>
    </row>
    <row r="104" spans="1:14">
      <c r="A104" s="3516"/>
      <c r="B104" s="1138">
        <v>3</v>
      </c>
      <c r="C104" s="1139">
        <f>1.1594/C101</f>
        <v>0.33125714285714286</v>
      </c>
      <c r="D104" s="1139">
        <f>1.1594/D101</f>
        <v>0.33125714285714286</v>
      </c>
      <c r="E104" s="1139">
        <f>1.0788/E101</f>
        <v>0.30822857142857141</v>
      </c>
      <c r="F104" s="1139">
        <f>1.0788/F101</f>
        <v>0.30822857142857141</v>
      </c>
      <c r="G104" s="1139">
        <f>1.0788/G101</f>
        <v>0.30822857142857141</v>
      </c>
      <c r="H104" s="1139">
        <f>1.0788/H101</f>
        <v>0.30822857142857141</v>
      </c>
      <c r="I104" s="1139">
        <f>1.0788/I101</f>
        <v>0.30822857142857141</v>
      </c>
      <c r="J104" s="1139">
        <f>1.0072/J101</f>
        <v>0.28777142857142862</v>
      </c>
      <c r="K104" s="1139">
        <f>1.0072/K101</f>
        <v>0.28777142857142862</v>
      </c>
      <c r="L104" s="1139">
        <f>1.0072/L101</f>
        <v>0.28777142857142862</v>
      </c>
      <c r="M104" s="1139">
        <f>1.0072/M101</f>
        <v>0.28777142857142862</v>
      </c>
      <c r="N104" s="1139">
        <f>1.0072/N101</f>
        <v>0.28777142857142862</v>
      </c>
    </row>
    <row r="105" spans="1:14">
      <c r="A105" s="3516"/>
      <c r="B105" s="1138">
        <v>4</v>
      </c>
      <c r="C105" s="1139">
        <f>0.9622/C101</f>
        <v>0.27491428571428572</v>
      </c>
      <c r="D105" s="1139">
        <f>0.9622/D101</f>
        <v>0.27491428571428572</v>
      </c>
      <c r="E105" s="1139">
        <f>0.8656/E101</f>
        <v>0.24731428571428574</v>
      </c>
      <c r="F105" s="1139">
        <f>0.8656/F101</f>
        <v>0.24731428571428574</v>
      </c>
      <c r="G105" s="1139">
        <f>0.8656/G101</f>
        <v>0.24731428571428574</v>
      </c>
      <c r="H105" s="1139">
        <f>0.8656/H101</f>
        <v>0.24731428571428574</v>
      </c>
      <c r="I105" s="1139">
        <f>0.8656/I101</f>
        <v>0.24731428571428574</v>
      </c>
      <c r="J105" s="1139">
        <f>0.7525/J101</f>
        <v>0.215</v>
      </c>
      <c r="K105" s="1139">
        <f>0.7525/K101</f>
        <v>0.215</v>
      </c>
      <c r="L105" s="1139">
        <f>0.7525/L101</f>
        <v>0.215</v>
      </c>
      <c r="M105" s="1139">
        <f>0.7525/M101</f>
        <v>0.215</v>
      </c>
      <c r="N105" s="1139">
        <f>0.7525/N101</f>
        <v>0.215</v>
      </c>
    </row>
    <row r="106" spans="1:14">
      <c r="A106" s="3516"/>
      <c r="B106" s="1138">
        <v>5</v>
      </c>
      <c r="C106" s="1139">
        <f>0.8417/C101</f>
        <v>0.24048571428571427</v>
      </c>
      <c r="D106" s="1139">
        <f>0.8417/D101</f>
        <v>0.24048571428571427</v>
      </c>
      <c r="E106" s="1139">
        <f>0.7371/E101</f>
        <v>0.21059999999999998</v>
      </c>
      <c r="F106" s="1139">
        <f>0.7371/F101</f>
        <v>0.21059999999999998</v>
      </c>
      <c r="G106" s="1139">
        <f>0.7371/G101</f>
        <v>0.21059999999999998</v>
      </c>
      <c r="H106" s="1139">
        <f>0.7371/H101</f>
        <v>0.21059999999999998</v>
      </c>
      <c r="I106" s="1139">
        <f>0.7371/I101</f>
        <v>0.21059999999999998</v>
      </c>
      <c r="J106" s="1139">
        <f>0.5659/J101</f>
        <v>0.16168571428571427</v>
      </c>
      <c r="K106" s="1139">
        <f>0.5659/K101</f>
        <v>0.16168571428571427</v>
      </c>
      <c r="L106" s="1139">
        <f>0.5659/L101</f>
        <v>0.16168571428571427</v>
      </c>
      <c r="M106" s="1139">
        <f>0.5659/M101</f>
        <v>0.16168571428571427</v>
      </c>
      <c r="N106" s="1139">
        <f>0.5659/N101</f>
        <v>0.16168571428571427</v>
      </c>
    </row>
    <row r="107" spans="1:14">
      <c r="A107" s="3516"/>
      <c r="B107" s="1138">
        <v>6</v>
      </c>
      <c r="C107" s="1139">
        <f>0.7608/C101</f>
        <v>0.21737142857142858</v>
      </c>
      <c r="D107" s="1139">
        <f>0.7608/D101</f>
        <v>0.21737142857142858</v>
      </c>
      <c r="E107" s="1139">
        <f>0.6482/E101</f>
        <v>0.1852</v>
      </c>
      <c r="F107" s="1139">
        <f>0.6482/F101</f>
        <v>0.1852</v>
      </c>
      <c r="G107" s="1139">
        <f>0.6482/G101</f>
        <v>0.1852</v>
      </c>
      <c r="H107" s="1139">
        <f>0.6482/H101</f>
        <v>0.1852</v>
      </c>
      <c r="I107" s="1139">
        <f>0.6482/I101</f>
        <v>0.1852</v>
      </c>
      <c r="J107" s="1139">
        <f>0.4525/J101</f>
        <v>0.12928571428571428</v>
      </c>
      <c r="K107" s="1139">
        <f>0.4525/K101</f>
        <v>0.12928571428571428</v>
      </c>
      <c r="L107" s="1139">
        <f>0.4525/L101</f>
        <v>0.12928571428571428</v>
      </c>
      <c r="M107" s="1139">
        <f>0.4525/M101</f>
        <v>0.12928571428571428</v>
      </c>
      <c r="N107" s="1139">
        <f>0.4525/N101</f>
        <v>0.12928571428571428</v>
      </c>
    </row>
    <row r="108" spans="1:14">
      <c r="A108" s="3516"/>
      <c r="B108" s="3518"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517"/>
      <c r="B109" s="3519"/>
      <c r="C109" s="1141">
        <f>(-0.163*(C108^2)-0.59*C108+7617)*(10^(-4))/C101</f>
        <v>0.21719565714285713</v>
      </c>
      <c r="D109" s="1141">
        <f>(-0.163*(D108^2)-0.59*D108+7617)*(10^(-4))/D101</f>
        <v>0.21719565714285713</v>
      </c>
      <c r="E109" s="1141">
        <f>(-0.161*(E108^2)-7.509*E108+6533)*(10^(-4))/E101</f>
        <v>0.18464640000000002</v>
      </c>
      <c r="F109" s="1141">
        <f>(-0.161*(F108^2)-7.509*F108+6533)*(10^(-4))/F101</f>
        <v>0.18464640000000002</v>
      </c>
      <c r="G109" s="1141">
        <f>(-0.161*(G108^2)-7.509*G108+6533)*(10^(-4))/G101</f>
        <v>0.18464640000000002</v>
      </c>
      <c r="H109" s="1141">
        <f>(-0.161*(H108^2)-7.509*H108+6533)*(10^(-4))/H101</f>
        <v>0.18464640000000002</v>
      </c>
      <c r="I109" s="1141">
        <f>(-0.161*(I108^2)-7.509*I108+6533)*(10^(-4))/I101</f>
        <v>0.18464640000000002</v>
      </c>
      <c r="J109" s="1141">
        <f>(-0.214*(J108^2)-21.991*J108+4665)*(10^(-4))/J101</f>
        <v>0.12786788571428573</v>
      </c>
      <c r="K109" s="1141">
        <f>(-0.214*(K108^2)-21.991*K108+4665)*(10^(-4))/K101</f>
        <v>0.12786788571428573</v>
      </c>
      <c r="L109" s="1141">
        <f>(-0.214*(L108^2)-21.991*L108+4665)*(10^(-4))/L101</f>
        <v>0.12786788571428573</v>
      </c>
      <c r="M109" s="1141">
        <f>(-0.214*(M108^2)-21.991*M108+4665)*(10^(-4))/M101</f>
        <v>0.12786788571428573</v>
      </c>
      <c r="N109" s="1141">
        <f>(-0.214*(N108^2)-21.991*N108+4665)*(10^(-4))/N101</f>
        <v>0.12786788571428573</v>
      </c>
    </row>
    <row r="110" spans="1:14">
      <c r="A110" s="3501" t="s">
        <v>1639</v>
      </c>
      <c r="B110" s="3501"/>
      <c r="C110" s="3501"/>
      <c r="D110" s="3501"/>
      <c r="E110" s="3501"/>
      <c r="F110" s="3501"/>
      <c r="G110" s="3501"/>
      <c r="H110" s="3501"/>
      <c r="I110" s="3501"/>
      <c r="J110" s="3501"/>
      <c r="K110" s="2412"/>
      <c r="L110" s="2412"/>
      <c r="M110" s="2412"/>
      <c r="N110" s="2412"/>
    </row>
    <row r="112" spans="1:14" ht="12.6" thickBot="1"/>
    <row r="113" spans="1:13" ht="25.8" thickBot="1">
      <c r="A113" s="1015" t="s">
        <v>896</v>
      </c>
      <c r="B113" s="2415">
        <f>G3</f>
        <v>3.5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0.90059999999999996</v>
      </c>
      <c r="C115" s="1029">
        <f>B115</f>
        <v>0.90059999999999996</v>
      </c>
      <c r="D115" s="1029">
        <f>ROUND(0.8331-0.0109*B113,4)</f>
        <v>0.79500000000000004</v>
      </c>
      <c r="E115" s="1029">
        <f>D115</f>
        <v>0.79500000000000004</v>
      </c>
      <c r="F115" s="1029">
        <f>E115</f>
        <v>0.79500000000000004</v>
      </c>
      <c r="G115" s="1029">
        <f>F115</f>
        <v>0.79500000000000004</v>
      </c>
      <c r="H115" s="1029">
        <f>G115</f>
        <v>0.79500000000000004</v>
      </c>
      <c r="I115" s="1029">
        <f>ROUND(0.689-0.0155*B113,4)</f>
        <v>0.63480000000000003</v>
      </c>
      <c r="J115" s="1029">
        <f t="shared" ref="J115:M118" si="33">I115</f>
        <v>0.63480000000000003</v>
      </c>
      <c r="K115" s="1029">
        <f t="shared" si="33"/>
        <v>0.63480000000000003</v>
      </c>
      <c r="L115" s="1029">
        <f t="shared" si="33"/>
        <v>0.63480000000000003</v>
      </c>
      <c r="M115" s="1030">
        <f t="shared" si="33"/>
        <v>0.63480000000000003</v>
      </c>
    </row>
    <row r="116" spans="1:13" ht="13.2">
      <c r="A116" s="1028" t="s">
        <v>901</v>
      </c>
      <c r="B116" s="1029">
        <f>ROUND(0.949-0.012*B113,4)</f>
        <v>0.90700000000000003</v>
      </c>
      <c r="C116" s="1029">
        <f>B116</f>
        <v>0.90700000000000003</v>
      </c>
      <c r="D116" s="1029">
        <f>ROUND(0.8567-0.013*B113,4)</f>
        <v>0.81120000000000003</v>
      </c>
      <c r="E116" s="1029">
        <f t="shared" ref="E116:H117" si="34">D116</f>
        <v>0.81120000000000003</v>
      </c>
      <c r="F116" s="1029">
        <f t="shared" si="34"/>
        <v>0.81120000000000003</v>
      </c>
      <c r="G116" s="1029">
        <f t="shared" si="34"/>
        <v>0.81120000000000003</v>
      </c>
      <c r="H116" s="1029">
        <f t="shared" si="34"/>
        <v>0.81120000000000003</v>
      </c>
      <c r="I116" s="1029">
        <f>ROUND(0.7694-0.014*B113,4)</f>
        <v>0.72040000000000004</v>
      </c>
      <c r="J116" s="1029">
        <f t="shared" si="33"/>
        <v>0.72040000000000004</v>
      </c>
      <c r="K116" s="1029">
        <f t="shared" si="33"/>
        <v>0.72040000000000004</v>
      </c>
      <c r="L116" s="1029">
        <f t="shared" si="33"/>
        <v>0.72040000000000004</v>
      </c>
      <c r="M116" s="1030">
        <f t="shared" si="33"/>
        <v>0.72040000000000004</v>
      </c>
    </row>
    <row r="117" spans="1:13" ht="13.2">
      <c r="A117" s="1031" t="s">
        <v>902</v>
      </c>
      <c r="B117" s="1029">
        <f>ROUND(0.8808-0.006*B113,4)</f>
        <v>0.85980000000000001</v>
      </c>
      <c r="C117" s="1029">
        <f>B117</f>
        <v>0.85980000000000001</v>
      </c>
      <c r="D117" s="1029">
        <f>ROUND(0.8748-0.008*B113,4)</f>
        <v>0.8468</v>
      </c>
      <c r="E117" s="1029">
        <f t="shared" si="34"/>
        <v>0.8468</v>
      </c>
      <c r="F117" s="1029">
        <f t="shared" si="34"/>
        <v>0.8468</v>
      </c>
      <c r="G117" s="1029">
        <f t="shared" si="34"/>
        <v>0.8468</v>
      </c>
      <c r="H117" s="1029">
        <f t="shared" si="34"/>
        <v>0.8468</v>
      </c>
      <c r="I117" s="1029">
        <f>ROUND(0.7412-0.0095*B113,4)</f>
        <v>0.70799999999999996</v>
      </c>
      <c r="J117" s="1029">
        <f t="shared" si="33"/>
        <v>0.70799999999999996</v>
      </c>
      <c r="K117" s="1029">
        <f t="shared" si="33"/>
        <v>0.70799999999999996</v>
      </c>
      <c r="L117" s="1029">
        <f t="shared" si="33"/>
        <v>0.70799999999999996</v>
      </c>
      <c r="M117" s="1030">
        <f t="shared" si="33"/>
        <v>0.70799999999999996</v>
      </c>
    </row>
    <row r="118" spans="1:13" ht="13.8" thickBot="1">
      <c r="A118" s="1032" t="s">
        <v>903</v>
      </c>
      <c r="B118" s="1033">
        <f>ROUND(0.7275-0.01*B113,4)</f>
        <v>0.6925</v>
      </c>
      <c r="C118" s="1033">
        <f>B118</f>
        <v>0.6925</v>
      </c>
      <c r="D118" s="1033">
        <f>ROUND(0.7043-0.012*B113,4)</f>
        <v>0.6623</v>
      </c>
      <c r="E118" s="1033">
        <f>D118</f>
        <v>0.6623</v>
      </c>
      <c r="F118" s="1033">
        <f>E118</f>
        <v>0.6623</v>
      </c>
      <c r="G118" s="1033">
        <f>ROUND(0.6299-0.0122*B113,4)</f>
        <v>0.58720000000000006</v>
      </c>
      <c r="H118" s="1033">
        <f>G118</f>
        <v>0.58720000000000006</v>
      </c>
      <c r="I118" s="1033">
        <f>ROUND(0.5667-0.0136*B113,4)</f>
        <v>0.51910000000000001</v>
      </c>
      <c r="J118" s="1033">
        <f t="shared" si="33"/>
        <v>0.51910000000000001</v>
      </c>
      <c r="K118" s="1033">
        <f t="shared" si="33"/>
        <v>0.51910000000000001</v>
      </c>
      <c r="L118" s="1033">
        <f t="shared" si="33"/>
        <v>0.51910000000000001</v>
      </c>
      <c r="M118" s="1034">
        <f t="shared" si="33"/>
        <v>0.51910000000000001</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2981</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508" t="s">
        <v>1007</v>
      </c>
      <c r="B18" s="1149" t="s">
        <v>1446</v>
      </c>
      <c r="C18" s="1126" t="s">
        <v>1447</v>
      </c>
      <c r="D18" s="1127"/>
      <c r="E18" s="1149">
        <v>1</v>
      </c>
      <c r="F18" s="1128" t="s">
        <v>1448</v>
      </c>
      <c r="G18" s="1129"/>
      <c r="H18" s="1100"/>
      <c r="I18" s="1100"/>
    </row>
    <row r="19" spans="1:9" s="1584" customFormat="1" ht="19.5" customHeight="1">
      <c r="A19" s="3508"/>
      <c r="B19" s="3508" t="s">
        <v>1449</v>
      </c>
      <c r="C19" s="1126" t="s">
        <v>1450</v>
      </c>
      <c r="D19" s="1127"/>
      <c r="E19" s="1149">
        <v>0.9</v>
      </c>
      <c r="F19" s="1128" t="s">
        <v>1451</v>
      </c>
      <c r="G19" s="1129"/>
      <c r="H19" s="1100"/>
      <c r="I19" s="1100"/>
    </row>
    <row r="20" spans="1:9" s="1584" customFormat="1" ht="19.5" customHeight="1">
      <c r="A20" s="3508"/>
      <c r="B20" s="3508"/>
      <c r="C20" s="1126" t="s">
        <v>1452</v>
      </c>
      <c r="D20" s="1127"/>
      <c r="E20" s="1149">
        <v>1.1000000000000001</v>
      </c>
      <c r="F20" s="1128" t="s">
        <v>1453</v>
      </c>
      <c r="G20" s="1129"/>
      <c r="H20" s="1100"/>
      <c r="I20" s="1100"/>
    </row>
    <row r="21" spans="1:9" s="1584" customFormat="1" ht="19.5" customHeight="1">
      <c r="A21" s="3508"/>
      <c r="B21" s="3508"/>
      <c r="C21" s="1126" t="s">
        <v>1454</v>
      </c>
      <c r="D21" s="1127"/>
      <c r="E21" s="1149">
        <v>0.8</v>
      </c>
      <c r="F21" s="1128" t="s">
        <v>1455</v>
      </c>
      <c r="G21" s="1129"/>
      <c r="H21" s="1100"/>
      <c r="I21" s="1100"/>
    </row>
    <row r="22" spans="1:9" s="1584" customFormat="1" ht="19.5" customHeight="1">
      <c r="A22" s="3508"/>
      <c r="B22" s="3508"/>
      <c r="C22" s="1126" t="s">
        <v>1456</v>
      </c>
      <c r="D22" s="1127"/>
      <c r="E22" s="1149">
        <v>0.5</v>
      </c>
      <c r="F22" s="1128"/>
      <c r="G22" s="1129"/>
      <c r="H22" s="1100"/>
      <c r="I22" s="1100"/>
    </row>
    <row r="23" spans="1:9" s="1584" customFormat="1" ht="19.5" customHeight="1">
      <c r="A23" s="3508" t="s">
        <v>1029</v>
      </c>
      <c r="B23" s="1149" t="s">
        <v>1446</v>
      </c>
      <c r="C23" s="1126" t="s">
        <v>1457</v>
      </c>
      <c r="D23" s="1127"/>
      <c r="E23" s="1149">
        <v>1</v>
      </c>
      <c r="F23" s="1128" t="s">
        <v>1458</v>
      </c>
      <c r="G23" s="1129"/>
      <c r="H23" s="1100"/>
      <c r="I23" s="1100"/>
    </row>
    <row r="24" spans="1:9" s="1584" customFormat="1" ht="19.5" customHeight="1">
      <c r="A24" s="3508"/>
      <c r="B24" s="3508" t="s">
        <v>1449</v>
      </c>
      <c r="C24" s="1126" t="s">
        <v>1459</v>
      </c>
      <c r="D24" s="1127"/>
      <c r="E24" s="1149">
        <v>0.5</v>
      </c>
      <c r="F24" s="1128"/>
      <c r="G24" s="1129"/>
      <c r="H24" s="1100"/>
      <c r="I24" s="1100"/>
    </row>
    <row r="25" spans="1:9" s="1584" customFormat="1" ht="19.5" customHeight="1">
      <c r="A25" s="3508"/>
      <c r="B25" s="3508"/>
      <c r="C25" s="1126" t="s">
        <v>1460</v>
      </c>
      <c r="D25" s="1127"/>
      <c r="E25" s="1149">
        <v>1.1000000000000001</v>
      </c>
      <c r="F25" s="1128"/>
      <c r="G25" s="1129"/>
      <c r="H25" s="1100"/>
      <c r="I25" s="1100"/>
    </row>
    <row r="26" spans="1:9" s="1584" customFormat="1" ht="19.5" customHeight="1">
      <c r="A26" s="3508"/>
      <c r="B26" s="3508"/>
      <c r="C26" s="1126" t="s">
        <v>1461</v>
      </c>
      <c r="D26" s="1127"/>
      <c r="E26" s="1149">
        <v>1.1000000000000001</v>
      </c>
      <c r="F26" s="1128"/>
      <c r="G26" s="1129"/>
      <c r="H26" s="1100"/>
      <c r="I26" s="1100"/>
    </row>
    <row r="27" spans="1:9" s="1584" customFormat="1" ht="19.5" customHeight="1">
      <c r="A27" s="3508"/>
      <c r="B27" s="3508"/>
      <c r="C27" s="1126" t="s">
        <v>1462</v>
      </c>
      <c r="D27" s="1127"/>
      <c r="E27" s="1149">
        <v>0.9</v>
      </c>
      <c r="F27" s="1128" t="s">
        <v>1463</v>
      </c>
      <c r="G27" s="1129"/>
      <c r="H27" s="1100"/>
      <c r="I27" s="1100"/>
    </row>
    <row r="28" spans="1:9" s="1584" customFormat="1" ht="19.5" customHeight="1">
      <c r="A28" s="3508"/>
      <c r="B28" s="3508"/>
      <c r="C28" s="1126" t="s">
        <v>1464</v>
      </c>
      <c r="D28" s="1127"/>
      <c r="E28" s="1149">
        <v>0.9</v>
      </c>
      <c r="F28" s="1128" t="s">
        <v>1465</v>
      </c>
      <c r="G28" s="1129"/>
      <c r="H28" s="1100"/>
      <c r="I28" s="1100"/>
    </row>
    <row r="29" spans="1:9" s="1584" customFormat="1" ht="19.5" customHeight="1">
      <c r="A29" s="3508"/>
      <c r="B29" s="3508"/>
      <c r="C29" s="1126" t="s">
        <v>1466</v>
      </c>
      <c r="D29" s="1127"/>
      <c r="E29" s="1149">
        <v>0.9</v>
      </c>
      <c r="F29" s="1128" t="s">
        <v>1467</v>
      </c>
      <c r="G29" s="1129"/>
      <c r="H29" s="1100"/>
      <c r="I29" s="1100"/>
    </row>
    <row r="30" spans="1:9" s="1584" customFormat="1" ht="19.5" customHeight="1">
      <c r="A30" s="3508"/>
      <c r="B30" s="3508"/>
      <c r="C30" s="1126" t="s">
        <v>1468</v>
      </c>
      <c r="D30" s="1127"/>
      <c r="E30" s="1149">
        <v>0.9</v>
      </c>
      <c r="F30" s="1128" t="s">
        <v>1469</v>
      </c>
      <c r="G30" s="1129"/>
      <c r="H30" s="1100"/>
      <c r="I30" s="1100"/>
    </row>
    <row r="31" spans="1:9" s="1584" customFormat="1" ht="19.5" customHeight="1">
      <c r="A31" s="3508"/>
      <c r="B31" s="3508"/>
      <c r="C31" s="1126" t="s">
        <v>1470</v>
      </c>
      <c r="D31" s="1127"/>
      <c r="E31" s="1149">
        <v>0.8</v>
      </c>
      <c r="F31" s="1128" t="s">
        <v>1471</v>
      </c>
      <c r="G31" s="1129"/>
      <c r="H31" s="1100"/>
      <c r="I31" s="1100"/>
    </row>
    <row r="32" spans="1:9" s="1584" customFormat="1" ht="19.5" customHeight="1">
      <c r="A32" s="3508"/>
      <c r="B32" s="3508"/>
      <c r="C32" s="1126" t="s">
        <v>1472</v>
      </c>
      <c r="D32" s="1127"/>
      <c r="E32" s="1149">
        <v>0.8</v>
      </c>
      <c r="F32" s="1128" t="s">
        <v>1473</v>
      </c>
      <c r="G32" s="1129"/>
      <c r="H32" s="1100"/>
      <c r="I32" s="1100"/>
    </row>
    <row r="33" spans="1:9" s="1584" customFormat="1" ht="19.5" customHeight="1">
      <c r="A33" s="3508" t="s">
        <v>1474</v>
      </c>
      <c r="B33" s="1149" t="s">
        <v>1446</v>
      </c>
      <c r="C33" s="1126" t="s">
        <v>1475</v>
      </c>
      <c r="D33" s="1127"/>
      <c r="E33" s="1149">
        <v>1</v>
      </c>
      <c r="F33" s="1128" t="s">
        <v>1476</v>
      </c>
      <c r="G33" s="1129"/>
      <c r="H33" s="1100"/>
      <c r="I33" s="1100"/>
    </row>
    <row r="34" spans="1:9" s="1584" customFormat="1" ht="19.5" customHeight="1">
      <c r="A34" s="3508"/>
      <c r="B34" s="1149" t="s">
        <v>1449</v>
      </c>
      <c r="C34" s="1126" t="s">
        <v>1477</v>
      </c>
      <c r="D34" s="1127"/>
      <c r="E34" s="1149">
        <v>1.5</v>
      </c>
      <c r="F34" s="1128" t="s">
        <v>1478</v>
      </c>
      <c r="G34" s="1129"/>
      <c r="H34" s="1100"/>
      <c r="I34" s="1100"/>
    </row>
    <row r="35" spans="1:9" s="1584" customFormat="1" ht="19.5" customHeight="1">
      <c r="A35" s="3508" t="s">
        <v>1432</v>
      </c>
      <c r="B35" s="1149" t="s">
        <v>1446</v>
      </c>
      <c r="C35" s="1126" t="s">
        <v>1479</v>
      </c>
      <c r="D35" s="1127"/>
      <c r="E35" s="1149">
        <v>1</v>
      </c>
      <c r="F35" s="1128" t="s">
        <v>1480</v>
      </c>
      <c r="G35" s="1129"/>
      <c r="H35" s="1100"/>
      <c r="I35" s="1100"/>
    </row>
    <row r="36" spans="1:9" s="1584" customFormat="1" ht="19.5" customHeight="1">
      <c r="A36" s="3508"/>
      <c r="B36" s="3508" t="s">
        <v>1449</v>
      </c>
      <c r="C36" s="1126" t="s">
        <v>1481</v>
      </c>
      <c r="D36" s="1127"/>
      <c r="E36" s="1149">
        <v>1</v>
      </c>
      <c r="F36" s="1128" t="s">
        <v>1482</v>
      </c>
      <c r="G36" s="1129"/>
      <c r="H36" s="1100"/>
      <c r="I36" s="1100"/>
    </row>
    <row r="37" spans="1:9" s="1584" customFormat="1" ht="19.5" customHeight="1">
      <c r="A37" s="3508"/>
      <c r="B37" s="3508"/>
      <c r="C37" s="1126" t="s">
        <v>1483</v>
      </c>
      <c r="D37" s="1127"/>
      <c r="E37" s="1149">
        <v>1.5</v>
      </c>
      <c r="F37" s="1128" t="s">
        <v>1484</v>
      </c>
      <c r="G37" s="1129"/>
      <c r="H37" s="1100"/>
      <c r="I37" s="1100"/>
    </row>
    <row r="38" spans="1:9" s="1584" customFormat="1" ht="19.5" customHeight="1">
      <c r="A38" s="3508"/>
      <c r="B38" s="3508"/>
      <c r="C38" s="1126" t="s">
        <v>1485</v>
      </c>
      <c r="D38" s="1127"/>
      <c r="E38" s="1149">
        <v>1</v>
      </c>
      <c r="F38" s="1128" t="s">
        <v>1486</v>
      </c>
      <c r="G38" s="1129"/>
      <c r="H38" s="1100"/>
      <c r="I38" s="1100"/>
    </row>
    <row r="39" spans="1:9" s="1584" customFormat="1" ht="19.5" customHeight="1">
      <c r="A39" s="3508"/>
      <c r="B39" s="3508"/>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508" t="s">
        <v>1501</v>
      </c>
      <c r="C61" s="1063" t="s">
        <v>1502</v>
      </c>
      <c r="D61" s="1063" t="s">
        <v>1503</v>
      </c>
      <c r="E61" s="1134">
        <v>0.5</v>
      </c>
      <c r="F61" s="1149">
        <v>80</v>
      </c>
      <c r="H61" s="1100">
        <f>SUMIF(C59:C119,基准地价!C8,E59:E119)</f>
        <v>0</v>
      </c>
    </row>
    <row r="62" spans="1:8" s="1100" customFormat="1" ht="36">
      <c r="A62" s="1149">
        <v>2</v>
      </c>
      <c r="B62" s="3508"/>
      <c r="C62" s="1063" t="s">
        <v>1504</v>
      </c>
      <c r="D62" s="1063" t="s">
        <v>1505</v>
      </c>
      <c r="E62" s="1134">
        <v>0.5</v>
      </c>
      <c r="F62" s="1149">
        <v>80</v>
      </c>
    </row>
    <row r="63" spans="1:8" s="1100" customFormat="1" ht="48">
      <c r="A63" s="1149">
        <v>3</v>
      </c>
      <c r="B63" s="3508"/>
      <c r="C63" s="1063" t="s">
        <v>1506</v>
      </c>
      <c r="D63" s="1063" t="s">
        <v>1507</v>
      </c>
      <c r="E63" s="1134">
        <v>0.5</v>
      </c>
      <c r="F63" s="1149">
        <v>80</v>
      </c>
    </row>
    <row r="64" spans="1:8" s="1100" customFormat="1" ht="48">
      <c r="A64" s="1149">
        <v>4</v>
      </c>
      <c r="B64" s="3508"/>
      <c r="C64" s="1063" t="s">
        <v>1508</v>
      </c>
      <c r="D64" s="1063" t="s">
        <v>1509</v>
      </c>
      <c r="E64" s="1134">
        <v>0.4</v>
      </c>
      <c r="F64" s="1149">
        <v>60</v>
      </c>
    </row>
    <row r="65" spans="1:6" s="1100" customFormat="1" ht="48">
      <c r="A65" s="1149">
        <v>5</v>
      </c>
      <c r="B65" s="3508"/>
      <c r="C65" s="1063" t="s">
        <v>1510</v>
      </c>
      <c r="D65" s="1063" t="s">
        <v>1511</v>
      </c>
      <c r="E65" s="1134">
        <v>0.2</v>
      </c>
      <c r="F65" s="1149">
        <v>30</v>
      </c>
    </row>
    <row r="66" spans="1:6" s="1100" customFormat="1" ht="48">
      <c r="A66" s="1149">
        <v>6</v>
      </c>
      <c r="B66" s="3508"/>
      <c r="C66" s="1063" t="s">
        <v>1512</v>
      </c>
      <c r="D66" s="1063" t="s">
        <v>1513</v>
      </c>
      <c r="E66" s="1134">
        <v>0.3</v>
      </c>
      <c r="F66" s="1149">
        <v>50</v>
      </c>
    </row>
    <row r="67" spans="1:6" s="1100" customFormat="1" ht="48">
      <c r="A67" s="1149">
        <v>7</v>
      </c>
      <c r="B67" s="3508"/>
      <c r="C67" s="1063" t="s">
        <v>1514</v>
      </c>
      <c r="D67" s="1063" t="s">
        <v>1515</v>
      </c>
      <c r="E67" s="1134">
        <v>0.2</v>
      </c>
      <c r="F67" s="1149">
        <v>30</v>
      </c>
    </row>
    <row r="68" spans="1:6" s="1100" customFormat="1" ht="48">
      <c r="A68" s="1149">
        <v>8</v>
      </c>
      <c r="B68" s="3508"/>
      <c r="C68" s="1063" t="s">
        <v>1516</v>
      </c>
      <c r="D68" s="1063" t="s">
        <v>1517</v>
      </c>
      <c r="E68" s="1134">
        <v>0.2</v>
      </c>
      <c r="F68" s="1149">
        <v>30</v>
      </c>
    </row>
    <row r="69" spans="1:6" s="1100" customFormat="1" ht="48">
      <c r="A69" s="1149">
        <v>9</v>
      </c>
      <c r="B69" s="3508"/>
      <c r="C69" s="1063" t="s">
        <v>1518</v>
      </c>
      <c r="D69" s="1063" t="s">
        <v>1519</v>
      </c>
      <c r="E69" s="1134">
        <v>0.2</v>
      </c>
      <c r="F69" s="1149">
        <v>30</v>
      </c>
    </row>
    <row r="70" spans="1:6" s="1100" customFormat="1" ht="60">
      <c r="A70" s="1149">
        <v>10</v>
      </c>
      <c r="B70" s="3508"/>
      <c r="C70" s="1063" t="s">
        <v>1520</v>
      </c>
      <c r="D70" s="1063" t="s">
        <v>1521</v>
      </c>
      <c r="E70" s="1134">
        <v>0.2</v>
      </c>
      <c r="F70" s="1149">
        <v>30</v>
      </c>
    </row>
    <row r="71" spans="1:6" s="1100" customFormat="1" ht="60">
      <c r="A71" s="1149">
        <v>11</v>
      </c>
      <c r="B71" s="3508"/>
      <c r="C71" s="1063" t="s">
        <v>1522</v>
      </c>
      <c r="D71" s="1063" t="s">
        <v>1523</v>
      </c>
      <c r="E71" s="1134">
        <v>0.2</v>
      </c>
      <c r="F71" s="1149">
        <v>30</v>
      </c>
    </row>
    <row r="72" spans="1:6" s="1100" customFormat="1" ht="36">
      <c r="A72" s="1149">
        <v>12</v>
      </c>
      <c r="B72" s="3508"/>
      <c r="C72" s="1063" t="s">
        <v>1524</v>
      </c>
      <c r="D72" s="1063" t="s">
        <v>1525</v>
      </c>
      <c r="E72" s="1134">
        <v>0.5</v>
      </c>
      <c r="F72" s="1149">
        <v>80</v>
      </c>
    </row>
    <row r="73" spans="1:6" s="1100" customFormat="1" ht="36">
      <c r="A73" s="1149">
        <v>13</v>
      </c>
      <c r="B73" s="3508"/>
      <c r="C73" s="1063" t="s">
        <v>1526</v>
      </c>
      <c r="D73" s="1063" t="s">
        <v>1527</v>
      </c>
      <c r="E73" s="1134">
        <v>0.4</v>
      </c>
      <c r="F73" s="1149">
        <v>60</v>
      </c>
    </row>
    <row r="74" spans="1:6" s="1100" customFormat="1" ht="36">
      <c r="A74" s="1149">
        <v>14</v>
      </c>
      <c r="B74" s="3508"/>
      <c r="C74" s="1063" t="s">
        <v>1528</v>
      </c>
      <c r="D74" s="1063" t="s">
        <v>1529</v>
      </c>
      <c r="E74" s="1134">
        <v>0.2</v>
      </c>
      <c r="F74" s="1149">
        <v>30</v>
      </c>
    </row>
    <row r="75" spans="1:6" s="1100" customFormat="1" ht="36">
      <c r="A75" s="1149">
        <v>15</v>
      </c>
      <c r="B75" s="3508"/>
      <c r="C75" s="1063" t="s">
        <v>1530</v>
      </c>
      <c r="D75" s="1063" t="s">
        <v>1531</v>
      </c>
      <c r="E75" s="1134">
        <v>0.2</v>
      </c>
      <c r="F75" s="1149">
        <v>30</v>
      </c>
    </row>
    <row r="76" spans="1:6" s="1100" customFormat="1" ht="36">
      <c r="A76" s="1149">
        <v>16</v>
      </c>
      <c r="B76" s="3508" t="s">
        <v>1532</v>
      </c>
      <c r="C76" s="1063" t="s">
        <v>1533</v>
      </c>
      <c r="D76" s="1063" t="s">
        <v>1534</v>
      </c>
      <c r="E76" s="1134">
        <v>0.5</v>
      </c>
      <c r="F76" s="1149">
        <v>80</v>
      </c>
    </row>
    <row r="77" spans="1:6" s="1100" customFormat="1" ht="36">
      <c r="A77" s="1149">
        <v>17</v>
      </c>
      <c r="B77" s="3508"/>
      <c r="C77" s="1063" t="s">
        <v>1535</v>
      </c>
      <c r="D77" s="1063" t="s">
        <v>1536</v>
      </c>
      <c r="E77" s="1134">
        <v>0.5</v>
      </c>
      <c r="F77" s="1149">
        <v>80</v>
      </c>
    </row>
    <row r="78" spans="1:6" s="1100" customFormat="1" ht="36">
      <c r="A78" s="1149">
        <v>18</v>
      </c>
      <c r="B78" s="3508"/>
      <c r="C78" s="1063" t="s">
        <v>1537</v>
      </c>
      <c r="D78" s="1063" t="s">
        <v>1538</v>
      </c>
      <c r="E78" s="1134">
        <v>0.2</v>
      </c>
      <c r="F78" s="1149">
        <v>30</v>
      </c>
    </row>
    <row r="79" spans="1:6" s="1100" customFormat="1" ht="36">
      <c r="A79" s="1149">
        <v>19</v>
      </c>
      <c r="B79" s="3508"/>
      <c r="C79" s="1063" t="s">
        <v>1539</v>
      </c>
      <c r="D79" s="1063" t="s">
        <v>1540</v>
      </c>
      <c r="E79" s="1134">
        <v>0.5</v>
      </c>
      <c r="F79" s="1149">
        <v>80</v>
      </c>
    </row>
    <row r="80" spans="1:6" s="1100" customFormat="1" ht="36">
      <c r="A80" s="1149">
        <v>20</v>
      </c>
      <c r="B80" s="3508"/>
      <c r="C80" s="1063" t="s">
        <v>1541</v>
      </c>
      <c r="D80" s="1063" t="s">
        <v>1542</v>
      </c>
      <c r="E80" s="1134">
        <v>0.2</v>
      </c>
      <c r="F80" s="1149">
        <v>30</v>
      </c>
    </row>
    <row r="81" spans="1:6" s="1100" customFormat="1" ht="36">
      <c r="A81" s="1149">
        <v>21</v>
      </c>
      <c r="B81" s="3508"/>
      <c r="C81" s="1063" t="s">
        <v>1543</v>
      </c>
      <c r="D81" s="1063" t="s">
        <v>1544</v>
      </c>
      <c r="E81" s="1134">
        <v>0.2</v>
      </c>
      <c r="F81" s="1149">
        <v>30</v>
      </c>
    </row>
    <row r="82" spans="1:6" s="1100" customFormat="1" ht="60">
      <c r="A82" s="1149">
        <v>22</v>
      </c>
      <c r="B82" s="3508"/>
      <c r="C82" s="1063" t="s">
        <v>1545</v>
      </c>
      <c r="D82" s="1063" t="s">
        <v>1546</v>
      </c>
      <c r="E82" s="1134">
        <v>0.2</v>
      </c>
      <c r="F82" s="1149">
        <v>30</v>
      </c>
    </row>
    <row r="83" spans="1:6" s="1100" customFormat="1" ht="60">
      <c r="A83" s="1149">
        <v>23</v>
      </c>
      <c r="B83" s="3508"/>
      <c r="C83" s="1063" t="s">
        <v>1547</v>
      </c>
      <c r="D83" s="1063" t="s">
        <v>1548</v>
      </c>
      <c r="E83" s="1134">
        <v>0.2</v>
      </c>
      <c r="F83" s="1149">
        <v>30</v>
      </c>
    </row>
    <row r="84" spans="1:6" s="1100" customFormat="1" ht="48">
      <c r="A84" s="1149">
        <v>24</v>
      </c>
      <c r="B84" s="3508"/>
      <c r="C84" s="1063" t="s">
        <v>1549</v>
      </c>
      <c r="D84" s="1063" t="s">
        <v>1550</v>
      </c>
      <c r="E84" s="1134">
        <v>0.2</v>
      </c>
      <c r="F84" s="1149">
        <v>30</v>
      </c>
    </row>
    <row r="85" spans="1:6" s="1100" customFormat="1" ht="36">
      <c r="A85" s="1149">
        <v>25</v>
      </c>
      <c r="B85" s="3508"/>
      <c r="C85" s="1063" t="s">
        <v>1551</v>
      </c>
      <c r="D85" s="1063" t="s">
        <v>1552</v>
      </c>
      <c r="E85" s="1134">
        <v>0.5</v>
      </c>
      <c r="F85" s="1149">
        <v>80</v>
      </c>
    </row>
    <row r="86" spans="1:6" s="1100" customFormat="1" ht="36">
      <c r="A86" s="1149">
        <v>26</v>
      </c>
      <c r="B86" s="3508"/>
      <c r="C86" s="1063" t="s">
        <v>1553</v>
      </c>
      <c r="D86" s="1063" t="s">
        <v>1554</v>
      </c>
      <c r="E86" s="1134">
        <v>0.2</v>
      </c>
      <c r="F86" s="1149">
        <v>30</v>
      </c>
    </row>
    <row r="87" spans="1:6" s="1100" customFormat="1" ht="36">
      <c r="A87" s="1149">
        <v>27</v>
      </c>
      <c r="B87" s="3508"/>
      <c r="C87" s="1063" t="s">
        <v>1555</v>
      </c>
      <c r="D87" s="1063" t="s">
        <v>1556</v>
      </c>
      <c r="E87" s="1134">
        <v>0.2</v>
      </c>
      <c r="F87" s="1149">
        <v>30</v>
      </c>
    </row>
    <row r="88" spans="1:6" s="1100" customFormat="1" ht="36">
      <c r="A88" s="1149">
        <v>28</v>
      </c>
      <c r="B88" s="3508"/>
      <c r="C88" s="1063" t="s">
        <v>1557</v>
      </c>
      <c r="D88" s="1063" t="s">
        <v>1558</v>
      </c>
      <c r="E88" s="1134">
        <v>0.2</v>
      </c>
      <c r="F88" s="1149">
        <v>30</v>
      </c>
    </row>
    <row r="89" spans="1:6" s="1100" customFormat="1" ht="36">
      <c r="A89" s="1149">
        <v>29</v>
      </c>
      <c r="B89" s="3508"/>
      <c r="C89" s="1063" t="s">
        <v>1559</v>
      </c>
      <c r="D89" s="1063" t="s">
        <v>1560</v>
      </c>
      <c r="E89" s="1134">
        <v>0.2</v>
      </c>
      <c r="F89" s="1149">
        <v>30</v>
      </c>
    </row>
    <row r="90" spans="1:6" s="1100" customFormat="1" ht="36">
      <c r="A90" s="1149">
        <v>30</v>
      </c>
      <c r="B90" s="3508"/>
      <c r="C90" s="1063" t="s">
        <v>1561</v>
      </c>
      <c r="D90" s="1063" t="s">
        <v>1562</v>
      </c>
      <c r="E90" s="1134">
        <v>0.2</v>
      </c>
      <c r="F90" s="1149">
        <v>30</v>
      </c>
    </row>
    <row r="91" spans="1:6" s="1100" customFormat="1" ht="48">
      <c r="A91" s="1149">
        <v>31</v>
      </c>
      <c r="B91" s="3508"/>
      <c r="C91" s="1063" t="s">
        <v>1563</v>
      </c>
      <c r="D91" s="1063" t="s">
        <v>1564</v>
      </c>
      <c r="E91" s="1134">
        <v>0.2</v>
      </c>
      <c r="F91" s="1149">
        <v>30</v>
      </c>
    </row>
    <row r="92" spans="1:6" s="1100" customFormat="1" ht="36">
      <c r="A92" s="1149">
        <v>32</v>
      </c>
      <c r="B92" s="3508" t="s">
        <v>1565</v>
      </c>
      <c r="C92" s="1149" t="s">
        <v>1566</v>
      </c>
      <c r="D92" s="1063" t="s">
        <v>1567</v>
      </c>
      <c r="E92" s="1134">
        <v>0.2</v>
      </c>
      <c r="F92" s="1149">
        <v>30</v>
      </c>
    </row>
    <row r="93" spans="1:6" s="1100" customFormat="1" ht="36">
      <c r="A93" s="1149">
        <v>33</v>
      </c>
      <c r="B93" s="3508"/>
      <c r="C93" s="1149" t="s">
        <v>1568</v>
      </c>
      <c r="D93" s="1063" t="s">
        <v>1569</v>
      </c>
      <c r="E93" s="1134">
        <v>0.2</v>
      </c>
      <c r="F93" s="1149">
        <v>30</v>
      </c>
    </row>
    <row r="94" spans="1:6" s="1100" customFormat="1" ht="60">
      <c r="A94" s="1149">
        <v>34</v>
      </c>
      <c r="B94" s="3508"/>
      <c r="C94" s="1149" t="s">
        <v>1570</v>
      </c>
      <c r="D94" s="1063" t="s">
        <v>1571</v>
      </c>
      <c r="E94" s="1134">
        <v>0.2</v>
      </c>
      <c r="F94" s="1149">
        <v>30</v>
      </c>
    </row>
    <row r="95" spans="1:6" s="1100" customFormat="1" ht="48">
      <c r="A95" s="1149">
        <v>35</v>
      </c>
      <c r="B95" s="3508"/>
      <c r="C95" s="1149" t="s">
        <v>1572</v>
      </c>
      <c r="D95" s="1063" t="s">
        <v>1573</v>
      </c>
      <c r="E95" s="1134">
        <v>0.2</v>
      </c>
      <c r="F95" s="1149">
        <v>30</v>
      </c>
    </row>
    <row r="96" spans="1:6" s="1100" customFormat="1" ht="72">
      <c r="A96" s="1149">
        <v>36</v>
      </c>
      <c r="B96" s="3508"/>
      <c r="C96" s="1063" t="s">
        <v>1574</v>
      </c>
      <c r="D96" s="1063" t="s">
        <v>1575</v>
      </c>
      <c r="E96" s="1134">
        <v>0.2</v>
      </c>
      <c r="F96" s="1149">
        <v>30</v>
      </c>
    </row>
    <row r="97" spans="1:6" s="1100" customFormat="1" ht="36">
      <c r="A97" s="1149">
        <v>37</v>
      </c>
      <c r="B97" s="3508"/>
      <c r="C97" s="1149" t="s">
        <v>1576</v>
      </c>
      <c r="D97" s="1063" t="s">
        <v>1577</v>
      </c>
      <c r="E97" s="1134">
        <v>0.2</v>
      </c>
      <c r="F97" s="1149">
        <v>30</v>
      </c>
    </row>
    <row r="98" spans="1:6" s="1100" customFormat="1" ht="36">
      <c r="A98" s="1149">
        <v>38</v>
      </c>
      <c r="B98" s="3508"/>
      <c r="C98" s="1149" t="s">
        <v>1578</v>
      </c>
      <c r="D98" s="1063" t="s">
        <v>1579</v>
      </c>
      <c r="E98" s="1134">
        <v>0.2</v>
      </c>
      <c r="F98" s="1149">
        <v>30</v>
      </c>
    </row>
    <row r="99" spans="1:6" s="1100" customFormat="1" ht="36">
      <c r="A99" s="1149">
        <v>39</v>
      </c>
      <c r="B99" s="3508" t="s">
        <v>1580</v>
      </c>
      <c r="C99" s="1149" t="s">
        <v>1581</v>
      </c>
      <c r="D99" s="1063" t="s">
        <v>1582</v>
      </c>
      <c r="E99" s="1134">
        <v>0.3</v>
      </c>
      <c r="F99" s="1149">
        <v>50</v>
      </c>
    </row>
    <row r="100" spans="1:6" s="1100" customFormat="1" ht="36">
      <c r="A100" s="1149">
        <v>40</v>
      </c>
      <c r="B100" s="3508"/>
      <c r="C100" s="1149" t="s">
        <v>1583</v>
      </c>
      <c r="D100" s="1063" t="s">
        <v>1584</v>
      </c>
      <c r="E100" s="1134">
        <v>0.2</v>
      </c>
      <c r="F100" s="1149">
        <v>30</v>
      </c>
    </row>
    <row r="101" spans="1:6" s="1100" customFormat="1" ht="36">
      <c r="A101" s="1149">
        <v>41</v>
      </c>
      <c r="B101" s="3508"/>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508" t="s">
        <v>1595</v>
      </c>
      <c r="C105" s="1149" t="s">
        <v>1596</v>
      </c>
      <c r="D105" s="1063" t="s">
        <v>1597</v>
      </c>
      <c r="E105" s="1134">
        <v>0.2</v>
      </c>
      <c r="F105" s="1149">
        <v>30</v>
      </c>
    </row>
    <row r="106" spans="1:6" s="1100" customFormat="1" ht="48">
      <c r="A106" s="1149">
        <v>46</v>
      </c>
      <c r="B106" s="3508"/>
      <c r="C106" s="1149" t="s">
        <v>1598</v>
      </c>
      <c r="D106" s="1063" t="s">
        <v>1599</v>
      </c>
      <c r="E106" s="1134">
        <v>0.2</v>
      </c>
      <c r="F106" s="1149">
        <v>30</v>
      </c>
    </row>
    <row r="107" spans="1:6" s="1100" customFormat="1" ht="36">
      <c r="A107" s="1149">
        <v>47</v>
      </c>
      <c r="B107" s="3508" t="s">
        <v>1600</v>
      </c>
      <c r="C107" s="1149" t="s">
        <v>1601</v>
      </c>
      <c r="D107" s="1063" t="s">
        <v>1602</v>
      </c>
      <c r="E107" s="1134">
        <v>0.3</v>
      </c>
      <c r="F107" s="1149">
        <v>50</v>
      </c>
    </row>
    <row r="108" spans="1:6" s="1100" customFormat="1" ht="48">
      <c r="A108" s="1149">
        <v>48</v>
      </c>
      <c r="B108" s="3508"/>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508" t="s">
        <v>1611</v>
      </c>
      <c r="C111" s="1149" t="s">
        <v>1612</v>
      </c>
      <c r="D111" s="1063" t="s">
        <v>1613</v>
      </c>
      <c r="E111" s="1134">
        <v>0.2</v>
      </c>
      <c r="F111" s="1149">
        <v>30</v>
      </c>
    </row>
    <row r="112" spans="1:6" s="1100" customFormat="1" ht="36">
      <c r="A112" s="1149">
        <v>52</v>
      </c>
      <c r="B112" s="3508"/>
      <c r="C112" s="1149" t="s">
        <v>1614</v>
      </c>
      <c r="D112" s="1063" t="s">
        <v>1615</v>
      </c>
      <c r="E112" s="1134">
        <v>0.2</v>
      </c>
      <c r="F112" s="1149">
        <v>30</v>
      </c>
    </row>
    <row r="113" spans="1:14" s="1100" customFormat="1" ht="36">
      <c r="A113" s="1149">
        <v>53</v>
      </c>
      <c r="B113" s="3508"/>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508" t="s">
        <v>1624</v>
      </c>
      <c r="C116" s="1149" t="s">
        <v>1625</v>
      </c>
      <c r="D116" s="1063" t="s">
        <v>1626</v>
      </c>
      <c r="E116" s="1134">
        <v>0.2</v>
      </c>
      <c r="F116" s="1149">
        <v>30</v>
      </c>
    </row>
    <row r="117" spans="1:14" ht="36">
      <c r="A117" s="1149">
        <v>57</v>
      </c>
      <c r="B117" s="3508"/>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507" t="s">
        <v>1633</v>
      </c>
      <c r="B121" s="3507"/>
      <c r="C121" s="3507"/>
      <c r="D121" s="3507"/>
      <c r="E121" s="3507"/>
      <c r="F121" s="3507"/>
      <c r="G121" s="3507"/>
      <c r="H121" s="3507"/>
      <c r="I121" s="3507"/>
      <c r="J121" s="350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522" t="s">
        <v>1039</v>
      </c>
      <c r="B1" s="3522"/>
      <c r="C1" s="3522"/>
      <c r="D1" s="3522"/>
      <c r="E1" s="3522"/>
      <c r="F1" s="3522"/>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523" t="s">
        <v>1052</v>
      </c>
      <c r="B2" s="3523"/>
      <c r="C2" s="3523"/>
      <c r="D2" s="3523"/>
      <c r="E2" s="3523"/>
      <c r="F2" s="3523"/>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524"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525"/>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2420</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2421</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5" customWidth="1"/>
    <col min="2" max="2" width="10.21875" style="1866" customWidth="1"/>
  </cols>
  <sheetData>
    <row r="1" spans="1:6">
      <c r="A1" s="3526" t="s">
        <v>2077</v>
      </c>
      <c r="B1" s="3526"/>
    </row>
    <row r="2" spans="1:6" ht="15" thickBot="1">
      <c r="A2" s="1836"/>
      <c r="B2" s="1836"/>
    </row>
    <row r="3" spans="1:6" ht="15" thickBot="1">
      <c r="A3" s="1836"/>
      <c r="B3" s="1836"/>
      <c r="C3" s="1837" t="s">
        <v>2078</v>
      </c>
      <c r="D3" s="1837" t="s">
        <v>2079</v>
      </c>
      <c r="E3" s="1837" t="s">
        <v>2080</v>
      </c>
      <c r="F3" s="1837" t="s">
        <v>2081</v>
      </c>
    </row>
    <row r="4" spans="1:6" ht="15" thickBot="1">
      <c r="A4" s="1838" t="s">
        <v>2082</v>
      </c>
      <c r="B4" s="1839" t="s">
        <v>2083</v>
      </c>
      <c r="C4" s="1837"/>
      <c r="D4" s="1837"/>
      <c r="E4" s="1837"/>
      <c r="F4" s="1837"/>
    </row>
    <row r="5" spans="1:6" ht="15" thickBot="1">
      <c r="A5" s="1840" t="s">
        <v>2084</v>
      </c>
      <c r="B5" s="1841" t="s">
        <v>2085</v>
      </c>
      <c r="C5" s="1842">
        <v>8.8999999999999996E-2</v>
      </c>
      <c r="D5" s="1842">
        <v>7.3999999999999996E-2</v>
      </c>
      <c r="E5" s="1842">
        <v>7.4999999999999997E-2</v>
      </c>
      <c r="F5" s="1843">
        <v>0.1</v>
      </c>
    </row>
    <row r="6" spans="1:6" ht="15" thickBot="1">
      <c r="A6" s="1840" t="s">
        <v>1096</v>
      </c>
      <c r="B6" s="1844" t="s">
        <v>2086</v>
      </c>
      <c r="C6" s="1845">
        <v>0.1</v>
      </c>
      <c r="D6" s="1845">
        <v>9.0999999999999998E-2</v>
      </c>
      <c r="E6" s="1845">
        <v>9.0999999999999998E-2</v>
      </c>
      <c r="F6" s="1846">
        <v>0.1</v>
      </c>
    </row>
    <row r="7" spans="1:6" ht="15" thickBot="1">
      <c r="A7" s="1840" t="s">
        <v>1096</v>
      </c>
      <c r="B7" s="1847" t="s">
        <v>1084</v>
      </c>
      <c r="C7" s="1845">
        <v>8.5999999999999993E-2</v>
      </c>
      <c r="D7" s="1845">
        <v>9.6000000000000002E-2</v>
      </c>
      <c r="E7" s="1845">
        <v>7.5999999999999998E-2</v>
      </c>
      <c r="F7" s="1846">
        <v>0.1</v>
      </c>
    </row>
    <row r="8" spans="1:6" ht="15" thickBot="1">
      <c r="A8" s="1840" t="s">
        <v>1096</v>
      </c>
      <c r="B8" s="1844" t="s">
        <v>1097</v>
      </c>
      <c r="C8" s="1845">
        <v>9.9000000000000005E-2</v>
      </c>
      <c r="D8" s="1845">
        <v>9.8000000000000004E-2</v>
      </c>
      <c r="E8" s="1845">
        <v>9.8000000000000004E-2</v>
      </c>
      <c r="F8" s="1846">
        <v>0.1</v>
      </c>
    </row>
    <row r="9" spans="1:6" ht="15" thickBot="1">
      <c r="A9" s="1848" t="s">
        <v>1096</v>
      </c>
      <c r="B9" s="1849" t="s">
        <v>1111</v>
      </c>
      <c r="C9" s="1850">
        <v>0.05</v>
      </c>
      <c r="D9" s="1851"/>
      <c r="E9" s="1851"/>
      <c r="F9" s="1852"/>
    </row>
    <row r="10" spans="1:6" ht="15" thickBot="1">
      <c r="A10" s="1840" t="s">
        <v>1155</v>
      </c>
      <c r="B10" s="1841" t="s">
        <v>2087</v>
      </c>
      <c r="C10" s="1842">
        <v>8.8999999999999996E-2</v>
      </c>
      <c r="D10" s="1842">
        <v>7.2999999999999995E-2</v>
      </c>
      <c r="E10" s="1842">
        <v>8.2000000000000003E-2</v>
      </c>
      <c r="F10" s="1843">
        <v>0.1</v>
      </c>
    </row>
    <row r="11" spans="1:6" ht="15" thickBot="1">
      <c r="A11" s="1840" t="s">
        <v>1155</v>
      </c>
      <c r="B11" s="1847" t="s">
        <v>1071</v>
      </c>
      <c r="C11" s="1845">
        <v>8.8999999999999996E-2</v>
      </c>
      <c r="D11" s="1845">
        <v>7.2999999999999995E-2</v>
      </c>
      <c r="E11" s="1845">
        <v>8.2000000000000003E-2</v>
      </c>
      <c r="F11" s="1846">
        <v>0.1</v>
      </c>
    </row>
    <row r="12" spans="1:6" ht="15" thickBot="1">
      <c r="A12" s="1840" t="s">
        <v>1155</v>
      </c>
      <c r="B12" s="1847" t="s">
        <v>1085</v>
      </c>
      <c r="C12" s="1845">
        <v>6.0999999999999999E-2</v>
      </c>
      <c r="D12" s="1845">
        <v>7.0999999999999994E-2</v>
      </c>
      <c r="E12" s="1845">
        <v>9.6000000000000002E-2</v>
      </c>
      <c r="F12" s="1846">
        <v>0.1</v>
      </c>
    </row>
    <row r="13" spans="1:6" ht="15" thickBot="1">
      <c r="A13" s="1840" t="s">
        <v>1155</v>
      </c>
      <c r="B13" s="1847" t="s">
        <v>1098</v>
      </c>
      <c r="C13" s="1845">
        <v>6.9000000000000006E-2</v>
      </c>
      <c r="D13" s="1845">
        <v>6.5000000000000002E-2</v>
      </c>
      <c r="E13" s="1845">
        <v>6.6000000000000003E-2</v>
      </c>
      <c r="F13" s="1846">
        <v>0.1</v>
      </c>
    </row>
    <row r="14" spans="1:6" ht="15" thickBot="1">
      <c r="A14" s="1840" t="s">
        <v>1155</v>
      </c>
      <c r="B14" s="1847" t="s">
        <v>1112</v>
      </c>
      <c r="C14" s="1845">
        <v>0.1</v>
      </c>
      <c r="D14" s="1845">
        <v>6.5000000000000002E-2</v>
      </c>
      <c r="E14" s="1845">
        <v>7.0000000000000007E-2</v>
      </c>
      <c r="F14" s="1846">
        <v>0.1</v>
      </c>
    </row>
    <row r="15" spans="1:6" ht="15" thickBot="1">
      <c r="A15" s="1840" t="s">
        <v>1155</v>
      </c>
      <c r="B15" s="1847" t="s">
        <v>1123</v>
      </c>
      <c r="C15" s="1845">
        <v>9.8000000000000004E-2</v>
      </c>
      <c r="D15" s="1845">
        <v>8.8999999999999996E-2</v>
      </c>
      <c r="E15" s="1845">
        <v>8.8999999999999996E-2</v>
      </c>
      <c r="F15" s="1846">
        <v>0.1</v>
      </c>
    </row>
    <row r="16" spans="1:6" ht="15" thickBot="1">
      <c r="A16" s="1840" t="s">
        <v>1155</v>
      </c>
      <c r="B16" s="1847" t="s">
        <v>1134</v>
      </c>
      <c r="C16" s="1845">
        <v>7.0000000000000007E-2</v>
      </c>
      <c r="D16" s="1845">
        <v>9.2999999999999999E-2</v>
      </c>
      <c r="E16" s="1845">
        <v>9.6000000000000002E-2</v>
      </c>
      <c r="F16" s="1846">
        <v>0.1</v>
      </c>
    </row>
    <row r="17" spans="1:6" ht="15" thickBot="1">
      <c r="A17" s="1840" t="s">
        <v>1155</v>
      </c>
      <c r="B17" s="1847" t="s">
        <v>1145</v>
      </c>
      <c r="C17" s="1845">
        <v>9.5000000000000001E-2</v>
      </c>
      <c r="D17" s="1845">
        <v>0.1</v>
      </c>
      <c r="E17" s="1845">
        <v>0.1</v>
      </c>
      <c r="F17" s="1853"/>
    </row>
    <row r="18" spans="1:6" ht="15" thickBot="1">
      <c r="A18" s="1840" t="s">
        <v>1155</v>
      </c>
      <c r="B18" s="1847" t="s">
        <v>1157</v>
      </c>
      <c r="C18" s="1845">
        <v>7.3999999999999996E-2</v>
      </c>
      <c r="D18" s="1845">
        <v>9.9000000000000005E-2</v>
      </c>
      <c r="E18" s="1845">
        <v>0.1</v>
      </c>
      <c r="F18" s="1853"/>
    </row>
    <row r="19" spans="1:6" ht="15" thickBot="1">
      <c r="A19" s="1840" t="s">
        <v>1155</v>
      </c>
      <c r="B19" s="1847" t="s">
        <v>1167</v>
      </c>
      <c r="C19" s="1845">
        <v>9.9000000000000005E-2</v>
      </c>
      <c r="D19" s="1845">
        <v>7.5999999999999998E-2</v>
      </c>
      <c r="E19" s="1845">
        <v>8.6999999999999994E-2</v>
      </c>
      <c r="F19" s="1853"/>
    </row>
    <row r="20" spans="1:6" ht="15" thickBot="1">
      <c r="A20" s="1840" t="s">
        <v>1155</v>
      </c>
      <c r="B20" s="1847" t="s">
        <v>1177</v>
      </c>
      <c r="C20" s="1845">
        <v>9.8000000000000004E-2</v>
      </c>
      <c r="D20" s="1845">
        <v>8.5000000000000006E-2</v>
      </c>
      <c r="E20" s="1845">
        <v>8.2000000000000003E-2</v>
      </c>
      <c r="F20" s="1853"/>
    </row>
    <row r="21" spans="1:6" ht="15" thickBot="1">
      <c r="A21" s="1840" t="s">
        <v>1155</v>
      </c>
      <c r="B21" s="1847" t="s">
        <v>1187</v>
      </c>
      <c r="C21" s="1845">
        <v>6.6000000000000003E-2</v>
      </c>
      <c r="D21" s="1845">
        <v>6.4000000000000001E-2</v>
      </c>
      <c r="E21" s="1845">
        <v>6.5000000000000002E-2</v>
      </c>
      <c r="F21" s="1853"/>
    </row>
    <row r="22" spans="1:6" ht="15" thickBot="1">
      <c r="A22" s="1840" t="s">
        <v>1155</v>
      </c>
      <c r="B22" s="1847" t="s">
        <v>2088</v>
      </c>
      <c r="C22" s="1845">
        <v>0.08</v>
      </c>
      <c r="D22" s="1845">
        <v>9.8000000000000004E-2</v>
      </c>
      <c r="E22" s="1845">
        <v>9.8000000000000004E-2</v>
      </c>
      <c r="F22" s="1853"/>
    </row>
    <row r="23" spans="1:6" ht="15" thickBot="1">
      <c r="A23" s="1840" t="s">
        <v>1155</v>
      </c>
      <c r="B23" s="1847" t="s">
        <v>1207</v>
      </c>
      <c r="C23" s="1845">
        <v>9.9000000000000005E-2</v>
      </c>
      <c r="D23" s="1845">
        <v>9.8000000000000004E-2</v>
      </c>
      <c r="E23" s="1845">
        <v>9.0999999999999998E-2</v>
      </c>
      <c r="F23" s="1853"/>
    </row>
    <row r="24" spans="1:6" ht="15" thickBot="1">
      <c r="A24" s="1840" t="s">
        <v>1155</v>
      </c>
      <c r="B24" s="1847" t="s">
        <v>1217</v>
      </c>
      <c r="C24" s="1845">
        <v>8.8999999999999996E-2</v>
      </c>
      <c r="D24" s="1845">
        <v>9.7000000000000003E-2</v>
      </c>
      <c r="E24" s="1845">
        <v>7.0000000000000007E-2</v>
      </c>
      <c r="F24" s="1853"/>
    </row>
    <row r="25" spans="1:6" ht="15" thickBot="1">
      <c r="A25" s="1840" t="s">
        <v>1155</v>
      </c>
      <c r="B25" s="1847" t="s">
        <v>1227</v>
      </c>
      <c r="C25" s="1845">
        <v>8.8999999999999996E-2</v>
      </c>
      <c r="D25" s="1845">
        <v>0.1</v>
      </c>
      <c r="E25" s="1845">
        <v>8.1000000000000003E-2</v>
      </c>
      <c r="F25" s="1853"/>
    </row>
    <row r="26" spans="1:6" ht="15" thickBot="1">
      <c r="A26" s="1840" t="s">
        <v>1155</v>
      </c>
      <c r="B26" s="1847" t="s">
        <v>1237</v>
      </c>
      <c r="C26" s="1854"/>
      <c r="D26" s="1845">
        <v>9.6000000000000002E-2</v>
      </c>
      <c r="E26" s="1845">
        <v>9.2999999999999999E-2</v>
      </c>
      <c r="F26" s="1853"/>
    </row>
    <row r="27" spans="1:6" ht="15" thickBot="1">
      <c r="A27" s="1840" t="s">
        <v>1155</v>
      </c>
      <c r="B27" s="1847" t="s">
        <v>1247</v>
      </c>
      <c r="C27" s="1854"/>
      <c r="D27" s="1845">
        <v>7.5999999999999998E-2</v>
      </c>
      <c r="E27" s="1845">
        <v>9.1999999999999998E-2</v>
      </c>
      <c r="F27" s="1853"/>
    </row>
    <row r="28" spans="1:6" ht="15" thickBot="1">
      <c r="A28" s="1848" t="s">
        <v>1155</v>
      </c>
      <c r="B28" s="1849" t="s">
        <v>1257</v>
      </c>
      <c r="C28" s="1851"/>
      <c r="D28" s="1850">
        <v>7.5999999999999998E-2</v>
      </c>
      <c r="E28" s="1850">
        <v>9.1999999999999998E-2</v>
      </c>
      <c r="F28" s="1852"/>
    </row>
    <row r="29" spans="1:6" ht="15" thickBot="1">
      <c r="A29" s="1840" t="s">
        <v>1326</v>
      </c>
      <c r="B29" s="1841" t="s">
        <v>2089</v>
      </c>
      <c r="C29" s="1842">
        <v>6.4000000000000001E-2</v>
      </c>
      <c r="D29" s="1842">
        <v>6.5000000000000002E-2</v>
      </c>
      <c r="E29" s="1842">
        <v>6.9000000000000006E-2</v>
      </c>
      <c r="F29" s="1843">
        <v>0.1</v>
      </c>
    </row>
    <row r="30" spans="1:6" ht="15" thickBot="1">
      <c r="A30" s="1840" t="s">
        <v>1326</v>
      </c>
      <c r="B30" s="1847" t="s">
        <v>1072</v>
      </c>
      <c r="C30" s="1845">
        <v>6.4000000000000001E-2</v>
      </c>
      <c r="D30" s="1845">
        <v>9.9000000000000005E-2</v>
      </c>
      <c r="E30" s="1845">
        <v>0.1</v>
      </c>
      <c r="F30" s="1846">
        <v>0.1</v>
      </c>
    </row>
    <row r="31" spans="1:6" ht="15" thickBot="1">
      <c r="A31" s="1840" t="s">
        <v>1326</v>
      </c>
      <c r="B31" s="1847" t="s">
        <v>1086</v>
      </c>
      <c r="C31" s="1845">
        <v>0.1</v>
      </c>
      <c r="D31" s="1845">
        <v>9.5000000000000001E-2</v>
      </c>
      <c r="E31" s="1845">
        <v>8.8999999999999996E-2</v>
      </c>
      <c r="F31" s="1846">
        <v>0.1</v>
      </c>
    </row>
    <row r="32" spans="1:6" ht="15" thickBot="1">
      <c r="A32" s="1840" t="s">
        <v>1326</v>
      </c>
      <c r="B32" s="1847" t="s">
        <v>1099</v>
      </c>
      <c r="C32" s="1845">
        <v>0.05</v>
      </c>
      <c r="D32" s="1845">
        <v>0.05</v>
      </c>
      <c r="E32" s="1845">
        <v>8.7999999999999995E-2</v>
      </c>
      <c r="F32" s="1846">
        <v>0.1</v>
      </c>
    </row>
    <row r="33" spans="1:6" ht="15" thickBot="1">
      <c r="A33" s="1840" t="s">
        <v>1326</v>
      </c>
      <c r="B33" s="1847" t="s">
        <v>1113</v>
      </c>
      <c r="C33" s="1845">
        <v>7.4999999999999997E-2</v>
      </c>
      <c r="D33" s="1845">
        <v>9.4E-2</v>
      </c>
      <c r="E33" s="1845">
        <v>9.7000000000000003E-2</v>
      </c>
      <c r="F33" s="1846">
        <v>0.1</v>
      </c>
    </row>
    <row r="34" spans="1:6" ht="15" thickBot="1">
      <c r="A34" s="1840" t="s">
        <v>1326</v>
      </c>
      <c r="B34" s="1847" t="s">
        <v>1124</v>
      </c>
      <c r="C34" s="1845">
        <v>9.8000000000000004E-2</v>
      </c>
      <c r="D34" s="1845">
        <v>8.5999999999999993E-2</v>
      </c>
      <c r="E34" s="1845">
        <v>9.7000000000000003E-2</v>
      </c>
      <c r="F34" s="1846">
        <v>0.1</v>
      </c>
    </row>
    <row r="35" spans="1:6" ht="15" thickBot="1">
      <c r="A35" s="1840" t="s">
        <v>1326</v>
      </c>
      <c r="B35" s="1847" t="s">
        <v>1135</v>
      </c>
      <c r="C35" s="1845">
        <v>5.8999999999999997E-2</v>
      </c>
      <c r="D35" s="1845">
        <v>6.5000000000000002E-2</v>
      </c>
      <c r="E35" s="1845">
        <v>7.0000000000000007E-2</v>
      </c>
      <c r="F35" s="1846">
        <v>0.1</v>
      </c>
    </row>
    <row r="36" spans="1:6" ht="15" thickBot="1">
      <c r="A36" s="1840" t="s">
        <v>1326</v>
      </c>
      <c r="B36" s="1847" t="s">
        <v>1146</v>
      </c>
      <c r="C36" s="1845">
        <v>6.3E-2</v>
      </c>
      <c r="D36" s="1845">
        <v>0.1</v>
      </c>
      <c r="E36" s="1845">
        <v>0.1</v>
      </c>
      <c r="F36" s="1846">
        <v>0.1</v>
      </c>
    </row>
    <row r="37" spans="1:6" ht="15" thickBot="1">
      <c r="A37" s="1840" t="s">
        <v>1326</v>
      </c>
      <c r="B37" s="1847" t="s">
        <v>1158</v>
      </c>
      <c r="C37" s="1845">
        <v>7.3999999999999996E-2</v>
      </c>
      <c r="D37" s="1845">
        <v>0.1</v>
      </c>
      <c r="E37" s="1845">
        <v>0.1</v>
      </c>
      <c r="F37" s="1846">
        <v>0.1</v>
      </c>
    </row>
    <row r="38" spans="1:6" ht="15" thickBot="1">
      <c r="A38" s="1840" t="s">
        <v>1326</v>
      </c>
      <c r="B38" s="1847" t="s">
        <v>1168</v>
      </c>
      <c r="C38" s="1845">
        <v>0.1</v>
      </c>
      <c r="D38" s="1845">
        <v>9.6000000000000002E-2</v>
      </c>
      <c r="E38" s="1845">
        <v>9.6000000000000002E-2</v>
      </c>
      <c r="F38" s="1853"/>
    </row>
    <row r="39" spans="1:6" ht="15" thickBot="1">
      <c r="A39" s="1840" t="s">
        <v>1326</v>
      </c>
      <c r="B39" s="1847" t="s">
        <v>1178</v>
      </c>
      <c r="C39" s="1845">
        <v>0.1</v>
      </c>
      <c r="D39" s="1845">
        <v>9.6000000000000002E-2</v>
      </c>
      <c r="E39" s="1845">
        <v>9.6000000000000002E-2</v>
      </c>
      <c r="F39" s="1853"/>
    </row>
    <row r="40" spans="1:6" ht="15" thickBot="1">
      <c r="A40" s="1840" t="s">
        <v>1326</v>
      </c>
      <c r="B40" s="1847" t="s">
        <v>1188</v>
      </c>
      <c r="C40" s="1845">
        <v>9.6000000000000002E-2</v>
      </c>
      <c r="D40" s="1845">
        <v>0.1</v>
      </c>
      <c r="E40" s="1845">
        <v>9.9000000000000005E-2</v>
      </c>
      <c r="F40" s="1853"/>
    </row>
    <row r="41" spans="1:6" ht="15" thickBot="1">
      <c r="A41" s="1840" t="s">
        <v>1326</v>
      </c>
      <c r="B41" s="1847" t="s">
        <v>1198</v>
      </c>
      <c r="C41" s="1845">
        <v>9.6000000000000002E-2</v>
      </c>
      <c r="D41" s="1845">
        <v>9.8000000000000004E-2</v>
      </c>
      <c r="E41" s="1845">
        <v>9.8000000000000004E-2</v>
      </c>
      <c r="F41" s="1853"/>
    </row>
    <row r="42" spans="1:6" ht="15" thickBot="1">
      <c r="A42" s="1840" t="s">
        <v>1326</v>
      </c>
      <c r="B42" s="1847" t="s">
        <v>1208</v>
      </c>
      <c r="C42" s="1845">
        <v>0.1</v>
      </c>
      <c r="D42" s="1845">
        <v>8.7999999999999995E-2</v>
      </c>
      <c r="E42" s="1845">
        <v>0.1</v>
      </c>
      <c r="F42" s="1853"/>
    </row>
    <row r="43" spans="1:6" ht="15" thickBot="1">
      <c r="A43" s="1840" t="s">
        <v>1326</v>
      </c>
      <c r="B43" s="1847" t="s">
        <v>1218</v>
      </c>
      <c r="C43" s="1845">
        <v>9.8000000000000004E-2</v>
      </c>
      <c r="D43" s="1845">
        <v>9.7000000000000003E-2</v>
      </c>
      <c r="E43" s="1845">
        <v>9.6000000000000002E-2</v>
      </c>
      <c r="F43" s="1853"/>
    </row>
    <row r="44" spans="1:6" ht="15" thickBot="1">
      <c r="A44" s="1840" t="s">
        <v>1326</v>
      </c>
      <c r="B44" s="1847" t="s">
        <v>1228</v>
      </c>
      <c r="C44" s="1845">
        <v>8.5999999999999993E-2</v>
      </c>
      <c r="D44" s="1845">
        <v>7.9000000000000001E-2</v>
      </c>
      <c r="E44" s="1845">
        <v>7.0999999999999994E-2</v>
      </c>
      <c r="F44" s="1853"/>
    </row>
    <row r="45" spans="1:6" ht="15" thickBot="1">
      <c r="A45" s="1840" t="s">
        <v>1326</v>
      </c>
      <c r="B45" s="1847" t="s">
        <v>1238</v>
      </c>
      <c r="C45" s="1845">
        <v>9.8000000000000004E-2</v>
      </c>
      <c r="D45" s="1845">
        <v>9.6000000000000002E-2</v>
      </c>
      <c r="E45" s="1845">
        <v>9.6000000000000002E-2</v>
      </c>
      <c r="F45" s="1853"/>
    </row>
    <row r="46" spans="1:6" ht="15" thickBot="1">
      <c r="A46" s="1840" t="s">
        <v>1326</v>
      </c>
      <c r="B46" s="1847" t="s">
        <v>1248</v>
      </c>
      <c r="C46" s="1845">
        <v>8.5999999999999993E-2</v>
      </c>
      <c r="D46" s="1845">
        <v>9.8000000000000004E-2</v>
      </c>
      <c r="E46" s="1845">
        <v>8.7999999999999995E-2</v>
      </c>
      <c r="F46" s="1853"/>
    </row>
    <row r="47" spans="1:6" ht="15" thickBot="1">
      <c r="A47" s="1840" t="s">
        <v>1326</v>
      </c>
      <c r="B47" s="1847" t="s">
        <v>1258</v>
      </c>
      <c r="C47" s="1845">
        <v>9.6000000000000002E-2</v>
      </c>
      <c r="D47" s="1854"/>
      <c r="E47" s="1845">
        <v>6.9000000000000006E-2</v>
      </c>
      <c r="F47" s="1853"/>
    </row>
    <row r="48" spans="1:6" ht="15" thickBot="1">
      <c r="A48" s="1848" t="s">
        <v>1326</v>
      </c>
      <c r="B48" s="1849" t="s">
        <v>1267</v>
      </c>
      <c r="C48" s="1850">
        <v>9.8000000000000004E-2</v>
      </c>
      <c r="D48" s="1851"/>
      <c r="E48" s="1850">
        <v>9.5000000000000001E-2</v>
      </c>
      <c r="F48" s="1852"/>
    </row>
    <row r="49" spans="1:6" ht="15" thickBot="1">
      <c r="A49" s="1840" t="s">
        <v>925</v>
      </c>
      <c r="B49" s="1841" t="s">
        <v>2090</v>
      </c>
      <c r="C49" s="1842">
        <v>9.7000000000000003E-2</v>
      </c>
      <c r="D49" s="1842">
        <v>9.5000000000000001E-2</v>
      </c>
      <c r="E49" s="1842">
        <v>9.7000000000000003E-2</v>
      </c>
      <c r="F49" s="1843">
        <v>0.1</v>
      </c>
    </row>
    <row r="50" spans="1:6" ht="15" thickBot="1">
      <c r="A50" s="1840" t="s">
        <v>925</v>
      </c>
      <c r="B50" s="1844" t="s">
        <v>1073</v>
      </c>
      <c r="C50" s="1845">
        <v>7.4999999999999997E-2</v>
      </c>
      <c r="D50" s="1845">
        <v>9.5000000000000001E-2</v>
      </c>
      <c r="E50" s="1845">
        <v>0.1</v>
      </c>
      <c r="F50" s="1846">
        <v>0.1</v>
      </c>
    </row>
    <row r="51" spans="1:6" ht="15" thickBot="1">
      <c r="A51" s="1840" t="s">
        <v>925</v>
      </c>
      <c r="B51" s="1844" t="s">
        <v>1087</v>
      </c>
      <c r="C51" s="1845">
        <v>9.8000000000000004E-2</v>
      </c>
      <c r="D51" s="1845">
        <v>8.8999999999999996E-2</v>
      </c>
      <c r="E51" s="1845">
        <v>0.1</v>
      </c>
      <c r="F51" s="1846">
        <v>0.1</v>
      </c>
    </row>
    <row r="52" spans="1:6" ht="15" thickBot="1">
      <c r="A52" s="1840" t="s">
        <v>925</v>
      </c>
      <c r="B52" s="1844" t="s">
        <v>1100</v>
      </c>
      <c r="C52" s="1845">
        <v>9.8000000000000004E-2</v>
      </c>
      <c r="D52" s="1845">
        <v>9.7000000000000003E-2</v>
      </c>
      <c r="E52" s="1845">
        <v>8.1000000000000003E-2</v>
      </c>
      <c r="F52" s="1846">
        <v>0.1</v>
      </c>
    </row>
    <row r="53" spans="1:6" ht="15" thickBot="1">
      <c r="A53" s="1840" t="s">
        <v>925</v>
      </c>
      <c r="B53" s="1844" t="s">
        <v>1114</v>
      </c>
      <c r="C53" s="1845">
        <v>9.7000000000000003E-2</v>
      </c>
      <c r="D53" s="1845">
        <v>7.5999999999999998E-2</v>
      </c>
      <c r="E53" s="1845">
        <v>7.0999999999999994E-2</v>
      </c>
      <c r="F53" s="1846">
        <v>0.1</v>
      </c>
    </row>
    <row r="54" spans="1:6" ht="15" thickBot="1">
      <c r="A54" s="1840" t="s">
        <v>925</v>
      </c>
      <c r="B54" s="1844" t="s">
        <v>1125</v>
      </c>
      <c r="C54" s="1845">
        <v>7.5999999999999998E-2</v>
      </c>
      <c r="D54" s="1845">
        <v>0.1</v>
      </c>
      <c r="E54" s="1845">
        <v>9.9000000000000005E-2</v>
      </c>
      <c r="F54" s="1846">
        <v>0.1</v>
      </c>
    </row>
    <row r="55" spans="1:6" ht="15" thickBot="1">
      <c r="A55" s="1840" t="s">
        <v>925</v>
      </c>
      <c r="B55" s="1844" t="s">
        <v>1136</v>
      </c>
      <c r="C55" s="1845">
        <v>0.1</v>
      </c>
      <c r="D55" s="1845">
        <v>0.1</v>
      </c>
      <c r="E55" s="1845">
        <v>9.6000000000000002E-2</v>
      </c>
      <c r="F55" s="1846">
        <v>0.1</v>
      </c>
    </row>
    <row r="56" spans="1:6" ht="15" thickBot="1">
      <c r="A56" s="1840" t="s">
        <v>925</v>
      </c>
      <c r="B56" s="1844" t="s">
        <v>1147</v>
      </c>
      <c r="C56" s="1845">
        <v>0.1</v>
      </c>
      <c r="D56" s="1845">
        <v>9.6000000000000002E-2</v>
      </c>
      <c r="E56" s="1845">
        <v>5.1999999999999998E-2</v>
      </c>
      <c r="F56" s="1846">
        <v>0.1</v>
      </c>
    </row>
    <row r="57" spans="1:6" ht="15" thickBot="1">
      <c r="A57" s="1840" t="s">
        <v>925</v>
      </c>
      <c r="B57" s="1844" t="s">
        <v>1159</v>
      </c>
      <c r="C57" s="1845">
        <v>9.7000000000000003E-2</v>
      </c>
      <c r="D57" s="1845">
        <v>9.6000000000000002E-2</v>
      </c>
      <c r="E57" s="1845">
        <v>9.6000000000000002E-2</v>
      </c>
      <c r="F57" s="1846">
        <v>0.1</v>
      </c>
    </row>
    <row r="58" spans="1:6" ht="15" thickBot="1">
      <c r="A58" s="1840" t="s">
        <v>925</v>
      </c>
      <c r="B58" s="1844" t="s">
        <v>1169</v>
      </c>
      <c r="C58" s="1845">
        <v>9.6000000000000002E-2</v>
      </c>
      <c r="D58" s="1845">
        <v>9.9000000000000005E-2</v>
      </c>
      <c r="E58" s="1845">
        <v>9.6000000000000002E-2</v>
      </c>
      <c r="F58" s="1846">
        <v>0.1</v>
      </c>
    </row>
    <row r="59" spans="1:6" ht="15" thickBot="1">
      <c r="A59" s="1840" t="s">
        <v>925</v>
      </c>
      <c r="B59" s="1844" t="s">
        <v>1179</v>
      </c>
      <c r="C59" s="1845">
        <v>7.1999999999999995E-2</v>
      </c>
      <c r="D59" s="1845">
        <v>9.6000000000000002E-2</v>
      </c>
      <c r="E59" s="1845">
        <v>7.0999999999999994E-2</v>
      </c>
      <c r="F59" s="1846">
        <v>0.1</v>
      </c>
    </row>
    <row r="60" spans="1:6" ht="15" thickBot="1">
      <c r="A60" s="1840" t="s">
        <v>925</v>
      </c>
      <c r="B60" s="1844" t="s">
        <v>1189</v>
      </c>
      <c r="C60" s="1845">
        <v>9.6000000000000002E-2</v>
      </c>
      <c r="D60" s="1845">
        <v>8.8999999999999996E-2</v>
      </c>
      <c r="E60" s="1845">
        <v>9.6000000000000002E-2</v>
      </c>
      <c r="F60" s="1846">
        <v>0.1</v>
      </c>
    </row>
    <row r="61" spans="1:6" ht="15" thickBot="1">
      <c r="A61" s="1840" t="s">
        <v>925</v>
      </c>
      <c r="B61" s="1844" t="s">
        <v>1199</v>
      </c>
      <c r="C61" s="1845">
        <v>8.8999999999999996E-2</v>
      </c>
      <c r="D61" s="1845">
        <v>9.8000000000000004E-2</v>
      </c>
      <c r="E61" s="1845">
        <v>8.7999999999999995E-2</v>
      </c>
      <c r="F61" s="1853"/>
    </row>
    <row r="62" spans="1:6" ht="15" thickBot="1">
      <c r="A62" s="1840" t="s">
        <v>925</v>
      </c>
      <c r="B62" s="1844" t="s">
        <v>1209</v>
      </c>
      <c r="C62" s="1845">
        <v>9.8000000000000004E-2</v>
      </c>
      <c r="D62" s="1845">
        <v>9.2999999999999999E-2</v>
      </c>
      <c r="E62" s="1845">
        <v>9.7000000000000003E-2</v>
      </c>
      <c r="F62" s="1853"/>
    </row>
    <row r="63" spans="1:6" ht="15" thickBot="1">
      <c r="A63" s="1840" t="s">
        <v>925</v>
      </c>
      <c r="B63" s="1844" t="s">
        <v>1219</v>
      </c>
      <c r="C63" s="1845">
        <v>9.6000000000000002E-2</v>
      </c>
      <c r="D63" s="1845">
        <v>9.8000000000000004E-2</v>
      </c>
      <c r="E63" s="1845">
        <v>0.09</v>
      </c>
      <c r="F63" s="1853"/>
    </row>
    <row r="64" spans="1:6" ht="15" thickBot="1">
      <c r="A64" s="1840" t="s">
        <v>925</v>
      </c>
      <c r="B64" s="1844" t="s">
        <v>1229</v>
      </c>
      <c r="C64" s="1845">
        <v>9.9000000000000005E-2</v>
      </c>
      <c r="D64" s="1845">
        <v>9.7000000000000003E-2</v>
      </c>
      <c r="E64" s="1845">
        <v>9.9000000000000005E-2</v>
      </c>
      <c r="F64" s="1853"/>
    </row>
    <row r="65" spans="1:6" ht="15" thickBot="1">
      <c r="A65" s="1840" t="s">
        <v>925</v>
      </c>
      <c r="B65" s="1844" t="s">
        <v>1239</v>
      </c>
      <c r="C65" s="1845">
        <v>9.8000000000000004E-2</v>
      </c>
      <c r="D65" s="1845">
        <v>9.6000000000000002E-2</v>
      </c>
      <c r="E65" s="1845">
        <v>9.6000000000000002E-2</v>
      </c>
      <c r="F65" s="1853"/>
    </row>
    <row r="66" spans="1:6" ht="15" thickBot="1">
      <c r="A66" s="1840" t="s">
        <v>925</v>
      </c>
      <c r="B66" s="1844" t="s">
        <v>1249</v>
      </c>
      <c r="C66" s="1845">
        <v>9.6000000000000002E-2</v>
      </c>
      <c r="D66" s="1845">
        <v>9.1999999999999998E-2</v>
      </c>
      <c r="E66" s="1845">
        <v>9.6000000000000002E-2</v>
      </c>
      <c r="F66" s="1853"/>
    </row>
    <row r="67" spans="1:6" ht="15" thickBot="1">
      <c r="A67" s="1840" t="s">
        <v>925</v>
      </c>
      <c r="B67" s="1844" t="s">
        <v>1259</v>
      </c>
      <c r="C67" s="1845">
        <v>9.4E-2</v>
      </c>
      <c r="D67" s="1845">
        <v>0.1</v>
      </c>
      <c r="E67" s="1845">
        <v>8.7999999999999995E-2</v>
      </c>
      <c r="F67" s="1853"/>
    </row>
    <row r="68" spans="1:6" ht="15" thickBot="1">
      <c r="A68" s="1840" t="s">
        <v>925</v>
      </c>
      <c r="B68" s="1844" t="s">
        <v>1268</v>
      </c>
      <c r="C68" s="1845">
        <v>0.1</v>
      </c>
      <c r="D68" s="1845">
        <v>8.7999999999999995E-2</v>
      </c>
      <c r="E68" s="1845">
        <v>9.7000000000000003E-2</v>
      </c>
      <c r="F68" s="1853"/>
    </row>
    <row r="69" spans="1:6" ht="15" thickBot="1">
      <c r="A69" s="1840" t="s">
        <v>925</v>
      </c>
      <c r="B69" s="1844" t="s">
        <v>1277</v>
      </c>
      <c r="C69" s="1845">
        <v>6.4000000000000001E-2</v>
      </c>
      <c r="D69" s="1845">
        <v>0.1</v>
      </c>
      <c r="E69" s="1845">
        <v>0.1</v>
      </c>
      <c r="F69" s="1853"/>
    </row>
    <row r="70" spans="1:6" ht="15" thickBot="1">
      <c r="A70" s="1840" t="s">
        <v>925</v>
      </c>
      <c r="B70" s="1844" t="s">
        <v>1285</v>
      </c>
      <c r="C70" s="1845">
        <v>9.0999999999999998E-2</v>
      </c>
      <c r="D70" s="1854"/>
      <c r="E70" s="1854"/>
      <c r="F70" s="1853"/>
    </row>
    <row r="71" spans="1:6" ht="15" thickBot="1">
      <c r="A71" s="1840" t="s">
        <v>925</v>
      </c>
      <c r="B71" s="1844" t="s">
        <v>1292</v>
      </c>
      <c r="C71" s="1845">
        <v>0.1</v>
      </c>
      <c r="D71" s="1854"/>
      <c r="E71" s="1854"/>
      <c r="F71" s="1853"/>
    </row>
    <row r="72" spans="1:6" ht="24.6" thickBot="1">
      <c r="A72" s="1840" t="s">
        <v>925</v>
      </c>
      <c r="B72" s="1844" t="s">
        <v>2091</v>
      </c>
      <c r="C72" s="1854"/>
      <c r="D72" s="1854"/>
      <c r="E72" s="1854"/>
      <c r="F72" s="1846">
        <v>0.05</v>
      </c>
    </row>
    <row r="73" spans="1:6" ht="24.6" thickBot="1">
      <c r="A73" s="1840" t="s">
        <v>925</v>
      </c>
      <c r="B73" s="1844" t="s">
        <v>2092</v>
      </c>
      <c r="C73" s="1854"/>
      <c r="D73" s="1854"/>
      <c r="E73" s="1854"/>
      <c r="F73" s="1846">
        <v>0.05</v>
      </c>
    </row>
    <row r="74" spans="1:6" ht="24.6" thickBot="1">
      <c r="A74" s="1840" t="s">
        <v>925</v>
      </c>
      <c r="B74" s="1844" t="s">
        <v>2093</v>
      </c>
      <c r="C74" s="1854"/>
      <c r="D74" s="1854"/>
      <c r="E74" s="1854"/>
      <c r="F74" s="1846">
        <v>0.05</v>
      </c>
    </row>
    <row r="75" spans="1:6" ht="24.6" thickBot="1">
      <c r="A75" s="1848" t="s">
        <v>925</v>
      </c>
      <c r="B75" s="1855" t="s">
        <v>2094</v>
      </c>
      <c r="C75" s="1851"/>
      <c r="D75" s="1851"/>
      <c r="E75" s="1851"/>
      <c r="F75" s="1856">
        <v>0.05</v>
      </c>
    </row>
    <row r="76" spans="1:6" ht="15" thickBot="1">
      <c r="A76" s="1840" t="s">
        <v>1407</v>
      </c>
      <c r="B76" s="1841" t="s">
        <v>2095</v>
      </c>
      <c r="C76" s="1842">
        <v>0.1</v>
      </c>
      <c r="D76" s="1842">
        <v>0.1</v>
      </c>
      <c r="E76" s="1842">
        <v>0.1</v>
      </c>
      <c r="F76" s="1843">
        <v>0.1</v>
      </c>
    </row>
    <row r="77" spans="1:6" ht="15" thickBot="1">
      <c r="A77" s="1840" t="s">
        <v>1407</v>
      </c>
      <c r="B77" s="1844" t="s">
        <v>1074</v>
      </c>
      <c r="C77" s="1845">
        <v>8.7999999999999995E-2</v>
      </c>
      <c r="D77" s="1845">
        <v>8.6999999999999994E-2</v>
      </c>
      <c r="E77" s="1845">
        <v>7.9000000000000001E-2</v>
      </c>
      <c r="F77" s="1846">
        <v>0.1</v>
      </c>
    </row>
    <row r="78" spans="1:6" ht="15" thickBot="1">
      <c r="A78" s="1840" t="s">
        <v>1407</v>
      </c>
      <c r="B78" s="1844" t="s">
        <v>1088</v>
      </c>
      <c r="C78" s="1845">
        <v>8.6999999999999994E-2</v>
      </c>
      <c r="D78" s="1845">
        <v>8.4000000000000005E-2</v>
      </c>
      <c r="E78" s="1845">
        <v>9.6000000000000002E-2</v>
      </c>
      <c r="F78" s="1846">
        <v>0.1</v>
      </c>
    </row>
    <row r="79" spans="1:6" ht="15" thickBot="1">
      <c r="A79" s="1840" t="s">
        <v>1407</v>
      </c>
      <c r="B79" s="1844" t="s">
        <v>1101</v>
      </c>
      <c r="C79" s="1845">
        <v>9.8000000000000004E-2</v>
      </c>
      <c r="D79" s="1845">
        <v>9.8000000000000004E-2</v>
      </c>
      <c r="E79" s="1845">
        <v>9.0999999999999998E-2</v>
      </c>
      <c r="F79" s="1846">
        <v>0.1</v>
      </c>
    </row>
    <row r="80" spans="1:6" ht="15" thickBot="1">
      <c r="A80" s="1840" t="s">
        <v>1407</v>
      </c>
      <c r="B80" s="1844" t="s">
        <v>1115</v>
      </c>
      <c r="C80" s="1845">
        <v>9.6000000000000002E-2</v>
      </c>
      <c r="D80" s="1845">
        <v>9.6000000000000002E-2</v>
      </c>
      <c r="E80" s="1845">
        <v>0.1</v>
      </c>
      <c r="F80" s="1846">
        <v>0.1</v>
      </c>
    </row>
    <row r="81" spans="1:6" ht="15" thickBot="1">
      <c r="A81" s="1840" t="s">
        <v>1407</v>
      </c>
      <c r="B81" s="1844" t="s">
        <v>1126</v>
      </c>
      <c r="C81" s="1845">
        <v>9.9000000000000005E-2</v>
      </c>
      <c r="D81" s="1845">
        <v>9.9000000000000005E-2</v>
      </c>
      <c r="E81" s="1845">
        <v>9.8000000000000004E-2</v>
      </c>
      <c r="F81" s="1846">
        <v>0.1</v>
      </c>
    </row>
    <row r="82" spans="1:6" ht="15" thickBot="1">
      <c r="A82" s="1840" t="s">
        <v>1407</v>
      </c>
      <c r="B82" s="1844" t="s">
        <v>1137</v>
      </c>
      <c r="C82" s="1845">
        <v>9.9000000000000005E-2</v>
      </c>
      <c r="D82" s="1845">
        <v>9.9000000000000005E-2</v>
      </c>
      <c r="E82" s="1845">
        <v>9.7000000000000003E-2</v>
      </c>
      <c r="F82" s="1846">
        <v>0.1</v>
      </c>
    </row>
    <row r="83" spans="1:6" ht="15" thickBot="1">
      <c r="A83" s="1840" t="s">
        <v>1407</v>
      </c>
      <c r="B83" s="1844" t="s">
        <v>1148</v>
      </c>
      <c r="C83" s="1845">
        <v>9.8000000000000004E-2</v>
      </c>
      <c r="D83" s="1845">
        <v>9.8000000000000004E-2</v>
      </c>
      <c r="E83" s="1845">
        <v>9.8000000000000004E-2</v>
      </c>
      <c r="F83" s="1846">
        <v>0.1</v>
      </c>
    </row>
    <row r="84" spans="1:6" ht="15" thickBot="1">
      <c r="A84" s="1840" t="s">
        <v>1407</v>
      </c>
      <c r="B84" s="1844" t="s">
        <v>1160</v>
      </c>
      <c r="C84" s="1845">
        <v>9.9000000000000005E-2</v>
      </c>
      <c r="D84" s="1845">
        <v>9.9000000000000005E-2</v>
      </c>
      <c r="E84" s="1845">
        <v>9.9000000000000005E-2</v>
      </c>
      <c r="F84" s="1846">
        <v>0.1</v>
      </c>
    </row>
    <row r="85" spans="1:6" ht="15" thickBot="1">
      <c r="A85" s="1840" t="s">
        <v>1407</v>
      </c>
      <c r="B85" s="1844" t="s">
        <v>1170</v>
      </c>
      <c r="C85" s="1845">
        <v>9.9000000000000005E-2</v>
      </c>
      <c r="D85" s="1845">
        <v>9.9000000000000005E-2</v>
      </c>
      <c r="E85" s="1845">
        <v>9.9000000000000005E-2</v>
      </c>
      <c r="F85" s="1846">
        <v>0.1</v>
      </c>
    </row>
    <row r="86" spans="1:6" ht="15" thickBot="1">
      <c r="A86" s="1840" t="s">
        <v>1407</v>
      </c>
      <c r="B86" s="1844" t="s">
        <v>1180</v>
      </c>
      <c r="C86" s="1845">
        <v>0.1</v>
      </c>
      <c r="D86" s="1845">
        <v>0.1</v>
      </c>
      <c r="E86" s="1845">
        <v>7.6999999999999999E-2</v>
      </c>
      <c r="F86" s="1846">
        <v>0.1</v>
      </c>
    </row>
    <row r="87" spans="1:6" ht="15" thickBot="1">
      <c r="A87" s="1840" t="s">
        <v>1407</v>
      </c>
      <c r="B87" s="1844" t="s">
        <v>1190</v>
      </c>
      <c r="C87" s="1845">
        <v>0.1</v>
      </c>
      <c r="D87" s="1845">
        <v>0.1</v>
      </c>
      <c r="E87" s="1845">
        <v>9.8000000000000004E-2</v>
      </c>
      <c r="F87" s="1853"/>
    </row>
    <row r="88" spans="1:6" ht="15" thickBot="1">
      <c r="A88" s="1840" t="s">
        <v>1407</v>
      </c>
      <c r="B88" s="1844" t="s">
        <v>1200</v>
      </c>
      <c r="C88" s="1845">
        <v>9.1999999999999998E-2</v>
      </c>
      <c r="D88" s="1845">
        <v>8.5000000000000006E-2</v>
      </c>
      <c r="E88" s="1845">
        <v>9.6000000000000002E-2</v>
      </c>
      <c r="F88" s="1853"/>
    </row>
    <row r="89" spans="1:6" ht="15" thickBot="1">
      <c r="A89" s="1840" t="s">
        <v>1407</v>
      </c>
      <c r="B89" s="1844" t="s">
        <v>1210</v>
      </c>
      <c r="C89" s="1845">
        <v>0.1</v>
      </c>
      <c r="D89" s="1845">
        <v>0.1</v>
      </c>
      <c r="E89" s="1845">
        <v>9.7000000000000003E-2</v>
      </c>
      <c r="F89" s="1853"/>
    </row>
    <row r="90" spans="1:6" ht="15" thickBot="1">
      <c r="A90" s="1840" t="s">
        <v>1407</v>
      </c>
      <c r="B90" s="1844" t="s">
        <v>1220</v>
      </c>
      <c r="C90" s="1845">
        <v>9.8000000000000004E-2</v>
      </c>
      <c r="D90" s="1845">
        <v>9.8000000000000004E-2</v>
      </c>
      <c r="E90" s="1845">
        <v>8.7999999999999995E-2</v>
      </c>
      <c r="F90" s="1853"/>
    </row>
    <row r="91" spans="1:6" ht="15" thickBot="1">
      <c r="A91" s="1840" t="s">
        <v>1407</v>
      </c>
      <c r="B91" s="1844" t="s">
        <v>1230</v>
      </c>
      <c r="C91" s="1845">
        <v>9.9000000000000005E-2</v>
      </c>
      <c r="D91" s="1845">
        <v>9.9000000000000005E-2</v>
      </c>
      <c r="E91" s="1845">
        <v>9.0999999999999998E-2</v>
      </c>
      <c r="F91" s="1853"/>
    </row>
    <row r="92" spans="1:6" ht="15" thickBot="1">
      <c r="A92" s="1840" t="s">
        <v>1407</v>
      </c>
      <c r="B92" s="1844" t="s">
        <v>1240</v>
      </c>
      <c r="C92" s="1845">
        <v>9.6000000000000002E-2</v>
      </c>
      <c r="D92" s="1845">
        <v>9.6000000000000002E-2</v>
      </c>
      <c r="E92" s="1845">
        <v>7.2999999999999995E-2</v>
      </c>
      <c r="F92" s="1853"/>
    </row>
    <row r="93" spans="1:6" ht="15" thickBot="1">
      <c r="A93" s="1840" t="s">
        <v>1407</v>
      </c>
      <c r="B93" s="1844" t="s">
        <v>1250</v>
      </c>
      <c r="C93" s="1845">
        <v>9.6000000000000002E-2</v>
      </c>
      <c r="D93" s="1845">
        <v>9.6000000000000002E-2</v>
      </c>
      <c r="E93" s="1845">
        <v>9.9000000000000005E-2</v>
      </c>
      <c r="F93" s="1853"/>
    </row>
    <row r="94" spans="1:6" ht="15" thickBot="1">
      <c r="A94" s="1840" t="s">
        <v>1407</v>
      </c>
      <c r="B94" s="1844" t="s">
        <v>1260</v>
      </c>
      <c r="C94" s="1845">
        <v>7.5999999999999998E-2</v>
      </c>
      <c r="D94" s="1845">
        <v>7.3999999999999996E-2</v>
      </c>
      <c r="E94" s="1845">
        <v>9.7000000000000003E-2</v>
      </c>
      <c r="F94" s="1853"/>
    </row>
    <row r="95" spans="1:6" ht="15" thickBot="1">
      <c r="A95" s="1840" t="s">
        <v>1407</v>
      </c>
      <c r="B95" s="1844" t="s">
        <v>1269</v>
      </c>
      <c r="C95" s="1845">
        <v>9.9000000000000005E-2</v>
      </c>
      <c r="D95" s="1845">
        <v>9.4E-2</v>
      </c>
      <c r="E95" s="1845">
        <v>9.6000000000000002E-2</v>
      </c>
      <c r="F95" s="1853"/>
    </row>
    <row r="96" spans="1:6" ht="15" thickBot="1">
      <c r="A96" s="1840" t="s">
        <v>1407</v>
      </c>
      <c r="B96" s="1844" t="s">
        <v>1278</v>
      </c>
      <c r="C96" s="1845">
        <v>9.9000000000000005E-2</v>
      </c>
      <c r="D96" s="1845">
        <v>9.9000000000000005E-2</v>
      </c>
      <c r="E96" s="1845">
        <v>9.9000000000000005E-2</v>
      </c>
      <c r="F96" s="1853"/>
    </row>
    <row r="97" spans="1:6" ht="15" thickBot="1">
      <c r="A97" s="1840" t="s">
        <v>1407</v>
      </c>
      <c r="B97" s="1844" t="s">
        <v>1286</v>
      </c>
      <c r="C97" s="1845">
        <v>9.8000000000000004E-2</v>
      </c>
      <c r="D97" s="1845">
        <v>9.8000000000000004E-2</v>
      </c>
      <c r="E97" s="1845">
        <v>9.7000000000000003E-2</v>
      </c>
      <c r="F97" s="1853"/>
    </row>
    <row r="98" spans="1:6" ht="15" thickBot="1">
      <c r="A98" s="1840" t="s">
        <v>1407</v>
      </c>
      <c r="B98" s="1844" t="s">
        <v>1293</v>
      </c>
      <c r="C98" s="1845">
        <v>0.1</v>
      </c>
      <c r="D98" s="1845">
        <v>0.1</v>
      </c>
      <c r="E98" s="1845">
        <v>9.7000000000000003E-2</v>
      </c>
      <c r="F98" s="1853"/>
    </row>
    <row r="99" spans="1:6" ht="15" thickBot="1">
      <c r="A99" s="1840" t="s">
        <v>1407</v>
      </c>
      <c r="B99" s="1844" t="s">
        <v>1300</v>
      </c>
      <c r="C99" s="1845">
        <v>0.1</v>
      </c>
      <c r="D99" s="1845">
        <v>0.1</v>
      </c>
      <c r="E99" s="1854"/>
      <c r="F99" s="1853"/>
    </row>
    <row r="100" spans="1:6" ht="15" thickBot="1">
      <c r="A100" s="1840" t="s">
        <v>1407</v>
      </c>
      <c r="B100" s="1844" t="s">
        <v>1307</v>
      </c>
      <c r="C100" s="1845">
        <v>0.09</v>
      </c>
      <c r="D100" s="1845">
        <v>8.8999999999999996E-2</v>
      </c>
      <c r="E100" s="1854"/>
      <c r="F100" s="1853"/>
    </row>
    <row r="101" spans="1:6" ht="15" thickBot="1">
      <c r="A101" s="1840" t="s">
        <v>1407</v>
      </c>
      <c r="B101" s="1844" t="s">
        <v>1314</v>
      </c>
      <c r="C101" s="1845">
        <v>9.8000000000000004E-2</v>
      </c>
      <c r="D101" s="1845">
        <v>9.7000000000000003E-2</v>
      </c>
      <c r="E101" s="1854"/>
      <c r="F101" s="1853"/>
    </row>
    <row r="102" spans="1:6" ht="24.6" thickBot="1">
      <c r="A102" s="1840" t="s">
        <v>1407</v>
      </c>
      <c r="B102" s="1844" t="s">
        <v>2096</v>
      </c>
      <c r="C102" s="1854"/>
      <c r="D102" s="1854"/>
      <c r="E102" s="1854"/>
      <c r="F102" s="1846">
        <v>0.05</v>
      </c>
    </row>
    <row r="103" spans="1:6" ht="24.6" thickBot="1">
      <c r="A103" s="1840" t="s">
        <v>1407</v>
      </c>
      <c r="B103" s="1844" t="s">
        <v>2097</v>
      </c>
      <c r="C103" s="1854"/>
      <c r="D103" s="1854"/>
      <c r="E103" s="1854"/>
      <c r="F103" s="1846">
        <v>0.05</v>
      </c>
    </row>
    <row r="104" spans="1:6" ht="15" thickBot="1">
      <c r="A104" s="1840" t="s">
        <v>1407</v>
      </c>
      <c r="B104" s="1844" t="s">
        <v>2098</v>
      </c>
      <c r="C104" s="1854"/>
      <c r="D104" s="1854"/>
      <c r="E104" s="1854"/>
      <c r="F104" s="1846">
        <v>0.05</v>
      </c>
    </row>
    <row r="105" spans="1:6" ht="24.6" thickBot="1">
      <c r="A105" s="1840" t="s">
        <v>1407</v>
      </c>
      <c r="B105" s="1844" t="s">
        <v>2099</v>
      </c>
      <c r="C105" s="1854"/>
      <c r="D105" s="1854"/>
      <c r="E105" s="1854"/>
      <c r="F105" s="1846">
        <v>0.05</v>
      </c>
    </row>
    <row r="106" spans="1:6" ht="24.6" thickBot="1">
      <c r="A106" s="1840" t="s">
        <v>1407</v>
      </c>
      <c r="B106" s="1844" t="s">
        <v>2100</v>
      </c>
      <c r="C106" s="1854"/>
      <c r="D106" s="1854"/>
      <c r="E106" s="1854"/>
      <c r="F106" s="1846">
        <v>0.05</v>
      </c>
    </row>
    <row r="107" spans="1:6" ht="24.6" thickBot="1">
      <c r="A107" s="1840" t="s">
        <v>1407</v>
      </c>
      <c r="B107" s="1844" t="s">
        <v>2101</v>
      </c>
      <c r="C107" s="1854"/>
      <c r="D107" s="1854"/>
      <c r="E107" s="1854"/>
      <c r="F107" s="1846">
        <v>0.05</v>
      </c>
    </row>
    <row r="108" spans="1:6" ht="24.6" thickBot="1">
      <c r="A108" s="1840" t="s">
        <v>1407</v>
      </c>
      <c r="B108" s="1844" t="s">
        <v>2102</v>
      </c>
      <c r="C108" s="1854"/>
      <c r="D108" s="1854"/>
      <c r="E108" s="1854"/>
      <c r="F108" s="1846">
        <v>0.05</v>
      </c>
    </row>
    <row r="109" spans="1:6" ht="24.6" thickBot="1">
      <c r="A109" s="1848" t="s">
        <v>1407</v>
      </c>
      <c r="B109" s="1855" t="s">
        <v>2103</v>
      </c>
      <c r="C109" s="1851"/>
      <c r="D109" s="1851"/>
      <c r="E109" s="1851"/>
      <c r="F109" s="1856">
        <v>0.05</v>
      </c>
    </row>
    <row r="110" spans="1:6" ht="15" thickBot="1">
      <c r="A110" s="1840" t="s">
        <v>1409</v>
      </c>
      <c r="B110" s="1841" t="s">
        <v>2104</v>
      </c>
      <c r="C110" s="1842">
        <v>0.129</v>
      </c>
      <c r="D110" s="1842">
        <v>0.129</v>
      </c>
      <c r="E110" s="1842">
        <v>0.126</v>
      </c>
      <c r="F110" s="1843">
        <v>0.13</v>
      </c>
    </row>
    <row r="111" spans="1:6" ht="15" thickBot="1">
      <c r="A111" s="1840" t="s">
        <v>1409</v>
      </c>
      <c r="B111" s="1844" t="s">
        <v>1075</v>
      </c>
      <c r="C111" s="1845">
        <v>0.11</v>
      </c>
      <c r="D111" s="1845">
        <v>0.11</v>
      </c>
      <c r="E111" s="1845">
        <v>9.9000000000000005E-2</v>
      </c>
      <c r="F111" s="1846">
        <v>0.128</v>
      </c>
    </row>
    <row r="112" spans="1:6" ht="15" thickBot="1">
      <c r="A112" s="1840" t="s">
        <v>1409</v>
      </c>
      <c r="B112" s="1844" t="s">
        <v>1089</v>
      </c>
      <c r="C112" s="1845">
        <v>0.125</v>
      </c>
      <c r="D112" s="1845">
        <v>0.125</v>
      </c>
      <c r="E112" s="1845">
        <v>0.12</v>
      </c>
      <c r="F112" s="1846">
        <v>0.125</v>
      </c>
    </row>
    <row r="113" spans="1:6" ht="15" thickBot="1">
      <c r="A113" s="1840" t="s">
        <v>1409</v>
      </c>
      <c r="B113" s="1844" t="s">
        <v>1102</v>
      </c>
      <c r="C113" s="1845">
        <v>0.13</v>
      </c>
      <c r="D113" s="1845">
        <v>0.13</v>
      </c>
      <c r="E113" s="1845">
        <v>0.13</v>
      </c>
      <c r="F113" s="1846">
        <v>0.13</v>
      </c>
    </row>
    <row r="114" spans="1:6" ht="15" thickBot="1">
      <c r="A114" s="1840" t="s">
        <v>1409</v>
      </c>
      <c r="B114" s="1844" t="s">
        <v>1116</v>
      </c>
      <c r="C114" s="1845">
        <v>0.123</v>
      </c>
      <c r="D114" s="1845">
        <v>0.123</v>
      </c>
      <c r="E114" s="1845">
        <v>0.12</v>
      </c>
      <c r="F114" s="1846">
        <v>0.13</v>
      </c>
    </row>
    <row r="115" spans="1:6" ht="15" thickBot="1">
      <c r="A115" s="1840" t="s">
        <v>1409</v>
      </c>
      <c r="B115" s="1844" t="s">
        <v>1127</v>
      </c>
      <c r="C115" s="1845">
        <v>0.125</v>
      </c>
      <c r="D115" s="1845">
        <v>0.125</v>
      </c>
      <c r="E115" s="1845">
        <v>0.11700000000000001</v>
      </c>
      <c r="F115" s="1846">
        <v>0.13</v>
      </c>
    </row>
    <row r="116" spans="1:6" ht="15" thickBot="1">
      <c r="A116" s="1840" t="s">
        <v>1409</v>
      </c>
      <c r="B116" s="1844" t="s">
        <v>1138</v>
      </c>
      <c r="C116" s="1845">
        <v>0.11700000000000001</v>
      </c>
      <c r="D116" s="1845">
        <v>0.11700000000000001</v>
      </c>
      <c r="E116" s="1845">
        <v>8.7999999999999995E-2</v>
      </c>
      <c r="F116" s="1846">
        <v>0.13</v>
      </c>
    </row>
    <row r="117" spans="1:6" ht="15" thickBot="1">
      <c r="A117" s="1840" t="s">
        <v>1409</v>
      </c>
      <c r="B117" s="1844" t="s">
        <v>1149</v>
      </c>
      <c r="C117" s="1845">
        <v>0.13</v>
      </c>
      <c r="D117" s="1845">
        <v>0.13</v>
      </c>
      <c r="E117" s="1845">
        <v>0.129</v>
      </c>
      <c r="F117" s="1846">
        <v>0.13</v>
      </c>
    </row>
    <row r="118" spans="1:6" ht="15" thickBot="1">
      <c r="A118" s="1840" t="s">
        <v>1409</v>
      </c>
      <c r="B118" s="1844" t="s">
        <v>1161</v>
      </c>
      <c r="C118" s="1845">
        <v>0.123</v>
      </c>
      <c r="D118" s="1845">
        <v>0.123</v>
      </c>
      <c r="E118" s="1845">
        <v>0.11600000000000001</v>
      </c>
      <c r="F118" s="1846">
        <v>0.13</v>
      </c>
    </row>
    <row r="119" spans="1:6" ht="15" thickBot="1">
      <c r="A119" s="1840" t="s">
        <v>1409</v>
      </c>
      <c r="B119" s="1844" t="s">
        <v>1171</v>
      </c>
      <c r="C119" s="1845">
        <v>0.127</v>
      </c>
      <c r="D119" s="1845">
        <v>0.127</v>
      </c>
      <c r="E119" s="1845">
        <v>0.124</v>
      </c>
      <c r="F119" s="1846">
        <v>0.13</v>
      </c>
    </row>
    <row r="120" spans="1:6" ht="15" thickBot="1">
      <c r="A120" s="1840" t="s">
        <v>1409</v>
      </c>
      <c r="B120" s="1844" t="s">
        <v>1181</v>
      </c>
      <c r="C120" s="1845">
        <v>0.125</v>
      </c>
      <c r="D120" s="1845">
        <v>0.125</v>
      </c>
      <c r="E120" s="1845">
        <v>0.122</v>
      </c>
      <c r="F120" s="1846">
        <v>0.13</v>
      </c>
    </row>
    <row r="121" spans="1:6" ht="15" thickBot="1">
      <c r="A121" s="1840" t="s">
        <v>1409</v>
      </c>
      <c r="B121" s="1844" t="s">
        <v>1191</v>
      </c>
      <c r="C121" s="1845">
        <v>0.13</v>
      </c>
      <c r="D121" s="1845">
        <v>0.13</v>
      </c>
      <c r="E121" s="1845">
        <v>0.13</v>
      </c>
      <c r="F121" s="1846">
        <v>0.13</v>
      </c>
    </row>
    <row r="122" spans="1:6" ht="15" thickBot="1">
      <c r="A122" s="1840" t="s">
        <v>1409</v>
      </c>
      <c r="B122" s="1844" t="s">
        <v>1201</v>
      </c>
      <c r="C122" s="1845">
        <v>0.13</v>
      </c>
      <c r="D122" s="1845">
        <v>0.13</v>
      </c>
      <c r="E122" s="1845">
        <v>0.125</v>
      </c>
      <c r="F122" s="1846">
        <v>0.13</v>
      </c>
    </row>
    <row r="123" spans="1:6" ht="15" thickBot="1">
      <c r="A123" s="1840" t="s">
        <v>1409</v>
      </c>
      <c r="B123" s="1844" t="s">
        <v>1211</v>
      </c>
      <c r="C123" s="1845">
        <v>0.129</v>
      </c>
      <c r="D123" s="1845">
        <v>0.129</v>
      </c>
      <c r="E123" s="1845">
        <v>0.123</v>
      </c>
      <c r="F123" s="1846">
        <v>0.13</v>
      </c>
    </row>
    <row r="124" spans="1:6" ht="15" thickBot="1">
      <c r="A124" s="1840" t="s">
        <v>1409</v>
      </c>
      <c r="B124" s="1844" t="s">
        <v>1221</v>
      </c>
      <c r="C124" s="1845">
        <v>0.10199999999999999</v>
      </c>
      <c r="D124" s="1845">
        <v>0.10100000000000001</v>
      </c>
      <c r="E124" s="1845">
        <v>0.08</v>
      </c>
      <c r="F124" s="1853"/>
    </row>
    <row r="125" spans="1:6" ht="15" thickBot="1">
      <c r="A125" s="1840" t="s">
        <v>1409</v>
      </c>
      <c r="B125" s="1844" t="s">
        <v>1231</v>
      </c>
      <c r="C125" s="1845">
        <v>0.13</v>
      </c>
      <c r="D125" s="1845">
        <v>0.13</v>
      </c>
      <c r="E125" s="1845">
        <v>0.129</v>
      </c>
      <c r="F125" s="1853"/>
    </row>
    <row r="126" spans="1:6" ht="15" thickBot="1">
      <c r="A126" s="1840" t="s">
        <v>1409</v>
      </c>
      <c r="B126" s="1844" t="s">
        <v>1241</v>
      </c>
      <c r="C126" s="1845">
        <v>0.13</v>
      </c>
      <c r="D126" s="1845">
        <v>0.13</v>
      </c>
      <c r="E126" s="1845">
        <v>0.126</v>
      </c>
      <c r="F126" s="1853"/>
    </row>
    <row r="127" spans="1:6" ht="15" thickBot="1">
      <c r="A127" s="1840" t="s">
        <v>1409</v>
      </c>
      <c r="B127" s="1844" t="s">
        <v>1251</v>
      </c>
      <c r="C127" s="1845">
        <v>0.125</v>
      </c>
      <c r="D127" s="1845">
        <v>0.125</v>
      </c>
      <c r="E127" s="1845">
        <v>0.121</v>
      </c>
      <c r="F127" s="1853"/>
    </row>
    <row r="128" spans="1:6" ht="15" thickBot="1">
      <c r="A128" s="1840" t="s">
        <v>1409</v>
      </c>
      <c r="B128" s="1844" t="s">
        <v>1261</v>
      </c>
      <c r="C128" s="1845">
        <v>0.12</v>
      </c>
      <c r="D128" s="1845">
        <v>0.12</v>
      </c>
      <c r="E128" s="1845">
        <v>0.105</v>
      </c>
      <c r="F128" s="1853"/>
    </row>
    <row r="129" spans="1:6" ht="15" thickBot="1">
      <c r="A129" s="1840" t="s">
        <v>1409</v>
      </c>
      <c r="B129" s="1844" t="s">
        <v>1270</v>
      </c>
      <c r="C129" s="1845">
        <v>0.13</v>
      </c>
      <c r="D129" s="1845">
        <v>0.13</v>
      </c>
      <c r="E129" s="1845">
        <v>0.126</v>
      </c>
      <c r="F129" s="1853"/>
    </row>
    <row r="130" spans="1:6" ht="15" thickBot="1">
      <c r="A130" s="1840" t="s">
        <v>1409</v>
      </c>
      <c r="B130" s="1844" t="s">
        <v>1279</v>
      </c>
      <c r="C130" s="1845">
        <v>0.125</v>
      </c>
      <c r="D130" s="1845">
        <v>0.125</v>
      </c>
      <c r="E130" s="1845">
        <v>0.122</v>
      </c>
      <c r="F130" s="1853"/>
    </row>
    <row r="131" spans="1:6" ht="15" thickBot="1">
      <c r="A131" s="1840" t="s">
        <v>1409</v>
      </c>
      <c r="B131" s="1844" t="s">
        <v>1287</v>
      </c>
      <c r="C131" s="1845">
        <v>0.127</v>
      </c>
      <c r="D131" s="1845">
        <v>0.126</v>
      </c>
      <c r="E131" s="1845">
        <v>0.123</v>
      </c>
      <c r="F131" s="1853"/>
    </row>
    <row r="132" spans="1:6" ht="15" thickBot="1">
      <c r="A132" s="1840" t="s">
        <v>1409</v>
      </c>
      <c r="B132" s="1844" t="s">
        <v>1294</v>
      </c>
      <c r="C132" s="1845">
        <v>9.0999999999999998E-2</v>
      </c>
      <c r="D132" s="1845">
        <v>0.121</v>
      </c>
      <c r="E132" s="1845">
        <v>9.9000000000000005E-2</v>
      </c>
      <c r="F132" s="1853"/>
    </row>
    <row r="133" spans="1:6" ht="15" thickBot="1">
      <c r="A133" s="1840" t="s">
        <v>1409</v>
      </c>
      <c r="B133" s="1844" t="s">
        <v>1301</v>
      </c>
      <c r="C133" s="1845">
        <v>0.13</v>
      </c>
      <c r="D133" s="1845">
        <v>0.13</v>
      </c>
      <c r="E133" s="1845">
        <v>0.129</v>
      </c>
      <c r="F133" s="1853"/>
    </row>
    <row r="134" spans="1:6" ht="15" thickBot="1">
      <c r="A134" s="1840" t="s">
        <v>1409</v>
      </c>
      <c r="B134" s="1844" t="s">
        <v>2105</v>
      </c>
      <c r="C134" s="1845">
        <v>6.8000000000000005E-2</v>
      </c>
      <c r="D134" s="1845">
        <v>6.5000000000000002E-2</v>
      </c>
      <c r="E134" s="1845">
        <v>6.5000000000000002E-2</v>
      </c>
      <c r="F134" s="1846">
        <v>0.13</v>
      </c>
    </row>
    <row r="135" spans="1:6" ht="15" thickBot="1">
      <c r="A135" s="1840" t="s">
        <v>1409</v>
      </c>
      <c r="B135" s="1844" t="s">
        <v>1315</v>
      </c>
      <c r="C135" s="1845">
        <v>0.123</v>
      </c>
      <c r="D135" s="1845">
        <v>0.123</v>
      </c>
      <c r="E135" s="1845">
        <v>0.11</v>
      </c>
      <c r="F135" s="1853"/>
    </row>
    <row r="136" spans="1:6" ht="15" thickBot="1">
      <c r="A136" s="1840" t="s">
        <v>1409</v>
      </c>
      <c r="B136" s="1844" t="s">
        <v>1322</v>
      </c>
      <c r="C136" s="1845">
        <v>0.13</v>
      </c>
      <c r="D136" s="1845">
        <v>0.13</v>
      </c>
      <c r="E136" s="1845">
        <v>0.125</v>
      </c>
      <c r="F136" s="1853"/>
    </row>
    <row r="137" spans="1:6" ht="15" thickBot="1">
      <c r="A137" s="1840" t="s">
        <v>1409</v>
      </c>
      <c r="B137" s="1844" t="s">
        <v>1329</v>
      </c>
      <c r="C137" s="1845">
        <v>0.121</v>
      </c>
      <c r="D137" s="1845">
        <v>0.122</v>
      </c>
      <c r="E137" s="1845">
        <v>0.115</v>
      </c>
      <c r="F137" s="1853"/>
    </row>
    <row r="138" spans="1:6" ht="15" thickBot="1">
      <c r="A138" s="1840" t="s">
        <v>1409</v>
      </c>
      <c r="B138" s="1844" t="s">
        <v>2106</v>
      </c>
      <c r="C138" s="1845">
        <v>0.105</v>
      </c>
      <c r="D138" s="1845">
        <v>0.125</v>
      </c>
      <c r="E138" s="1845">
        <v>0.112</v>
      </c>
      <c r="F138" s="1853"/>
    </row>
    <row r="139" spans="1:6" ht="15" thickBot="1">
      <c r="A139" s="1840" t="s">
        <v>1409</v>
      </c>
      <c r="B139" s="1844" t="s">
        <v>2107</v>
      </c>
      <c r="C139" s="1845">
        <v>0.127</v>
      </c>
      <c r="D139" s="1845">
        <v>0.127</v>
      </c>
      <c r="E139" s="1845">
        <v>0.122</v>
      </c>
      <c r="F139" s="1846">
        <v>0.13</v>
      </c>
    </row>
    <row r="140" spans="1:6" ht="15" thickBot="1">
      <c r="A140" s="1840" t="s">
        <v>1409</v>
      </c>
      <c r="B140" s="1844" t="s">
        <v>2108</v>
      </c>
      <c r="C140" s="1845">
        <v>0.125</v>
      </c>
      <c r="D140" s="1845">
        <v>0.125</v>
      </c>
      <c r="E140" s="1845">
        <v>0.11899999999999999</v>
      </c>
      <c r="F140" s="1846">
        <v>0.13</v>
      </c>
    </row>
    <row r="141" spans="1:6" ht="15" thickBot="1">
      <c r="A141" s="1840" t="s">
        <v>1409</v>
      </c>
      <c r="B141" s="1844" t="s">
        <v>1348</v>
      </c>
      <c r="C141" s="1845">
        <v>0.125</v>
      </c>
      <c r="D141" s="1845">
        <v>0.125</v>
      </c>
      <c r="E141" s="1845">
        <v>0.11700000000000001</v>
      </c>
      <c r="F141" s="1853"/>
    </row>
    <row r="142" spans="1:6" ht="15" thickBot="1">
      <c r="A142" s="1840" t="s">
        <v>1409</v>
      </c>
      <c r="B142" s="1844" t="s">
        <v>1353</v>
      </c>
      <c r="C142" s="1845">
        <v>0.125</v>
      </c>
      <c r="D142" s="1845">
        <v>0.125</v>
      </c>
      <c r="E142" s="1845">
        <v>0.115</v>
      </c>
      <c r="F142" s="1853"/>
    </row>
    <row r="143" spans="1:6" ht="15" thickBot="1">
      <c r="A143" s="1840" t="s">
        <v>1409</v>
      </c>
      <c r="B143" s="1844" t="s">
        <v>1358</v>
      </c>
      <c r="C143" s="1845">
        <v>0.121</v>
      </c>
      <c r="D143" s="1845">
        <v>0.121</v>
      </c>
      <c r="E143" s="1845">
        <v>0.108</v>
      </c>
      <c r="F143" s="1853"/>
    </row>
    <row r="144" spans="1:6" ht="15" thickBot="1">
      <c r="A144" s="1840" t="s">
        <v>1409</v>
      </c>
      <c r="B144" s="1857" t="s">
        <v>2109</v>
      </c>
      <c r="C144" s="1858">
        <v>0.126</v>
      </c>
      <c r="D144" s="1858">
        <v>0.126</v>
      </c>
      <c r="E144" s="1858">
        <v>0.121</v>
      </c>
      <c r="F144" s="1853"/>
    </row>
    <row r="145" spans="1:6" ht="15" thickBot="1">
      <c r="A145" s="1848" t="s">
        <v>1409</v>
      </c>
      <c r="B145" s="1859" t="s">
        <v>2110</v>
      </c>
      <c r="C145" s="1860"/>
      <c r="D145" s="1860"/>
      <c r="E145" s="1860"/>
      <c r="F145" s="1861">
        <v>0.05</v>
      </c>
    </row>
    <row r="146" spans="1:6" ht="24.6" thickBot="1">
      <c r="A146" s="1862" t="s">
        <v>1409</v>
      </c>
      <c r="B146" s="1847" t="s">
        <v>2111</v>
      </c>
      <c r="C146" s="1854"/>
      <c r="D146" s="1854"/>
      <c r="E146" s="1854"/>
      <c r="F146" s="1863">
        <v>0.05</v>
      </c>
    </row>
    <row r="147" spans="1:6" ht="24.6" thickBot="1">
      <c r="A147" s="1840" t="s">
        <v>1409</v>
      </c>
      <c r="B147" s="1844" t="s">
        <v>2112</v>
      </c>
      <c r="C147" s="1854"/>
      <c r="D147" s="1854"/>
      <c r="E147" s="1854"/>
      <c r="F147" s="1846">
        <v>0.05</v>
      </c>
    </row>
    <row r="148" spans="1:6" ht="24.6" thickBot="1">
      <c r="A148" s="1840" t="s">
        <v>1409</v>
      </c>
      <c r="B148" s="1844" t="s">
        <v>2113</v>
      </c>
      <c r="C148" s="1854"/>
      <c r="D148" s="1854"/>
      <c r="E148" s="1854"/>
      <c r="F148" s="1846">
        <v>0.05</v>
      </c>
    </row>
    <row r="149" spans="1:6" ht="24.6" thickBot="1">
      <c r="A149" s="1840" t="s">
        <v>1409</v>
      </c>
      <c r="B149" s="1844" t="s">
        <v>2114</v>
      </c>
      <c r="C149" s="1854"/>
      <c r="D149" s="1854"/>
      <c r="E149" s="1854"/>
      <c r="F149" s="1846">
        <v>0.05</v>
      </c>
    </row>
    <row r="150" spans="1:6" ht="24.6" thickBot="1">
      <c r="A150" s="1840" t="s">
        <v>1409</v>
      </c>
      <c r="B150" s="1844" t="s">
        <v>2115</v>
      </c>
      <c r="C150" s="1854"/>
      <c r="D150" s="1854"/>
      <c r="E150" s="1854"/>
      <c r="F150" s="1846">
        <v>0.05</v>
      </c>
    </row>
    <row r="151" spans="1:6" ht="24.6" thickBot="1">
      <c r="A151" s="1840" t="s">
        <v>1409</v>
      </c>
      <c r="B151" s="1844" t="s">
        <v>2116</v>
      </c>
      <c r="C151" s="1854"/>
      <c r="D151" s="1854"/>
      <c r="E151" s="1854"/>
      <c r="F151" s="1846">
        <v>0.05</v>
      </c>
    </row>
    <row r="152" spans="1:6" ht="24.6" thickBot="1">
      <c r="A152" s="1840" t="s">
        <v>1409</v>
      </c>
      <c r="B152" s="1844" t="s">
        <v>1391</v>
      </c>
      <c r="C152" s="1854"/>
      <c r="D152" s="1854"/>
      <c r="E152" s="1854"/>
      <c r="F152" s="1846">
        <v>0.05</v>
      </c>
    </row>
    <row r="153" spans="1:6" ht="15" thickBot="1">
      <c r="A153" s="1840" t="s">
        <v>1409</v>
      </c>
      <c r="B153" s="1844" t="s">
        <v>2117</v>
      </c>
      <c r="C153" s="1854"/>
      <c r="D153" s="1854"/>
      <c r="E153" s="1854"/>
      <c r="F153" s="1846">
        <v>0.05</v>
      </c>
    </row>
    <row r="154" spans="1:6" ht="15" thickBot="1">
      <c r="A154" s="1840" t="s">
        <v>1409</v>
      </c>
      <c r="B154" s="1844" t="s">
        <v>2118</v>
      </c>
      <c r="C154" s="1854"/>
      <c r="D154" s="1854"/>
      <c r="E154" s="1854"/>
      <c r="F154" s="1846">
        <v>0.05</v>
      </c>
    </row>
    <row r="155" spans="1:6" ht="24.6" thickBot="1">
      <c r="A155" s="1840" t="s">
        <v>1409</v>
      </c>
      <c r="B155" s="1844" t="s">
        <v>2119</v>
      </c>
      <c r="C155" s="1854"/>
      <c r="D155" s="1854"/>
      <c r="E155" s="1854"/>
      <c r="F155" s="1846">
        <v>0.05</v>
      </c>
    </row>
    <row r="156" spans="1:6" ht="24.6" thickBot="1">
      <c r="A156" s="1840" t="s">
        <v>1409</v>
      </c>
      <c r="B156" s="1844" t="s">
        <v>2120</v>
      </c>
      <c r="C156" s="1854"/>
      <c r="D156" s="1854"/>
      <c r="E156" s="1854"/>
      <c r="F156" s="1846">
        <v>0.05</v>
      </c>
    </row>
    <row r="157" spans="1:6" ht="24.6" thickBot="1">
      <c r="A157" s="1848" t="s">
        <v>1409</v>
      </c>
      <c r="B157" s="1855" t="s">
        <v>2121</v>
      </c>
      <c r="C157" s="1851"/>
      <c r="D157" s="1851"/>
      <c r="E157" s="1851"/>
      <c r="F157" s="1856">
        <v>0.05</v>
      </c>
    </row>
    <row r="158" spans="1:6" ht="15" thickBot="1">
      <c r="A158" s="1840" t="s">
        <v>1411</v>
      </c>
      <c r="B158" s="1841" t="s">
        <v>2122</v>
      </c>
      <c r="C158" s="1842">
        <v>0.13</v>
      </c>
      <c r="D158" s="1842">
        <v>0.13</v>
      </c>
      <c r="E158" s="1842">
        <v>0.13</v>
      </c>
      <c r="F158" s="1843">
        <v>0.13</v>
      </c>
    </row>
    <row r="159" spans="1:6" ht="15" thickBot="1">
      <c r="A159" s="1840" t="s">
        <v>1411</v>
      </c>
      <c r="B159" s="1844" t="s">
        <v>1076</v>
      </c>
      <c r="C159" s="1845">
        <v>0.13</v>
      </c>
      <c r="D159" s="1845">
        <v>0.13</v>
      </c>
      <c r="E159" s="1845">
        <v>0.13</v>
      </c>
      <c r="F159" s="1846">
        <v>0.13</v>
      </c>
    </row>
    <row r="160" spans="1:6" ht="15" thickBot="1">
      <c r="A160" s="1840" t="s">
        <v>1411</v>
      </c>
      <c r="B160" s="1844" t="s">
        <v>1090</v>
      </c>
      <c r="C160" s="1845">
        <v>0.13</v>
      </c>
      <c r="D160" s="1845">
        <v>0.13</v>
      </c>
      <c r="E160" s="1845">
        <v>0.129</v>
      </c>
      <c r="F160" s="1846">
        <v>0.13</v>
      </c>
    </row>
    <row r="161" spans="1:6" ht="15" thickBot="1">
      <c r="A161" s="1840" t="s">
        <v>1411</v>
      </c>
      <c r="B161" s="1844" t="s">
        <v>1103</v>
      </c>
      <c r="C161" s="1845">
        <v>0.128</v>
      </c>
      <c r="D161" s="1845">
        <v>0.128</v>
      </c>
      <c r="E161" s="1845">
        <v>0.125</v>
      </c>
      <c r="F161" s="1846">
        <v>0.13</v>
      </c>
    </row>
    <row r="162" spans="1:6" ht="15" thickBot="1">
      <c r="A162" s="1840" t="s">
        <v>1411</v>
      </c>
      <c r="B162" s="1844" t="s">
        <v>1117</v>
      </c>
      <c r="C162" s="1845">
        <v>0.122</v>
      </c>
      <c r="D162" s="1845">
        <v>0.122</v>
      </c>
      <c r="E162" s="1845">
        <v>0.126</v>
      </c>
      <c r="F162" s="1846">
        <v>0.122</v>
      </c>
    </row>
    <row r="163" spans="1:6" ht="15" thickBot="1">
      <c r="A163" s="1840" t="s">
        <v>1411</v>
      </c>
      <c r="B163" s="1844" t="s">
        <v>1128</v>
      </c>
      <c r="C163" s="1845">
        <v>0.13</v>
      </c>
      <c r="D163" s="1845">
        <v>0.13</v>
      </c>
      <c r="E163" s="1845">
        <v>0.125</v>
      </c>
      <c r="F163" s="1846">
        <v>0.13</v>
      </c>
    </row>
    <row r="164" spans="1:6" ht="15" thickBot="1">
      <c r="A164" s="1840" t="s">
        <v>1411</v>
      </c>
      <c r="B164" s="1844" t="s">
        <v>1139</v>
      </c>
      <c r="C164" s="1845">
        <v>0.13</v>
      </c>
      <c r="D164" s="1845">
        <v>0.13</v>
      </c>
      <c r="E164" s="1845">
        <v>0.13</v>
      </c>
      <c r="F164" s="1846">
        <v>0.13</v>
      </c>
    </row>
    <row r="165" spans="1:6" ht="15" thickBot="1">
      <c r="A165" s="1840" t="s">
        <v>1411</v>
      </c>
      <c r="B165" s="1844" t="s">
        <v>1150</v>
      </c>
      <c r="C165" s="1845">
        <v>0.13</v>
      </c>
      <c r="D165" s="1845">
        <v>0.13</v>
      </c>
      <c r="E165" s="1845">
        <v>0.124</v>
      </c>
      <c r="F165" s="1846">
        <v>0.13</v>
      </c>
    </row>
    <row r="166" spans="1:6" ht="15" thickBot="1">
      <c r="A166" s="1840" t="s">
        <v>1411</v>
      </c>
      <c r="B166" s="1844" t="s">
        <v>1162</v>
      </c>
      <c r="C166" s="1845">
        <v>0.13</v>
      </c>
      <c r="D166" s="1845">
        <v>0.13</v>
      </c>
      <c r="E166" s="1845">
        <v>0.13</v>
      </c>
      <c r="F166" s="1846">
        <v>0.13</v>
      </c>
    </row>
    <row r="167" spans="1:6" ht="15" thickBot="1">
      <c r="A167" s="1840" t="s">
        <v>1411</v>
      </c>
      <c r="B167" s="1844" t="s">
        <v>1172</v>
      </c>
      <c r="C167" s="1845">
        <v>0.125</v>
      </c>
      <c r="D167" s="1845">
        <v>0.125</v>
      </c>
      <c r="E167" s="1845">
        <v>0.121</v>
      </c>
      <c r="F167" s="1853"/>
    </row>
    <row r="168" spans="1:6" ht="15" thickBot="1">
      <c r="A168" s="1840" t="s">
        <v>1411</v>
      </c>
      <c r="B168" s="1844" t="s">
        <v>1182</v>
      </c>
      <c r="C168" s="1845">
        <v>0.13</v>
      </c>
      <c r="D168" s="1845">
        <v>0.13</v>
      </c>
      <c r="E168" s="1845">
        <v>0.126</v>
      </c>
      <c r="F168" s="1853"/>
    </row>
    <row r="169" spans="1:6" ht="15" thickBot="1">
      <c r="A169" s="1840" t="s">
        <v>1411</v>
      </c>
      <c r="B169" s="1844" t="s">
        <v>1192</v>
      </c>
      <c r="C169" s="1845">
        <v>0.128</v>
      </c>
      <c r="D169" s="1845">
        <v>0.129</v>
      </c>
      <c r="E169" s="1845">
        <v>0.13</v>
      </c>
      <c r="F169" s="1853"/>
    </row>
    <row r="170" spans="1:6" ht="15" thickBot="1">
      <c r="A170" s="1840" t="s">
        <v>1411</v>
      </c>
      <c r="B170" s="1844" t="s">
        <v>1202</v>
      </c>
      <c r="C170" s="1845">
        <v>0.14099999999999999</v>
      </c>
      <c r="D170" s="1845">
        <v>0.13</v>
      </c>
      <c r="E170" s="1845">
        <v>0.125</v>
      </c>
      <c r="F170" s="1853"/>
    </row>
    <row r="171" spans="1:6" ht="15" thickBot="1">
      <c r="A171" s="1840" t="s">
        <v>1411</v>
      </c>
      <c r="B171" s="1844" t="s">
        <v>2123</v>
      </c>
      <c r="C171" s="1845">
        <v>0.127</v>
      </c>
      <c r="D171" s="1845">
        <v>0.126</v>
      </c>
      <c r="E171" s="1845">
        <v>0.126</v>
      </c>
      <c r="F171" s="1846">
        <v>0.11799999999999999</v>
      </c>
    </row>
    <row r="172" spans="1:6" ht="15" thickBot="1">
      <c r="A172" s="1840" t="s">
        <v>1411</v>
      </c>
      <c r="B172" s="1844" t="s">
        <v>2124</v>
      </c>
      <c r="C172" s="1845">
        <v>0.13</v>
      </c>
      <c r="D172" s="1845">
        <v>0.13</v>
      </c>
      <c r="E172" s="1845">
        <v>0.13</v>
      </c>
      <c r="F172" s="1853"/>
    </row>
    <row r="173" spans="1:6" ht="15" thickBot="1">
      <c r="A173" s="1840" t="s">
        <v>1411</v>
      </c>
      <c r="B173" s="1844" t="s">
        <v>1232</v>
      </c>
      <c r="C173" s="1845">
        <v>0.13</v>
      </c>
      <c r="D173" s="1845">
        <v>0.13</v>
      </c>
      <c r="E173" s="1845">
        <v>0.13</v>
      </c>
      <c r="F173" s="1853"/>
    </row>
    <row r="174" spans="1:6" ht="15" thickBot="1">
      <c r="A174" s="1840" t="s">
        <v>1411</v>
      </c>
      <c r="B174" s="1844" t="s">
        <v>2125</v>
      </c>
      <c r="C174" s="1845">
        <v>0.13</v>
      </c>
      <c r="D174" s="1845">
        <v>0.13</v>
      </c>
      <c r="E174" s="1845">
        <v>0.13</v>
      </c>
      <c r="F174" s="1846">
        <v>0.13</v>
      </c>
    </row>
    <row r="175" spans="1:6" ht="15" thickBot="1">
      <c r="A175" s="1840" t="s">
        <v>1411</v>
      </c>
      <c r="B175" s="1844" t="s">
        <v>2126</v>
      </c>
      <c r="C175" s="1845">
        <v>0.13</v>
      </c>
      <c r="D175" s="1845">
        <v>0.13</v>
      </c>
      <c r="E175" s="1845">
        <v>0.13</v>
      </c>
      <c r="F175" s="1846">
        <v>0.13</v>
      </c>
    </row>
    <row r="176" spans="1:6" ht="15" thickBot="1">
      <c r="A176" s="1840" t="s">
        <v>1411</v>
      </c>
      <c r="B176" s="1844" t="s">
        <v>1262</v>
      </c>
      <c r="C176" s="1845">
        <v>0.13</v>
      </c>
      <c r="D176" s="1845">
        <v>0.13</v>
      </c>
      <c r="E176" s="1845">
        <v>0.13</v>
      </c>
      <c r="F176" s="1846">
        <v>0.13</v>
      </c>
    </row>
    <row r="177" spans="1:6" ht="15" thickBot="1">
      <c r="A177" s="1840" t="s">
        <v>1411</v>
      </c>
      <c r="B177" s="1844" t="s">
        <v>2127</v>
      </c>
      <c r="C177" s="1845">
        <v>0.13</v>
      </c>
      <c r="D177" s="1845">
        <v>0.13</v>
      </c>
      <c r="E177" s="1845">
        <v>0.13</v>
      </c>
      <c r="F177" s="1846">
        <v>0.13</v>
      </c>
    </row>
    <row r="178" spans="1:6" ht="15" thickBot="1">
      <c r="A178" s="1840" t="s">
        <v>1411</v>
      </c>
      <c r="B178" s="1844" t="s">
        <v>1280</v>
      </c>
      <c r="C178" s="1845">
        <v>0.13</v>
      </c>
      <c r="D178" s="1845">
        <v>0.13</v>
      </c>
      <c r="E178" s="1845">
        <v>0.13</v>
      </c>
      <c r="F178" s="1846">
        <v>0.127</v>
      </c>
    </row>
    <row r="179" spans="1:6" ht="15" thickBot="1">
      <c r="A179" s="1840" t="s">
        <v>1411</v>
      </c>
      <c r="B179" s="1844" t="s">
        <v>1288</v>
      </c>
      <c r="C179" s="1845">
        <v>0.13</v>
      </c>
      <c r="D179" s="1845">
        <v>0.13</v>
      </c>
      <c r="E179" s="1845">
        <v>0.13</v>
      </c>
      <c r="F179" s="1853"/>
    </row>
    <row r="180" spans="1:6" ht="15" thickBot="1">
      <c r="A180" s="1840" t="s">
        <v>1411</v>
      </c>
      <c r="B180" s="1844" t="s">
        <v>2128</v>
      </c>
      <c r="C180" s="1845">
        <v>0.13</v>
      </c>
      <c r="D180" s="1845">
        <v>0.13</v>
      </c>
      <c r="E180" s="1845">
        <v>0.125</v>
      </c>
      <c r="F180" s="1846">
        <v>0.13</v>
      </c>
    </row>
    <row r="181" spans="1:6" ht="15" thickBot="1">
      <c r="A181" s="1840" t="s">
        <v>1411</v>
      </c>
      <c r="B181" s="1844" t="s">
        <v>1302</v>
      </c>
      <c r="C181" s="1845">
        <v>0.122</v>
      </c>
      <c r="D181" s="1845">
        <v>0.123</v>
      </c>
      <c r="E181" s="1845">
        <v>0.126</v>
      </c>
      <c r="F181" s="1846">
        <v>0.121</v>
      </c>
    </row>
    <row r="182" spans="1:6" ht="15" thickBot="1">
      <c r="A182" s="1840" t="s">
        <v>1411</v>
      </c>
      <c r="B182" s="1844" t="s">
        <v>1309</v>
      </c>
      <c r="C182" s="1845">
        <v>0.125</v>
      </c>
      <c r="D182" s="1845">
        <v>0.125</v>
      </c>
      <c r="E182" s="1845">
        <v>0.11700000000000001</v>
      </c>
      <c r="F182" s="1846">
        <v>0.13</v>
      </c>
    </row>
    <row r="183" spans="1:6" ht="15" thickBot="1">
      <c r="A183" s="1840" t="s">
        <v>1411</v>
      </c>
      <c r="B183" s="1844" t="s">
        <v>1316</v>
      </c>
      <c r="C183" s="1845">
        <v>0.127</v>
      </c>
      <c r="D183" s="1845">
        <v>0.127</v>
      </c>
      <c r="E183" s="1845">
        <v>0.128</v>
      </c>
      <c r="F183" s="1853"/>
    </row>
    <row r="184" spans="1:6" ht="15" thickBot="1">
      <c r="A184" s="1840" t="s">
        <v>1411</v>
      </c>
      <c r="B184" s="1844" t="s">
        <v>1323</v>
      </c>
      <c r="C184" s="1845">
        <v>0.125</v>
      </c>
      <c r="D184" s="1845">
        <v>0.125</v>
      </c>
      <c r="E184" s="1845">
        <v>0.127</v>
      </c>
      <c r="F184" s="1853"/>
    </row>
    <row r="185" spans="1:6" ht="15" thickBot="1">
      <c r="A185" s="1840" t="s">
        <v>1411</v>
      </c>
      <c r="B185" s="1844" t="s">
        <v>2129</v>
      </c>
      <c r="C185" s="1845">
        <v>0.127</v>
      </c>
      <c r="D185" s="1845">
        <v>0.127</v>
      </c>
      <c r="E185" s="1845">
        <v>0.128</v>
      </c>
      <c r="F185" s="1846">
        <v>0.13</v>
      </c>
    </row>
    <row r="186" spans="1:6" ht="24.6" thickBot="1">
      <c r="A186" s="1840" t="s">
        <v>1411</v>
      </c>
      <c r="B186" s="1844" t="s">
        <v>2130</v>
      </c>
      <c r="C186" s="1854"/>
      <c r="D186" s="1854"/>
      <c r="E186" s="1854"/>
      <c r="F186" s="1846">
        <v>0.05</v>
      </c>
    </row>
    <row r="187" spans="1:6" ht="15" thickBot="1">
      <c r="A187" s="1840" t="s">
        <v>1411</v>
      </c>
      <c r="B187" s="1844" t="s">
        <v>2131</v>
      </c>
      <c r="C187" s="1854"/>
      <c r="D187" s="1854"/>
      <c r="E187" s="1854"/>
      <c r="F187" s="1846">
        <v>0.05</v>
      </c>
    </row>
    <row r="188" spans="1:6" ht="24.6" thickBot="1">
      <c r="A188" s="1840" t="s">
        <v>1411</v>
      </c>
      <c r="B188" s="1844" t="s">
        <v>2132</v>
      </c>
      <c r="C188" s="1854"/>
      <c r="D188" s="1854"/>
      <c r="E188" s="1854"/>
      <c r="F188" s="1846">
        <v>0.05</v>
      </c>
    </row>
    <row r="189" spans="1:6" ht="24.6" thickBot="1">
      <c r="A189" s="1840" t="s">
        <v>1411</v>
      </c>
      <c r="B189" s="1844" t="s">
        <v>2133</v>
      </c>
      <c r="C189" s="1854"/>
      <c r="D189" s="1854"/>
      <c r="E189" s="1854"/>
      <c r="F189" s="1846">
        <v>0.05</v>
      </c>
    </row>
    <row r="190" spans="1:6" ht="24.6" thickBot="1">
      <c r="A190" s="1840" t="s">
        <v>1411</v>
      </c>
      <c r="B190" s="1844" t="s">
        <v>2134</v>
      </c>
      <c r="C190" s="1854"/>
      <c r="D190" s="1854"/>
      <c r="E190" s="1854"/>
      <c r="F190" s="1846">
        <v>0.05</v>
      </c>
    </row>
    <row r="191" spans="1:6" ht="24.6" thickBot="1">
      <c r="A191" s="1840" t="s">
        <v>1411</v>
      </c>
      <c r="B191" s="1844" t="s">
        <v>2135</v>
      </c>
      <c r="C191" s="1854"/>
      <c r="D191" s="1854"/>
      <c r="E191" s="1854"/>
      <c r="F191" s="1846">
        <v>0.05</v>
      </c>
    </row>
    <row r="192" spans="1:6" ht="24.6" thickBot="1">
      <c r="A192" s="1840" t="s">
        <v>1411</v>
      </c>
      <c r="B192" s="1844" t="s">
        <v>2136</v>
      </c>
      <c r="C192" s="1854"/>
      <c r="D192" s="1854"/>
      <c r="E192" s="1854"/>
      <c r="F192" s="1846">
        <v>0.05</v>
      </c>
    </row>
    <row r="193" spans="1:6" ht="24.6" thickBot="1">
      <c r="A193" s="1840" t="s">
        <v>1411</v>
      </c>
      <c r="B193" s="1844" t="s">
        <v>2137</v>
      </c>
      <c r="C193" s="1854"/>
      <c r="D193" s="1854"/>
      <c r="E193" s="1854"/>
      <c r="F193" s="1846">
        <v>0.05</v>
      </c>
    </row>
    <row r="194" spans="1:6" ht="24.6" thickBot="1">
      <c r="A194" s="1840" t="s">
        <v>1411</v>
      </c>
      <c r="B194" s="1844" t="s">
        <v>2138</v>
      </c>
      <c r="C194" s="1854"/>
      <c r="D194" s="1854"/>
      <c r="E194" s="1854"/>
      <c r="F194" s="1846">
        <v>0.05</v>
      </c>
    </row>
    <row r="195" spans="1:6" ht="15" thickBot="1">
      <c r="A195" s="1840" t="s">
        <v>1411</v>
      </c>
      <c r="B195" s="1844" t="s">
        <v>2139</v>
      </c>
      <c r="C195" s="1854"/>
      <c r="D195" s="1854"/>
      <c r="E195" s="1854"/>
      <c r="F195" s="1846">
        <v>0.05</v>
      </c>
    </row>
    <row r="196" spans="1:6" ht="24.6" thickBot="1">
      <c r="A196" s="1840" t="s">
        <v>1411</v>
      </c>
      <c r="B196" s="1844" t="s">
        <v>2140</v>
      </c>
      <c r="C196" s="1854"/>
      <c r="D196" s="1854"/>
      <c r="E196" s="1854"/>
      <c r="F196" s="1846">
        <v>0.05</v>
      </c>
    </row>
    <row r="197" spans="1:6" ht="24.6" thickBot="1">
      <c r="A197" s="1840" t="s">
        <v>1411</v>
      </c>
      <c r="B197" s="1844" t="s">
        <v>2141</v>
      </c>
      <c r="C197" s="1854"/>
      <c r="D197" s="1854"/>
      <c r="E197" s="1854"/>
      <c r="F197" s="1846">
        <v>0.05</v>
      </c>
    </row>
    <row r="198" spans="1:6" ht="24.6" thickBot="1">
      <c r="A198" s="1840" t="s">
        <v>1411</v>
      </c>
      <c r="B198" s="1844" t="s">
        <v>2142</v>
      </c>
      <c r="C198" s="1854"/>
      <c r="D198" s="1854"/>
      <c r="E198" s="1854"/>
      <c r="F198" s="1846">
        <v>0.05</v>
      </c>
    </row>
    <row r="199" spans="1:6" ht="24.6" thickBot="1">
      <c r="A199" s="1840" t="s">
        <v>1411</v>
      </c>
      <c r="B199" s="1844" t="s">
        <v>2143</v>
      </c>
      <c r="C199" s="1854"/>
      <c r="D199" s="1854"/>
      <c r="E199" s="1854"/>
      <c r="F199" s="1846">
        <v>0.05</v>
      </c>
    </row>
    <row r="200" spans="1:6" ht="24.6" thickBot="1">
      <c r="A200" s="1840" t="s">
        <v>1411</v>
      </c>
      <c r="B200" s="1844" t="s">
        <v>2144</v>
      </c>
      <c r="C200" s="1854"/>
      <c r="D200" s="1854"/>
      <c r="E200" s="1854"/>
      <c r="F200" s="1846">
        <v>0.05</v>
      </c>
    </row>
    <row r="201" spans="1:6" ht="24.6" thickBot="1">
      <c r="A201" s="1840" t="s">
        <v>1411</v>
      </c>
      <c r="B201" s="1844" t="s">
        <v>2145</v>
      </c>
      <c r="C201" s="1854"/>
      <c r="D201" s="1854"/>
      <c r="E201" s="1854"/>
      <c r="F201" s="1846">
        <v>0.05</v>
      </c>
    </row>
    <row r="202" spans="1:6" ht="24.6" thickBot="1">
      <c r="A202" s="1840" t="s">
        <v>1411</v>
      </c>
      <c r="B202" s="1844" t="s">
        <v>2146</v>
      </c>
      <c r="C202" s="1854"/>
      <c r="D202" s="1854"/>
      <c r="E202" s="1854"/>
      <c r="F202" s="1846">
        <v>0.05</v>
      </c>
    </row>
    <row r="203" spans="1:6" ht="24.6" thickBot="1">
      <c r="A203" s="1840" t="s">
        <v>1411</v>
      </c>
      <c r="B203" s="1844" t="s">
        <v>2147</v>
      </c>
      <c r="C203" s="1854"/>
      <c r="D203" s="1854"/>
      <c r="E203" s="1854"/>
      <c r="F203" s="1846">
        <v>0.05</v>
      </c>
    </row>
    <row r="204" spans="1:6" ht="15" thickBot="1">
      <c r="A204" s="1840" t="s">
        <v>1411</v>
      </c>
      <c r="B204" s="1844" t="s">
        <v>2148</v>
      </c>
      <c r="C204" s="1854"/>
      <c r="D204" s="1854"/>
      <c r="E204" s="1854"/>
      <c r="F204" s="1846">
        <v>0.05</v>
      </c>
    </row>
    <row r="205" spans="1:6" ht="15" thickBot="1">
      <c r="A205" s="1848" t="s">
        <v>1411</v>
      </c>
      <c r="B205" s="1855" t="s">
        <v>2149</v>
      </c>
      <c r="C205" s="1851"/>
      <c r="D205" s="1851"/>
      <c r="E205" s="1851"/>
      <c r="F205" s="1856">
        <v>0.05</v>
      </c>
    </row>
    <row r="206" spans="1:6" ht="15" thickBot="1">
      <c r="A206" s="1840" t="s">
        <v>1413</v>
      </c>
      <c r="B206" s="1841" t="s">
        <v>2150</v>
      </c>
      <c r="C206" s="1842">
        <v>0.15</v>
      </c>
      <c r="D206" s="1842">
        <v>0.15</v>
      </c>
      <c r="E206" s="1842">
        <v>0.15</v>
      </c>
      <c r="F206" s="1843">
        <v>0.15</v>
      </c>
    </row>
    <row r="207" spans="1:6" ht="15" thickBot="1">
      <c r="A207" s="1840" t="s">
        <v>1413</v>
      </c>
      <c r="B207" s="1844" t="s">
        <v>1077</v>
      </c>
      <c r="C207" s="1845">
        <v>0.15</v>
      </c>
      <c r="D207" s="1845">
        <v>0.15</v>
      </c>
      <c r="E207" s="1845">
        <v>0.15</v>
      </c>
      <c r="F207" s="1846">
        <v>0.14399999999999999</v>
      </c>
    </row>
    <row r="208" spans="1:6" ht="15" thickBot="1">
      <c r="A208" s="1840" t="s">
        <v>1413</v>
      </c>
      <c r="B208" s="1844" t="s">
        <v>1091</v>
      </c>
      <c r="C208" s="1845">
        <v>0.15</v>
      </c>
      <c r="D208" s="1845">
        <v>0.15</v>
      </c>
      <c r="E208" s="1845">
        <v>0.15</v>
      </c>
      <c r="F208" s="1846">
        <v>0.15</v>
      </c>
    </row>
    <row r="209" spans="1:6" ht="15" thickBot="1">
      <c r="A209" s="1840" t="s">
        <v>1413</v>
      </c>
      <c r="B209" s="1844" t="s">
        <v>1104</v>
      </c>
      <c r="C209" s="1845">
        <v>0.13700000000000001</v>
      </c>
      <c r="D209" s="1845">
        <v>0.13700000000000001</v>
      </c>
      <c r="E209" s="1845">
        <v>0.14000000000000001</v>
      </c>
      <c r="F209" s="1846">
        <v>0.11700000000000001</v>
      </c>
    </row>
    <row r="210" spans="1:6" ht="15" thickBot="1">
      <c r="A210" s="1840" t="s">
        <v>1413</v>
      </c>
      <c r="B210" s="1844" t="s">
        <v>2151</v>
      </c>
      <c r="C210" s="1845">
        <v>0.15</v>
      </c>
      <c r="D210" s="1845">
        <v>0.15</v>
      </c>
      <c r="E210" s="1845">
        <v>0.15</v>
      </c>
      <c r="F210" s="1846">
        <v>0.13800000000000001</v>
      </c>
    </row>
    <row r="211" spans="1:6" ht="15" thickBot="1">
      <c r="A211" s="1840" t="s">
        <v>1413</v>
      </c>
      <c r="B211" s="1844" t="s">
        <v>2152</v>
      </c>
      <c r="C211" s="1845">
        <v>0.13700000000000001</v>
      </c>
      <c r="D211" s="1845">
        <v>0.13500000000000001</v>
      </c>
      <c r="E211" s="1845">
        <v>0.13600000000000001</v>
      </c>
      <c r="F211" s="1846">
        <v>0.1</v>
      </c>
    </row>
    <row r="212" spans="1:6" ht="15" thickBot="1">
      <c r="A212" s="1840" t="s">
        <v>1413</v>
      </c>
      <c r="B212" s="1844" t="s">
        <v>2153</v>
      </c>
      <c r="C212" s="1845">
        <v>0.15</v>
      </c>
      <c r="D212" s="1845">
        <v>0.15</v>
      </c>
      <c r="E212" s="1845">
        <v>0.14799999999999999</v>
      </c>
      <c r="F212" s="1846">
        <v>0.13600000000000001</v>
      </c>
    </row>
    <row r="213" spans="1:6" ht="15" thickBot="1">
      <c r="A213" s="1840" t="s">
        <v>1413</v>
      </c>
      <c r="B213" s="1844" t="s">
        <v>1151</v>
      </c>
      <c r="C213" s="1845">
        <v>0.15</v>
      </c>
      <c r="D213" s="1845">
        <v>0.15</v>
      </c>
      <c r="E213" s="1845">
        <v>0.15</v>
      </c>
      <c r="F213" s="1846">
        <v>0.13800000000000001</v>
      </c>
    </row>
    <row r="214" spans="1:6" ht="15" thickBot="1">
      <c r="A214" s="1840" t="s">
        <v>1413</v>
      </c>
      <c r="B214" s="1844" t="s">
        <v>1163</v>
      </c>
      <c r="C214" s="1845">
        <v>9.0999999999999998E-2</v>
      </c>
      <c r="D214" s="1845">
        <v>0.09</v>
      </c>
      <c r="E214" s="1845">
        <v>9.1999999999999998E-2</v>
      </c>
      <c r="F214" s="1853"/>
    </row>
    <row r="215" spans="1:6" ht="15" thickBot="1">
      <c r="A215" s="1840" t="s">
        <v>1413</v>
      </c>
      <c r="B215" s="1844" t="s">
        <v>2154</v>
      </c>
      <c r="C215" s="1845">
        <v>0.15</v>
      </c>
      <c r="D215" s="1845">
        <v>0.15</v>
      </c>
      <c r="E215" s="1845">
        <v>0.15</v>
      </c>
      <c r="F215" s="1846">
        <v>0.15</v>
      </c>
    </row>
    <row r="216" spans="1:6" ht="15" thickBot="1">
      <c r="A216" s="1840" t="s">
        <v>1413</v>
      </c>
      <c r="B216" s="1844" t="s">
        <v>1183</v>
      </c>
      <c r="C216" s="1845">
        <v>0.14699999999999999</v>
      </c>
      <c r="D216" s="1845">
        <v>0.14699999999999999</v>
      </c>
      <c r="E216" s="1845">
        <v>0.15</v>
      </c>
      <c r="F216" s="1846">
        <v>0.14000000000000001</v>
      </c>
    </row>
    <row r="217" spans="1:6" ht="15" thickBot="1">
      <c r="A217" s="1840" t="s">
        <v>1413</v>
      </c>
      <c r="B217" s="1844" t="s">
        <v>1193</v>
      </c>
      <c r="C217" s="1845">
        <v>0.15</v>
      </c>
      <c r="D217" s="1845">
        <v>0.15</v>
      </c>
      <c r="E217" s="1845">
        <v>0.15</v>
      </c>
      <c r="F217" s="1846">
        <v>0.15</v>
      </c>
    </row>
    <row r="218" spans="1:6" ht="15" thickBot="1">
      <c r="A218" s="1840" t="s">
        <v>1413</v>
      </c>
      <c r="B218" s="1844" t="s">
        <v>2155</v>
      </c>
      <c r="C218" s="1845">
        <v>0.15</v>
      </c>
      <c r="D218" s="1845">
        <v>0.15</v>
      </c>
      <c r="E218" s="1845">
        <v>0.15</v>
      </c>
      <c r="F218" s="1846">
        <v>0.15</v>
      </c>
    </row>
    <row r="219" spans="1:6" ht="15" thickBot="1">
      <c r="A219" s="1840" t="s">
        <v>1413</v>
      </c>
      <c r="B219" s="1844" t="s">
        <v>1213</v>
      </c>
      <c r="C219" s="1845">
        <v>0.15</v>
      </c>
      <c r="D219" s="1845">
        <v>0.15</v>
      </c>
      <c r="E219" s="1845">
        <v>0.15</v>
      </c>
      <c r="F219" s="1846">
        <v>0.14799999999999999</v>
      </c>
    </row>
    <row r="220" spans="1:6" ht="15" thickBot="1">
      <c r="A220" s="1840" t="s">
        <v>1413</v>
      </c>
      <c r="B220" s="1844" t="s">
        <v>2156</v>
      </c>
      <c r="C220" s="1845">
        <v>0.15</v>
      </c>
      <c r="D220" s="1845">
        <v>0.15</v>
      </c>
      <c r="E220" s="1845">
        <v>0.15</v>
      </c>
      <c r="F220" s="1846">
        <v>0.15</v>
      </c>
    </row>
    <row r="221" spans="1:6" ht="15" thickBot="1">
      <c r="A221" s="1840" t="s">
        <v>1413</v>
      </c>
      <c r="B221" s="1844" t="s">
        <v>1233</v>
      </c>
      <c r="C221" s="1845"/>
      <c r="D221" s="1854"/>
      <c r="E221" s="1854"/>
      <c r="F221" s="1846">
        <v>0.14799999999999999</v>
      </c>
    </row>
    <row r="222" spans="1:6" ht="15" thickBot="1">
      <c r="A222" s="1840" t="s">
        <v>1413</v>
      </c>
      <c r="B222" s="1844" t="s">
        <v>1243</v>
      </c>
      <c r="C222" s="1845"/>
      <c r="D222" s="1854"/>
      <c r="E222" s="1854"/>
      <c r="F222" s="1846">
        <v>0.1</v>
      </c>
    </row>
    <row r="223" spans="1:6" ht="15" thickBot="1">
      <c r="A223" s="1840" t="s">
        <v>1413</v>
      </c>
      <c r="B223" s="1844" t="s">
        <v>1253</v>
      </c>
      <c r="C223" s="1845"/>
      <c r="D223" s="1854"/>
      <c r="E223" s="1854"/>
      <c r="F223" s="1846">
        <v>0.15</v>
      </c>
    </row>
    <row r="224" spans="1:6" ht="15" thickBot="1">
      <c r="A224" s="1840" t="s">
        <v>1413</v>
      </c>
      <c r="B224" s="1844" t="s">
        <v>1263</v>
      </c>
      <c r="C224" s="1845"/>
      <c r="D224" s="1854"/>
      <c r="E224" s="1854"/>
      <c r="F224" s="1846">
        <v>0.15</v>
      </c>
    </row>
    <row r="225" spans="1:6" ht="15" thickBot="1">
      <c r="A225" s="1840" t="s">
        <v>1413</v>
      </c>
      <c r="B225" s="1844" t="s">
        <v>2157</v>
      </c>
      <c r="C225" s="1845">
        <v>0.15</v>
      </c>
      <c r="D225" s="1845">
        <v>0.15</v>
      </c>
      <c r="E225" s="1845">
        <v>0.15</v>
      </c>
      <c r="F225" s="1846">
        <v>0.15</v>
      </c>
    </row>
    <row r="226" spans="1:6" ht="15" thickBot="1">
      <c r="A226" s="1840" t="s">
        <v>1413</v>
      </c>
      <c r="B226" s="1844" t="s">
        <v>1281</v>
      </c>
      <c r="C226" s="1845">
        <v>0.15</v>
      </c>
      <c r="D226" s="1845">
        <v>0.15</v>
      </c>
      <c r="E226" s="1845">
        <v>0.15</v>
      </c>
      <c r="F226" s="1846">
        <v>0.14799999999999999</v>
      </c>
    </row>
    <row r="227" spans="1:6" ht="15" thickBot="1">
      <c r="A227" s="1840" t="s">
        <v>1413</v>
      </c>
      <c r="B227" s="1844" t="s">
        <v>2158</v>
      </c>
      <c r="C227" s="1845">
        <v>0.15</v>
      </c>
      <c r="D227" s="1845">
        <v>0.15</v>
      </c>
      <c r="E227" s="1845">
        <v>0.15</v>
      </c>
      <c r="F227" s="1846">
        <v>0.15</v>
      </c>
    </row>
    <row r="228" spans="1:6" ht="15" thickBot="1">
      <c r="A228" s="1840" t="s">
        <v>1413</v>
      </c>
      <c r="B228" s="1844" t="s">
        <v>1296</v>
      </c>
      <c r="C228" s="1845">
        <v>0.15</v>
      </c>
      <c r="D228" s="1845">
        <v>0.15</v>
      </c>
      <c r="E228" s="1845">
        <v>0.15</v>
      </c>
      <c r="F228" s="1846">
        <v>0.15</v>
      </c>
    </row>
    <row r="229" spans="1:6" ht="15" thickBot="1">
      <c r="A229" s="1840" t="s">
        <v>1413</v>
      </c>
      <c r="B229" s="1844" t="s">
        <v>1303</v>
      </c>
      <c r="C229" s="1845">
        <v>0.15</v>
      </c>
      <c r="D229" s="1845">
        <v>0.15</v>
      </c>
      <c r="E229" s="1845">
        <v>0.15</v>
      </c>
      <c r="F229" s="1853"/>
    </row>
    <row r="230" spans="1:6" ht="15" thickBot="1">
      <c r="A230" s="1840" t="s">
        <v>1413</v>
      </c>
      <c r="B230" s="1844" t="s">
        <v>1310</v>
      </c>
      <c r="C230" s="1845">
        <v>0.14499999999999999</v>
      </c>
      <c r="D230" s="1845">
        <v>0.14499999999999999</v>
      </c>
      <c r="E230" s="1845">
        <v>0.14399999999999999</v>
      </c>
      <c r="F230" s="1853"/>
    </row>
    <row r="231" spans="1:6" ht="15" thickBot="1">
      <c r="A231" s="1840" t="s">
        <v>1413</v>
      </c>
      <c r="B231" s="1844" t="s">
        <v>2159</v>
      </c>
      <c r="C231" s="1845">
        <v>0.128</v>
      </c>
      <c r="D231" s="1845">
        <v>0.125</v>
      </c>
      <c r="E231" s="1845">
        <v>0.13200000000000001</v>
      </c>
      <c r="F231" s="1853"/>
    </row>
    <row r="232" spans="1:6" ht="15" thickBot="1">
      <c r="A232" s="1840" t="s">
        <v>1413</v>
      </c>
      <c r="B232" s="1844" t="s">
        <v>2160</v>
      </c>
      <c r="C232" s="1845">
        <v>0.14499999999999999</v>
      </c>
      <c r="D232" s="1845">
        <v>0.14399999999999999</v>
      </c>
      <c r="E232" s="1845">
        <v>0.14599999999999999</v>
      </c>
      <c r="F232" s="1846">
        <v>0.13800000000000001</v>
      </c>
    </row>
    <row r="233" spans="1:6" ht="15" thickBot="1">
      <c r="A233" s="1840" t="s">
        <v>1413</v>
      </c>
      <c r="B233" s="1844" t="s">
        <v>2161</v>
      </c>
      <c r="C233" s="1845">
        <v>0.14499999999999999</v>
      </c>
      <c r="D233" s="1845">
        <v>0.14299999999999999</v>
      </c>
      <c r="E233" s="1845">
        <v>0.14199999999999999</v>
      </c>
      <c r="F233" s="1853"/>
    </row>
    <row r="234" spans="1:6" ht="15" thickBot="1">
      <c r="A234" s="1840" t="s">
        <v>1413</v>
      </c>
      <c r="B234" s="1844" t="s">
        <v>2162</v>
      </c>
      <c r="C234" s="1845">
        <v>0.14000000000000001</v>
      </c>
      <c r="D234" s="1845">
        <v>0.14000000000000001</v>
      </c>
      <c r="E234" s="1845">
        <v>0.14399999999999999</v>
      </c>
      <c r="F234" s="1853"/>
    </row>
    <row r="235" spans="1:6" ht="15" thickBot="1">
      <c r="A235" s="1840" t="s">
        <v>1413</v>
      </c>
      <c r="B235" s="1844" t="s">
        <v>2163</v>
      </c>
      <c r="C235" s="1845">
        <v>0.14099999999999999</v>
      </c>
      <c r="D235" s="1845">
        <v>0.14199999999999999</v>
      </c>
      <c r="E235" s="1845">
        <v>0.14499999999999999</v>
      </c>
      <c r="F235" s="1846">
        <v>0.15</v>
      </c>
    </row>
    <row r="236" spans="1:6" ht="15" thickBot="1">
      <c r="A236" s="1840" t="s">
        <v>1413</v>
      </c>
      <c r="B236" s="1844" t="s">
        <v>1345</v>
      </c>
      <c r="C236" s="1854"/>
      <c r="D236" s="1854"/>
      <c r="E236" s="1854"/>
      <c r="F236" s="1846">
        <v>0.14299999999999999</v>
      </c>
    </row>
    <row r="237" spans="1:6" ht="24.6" thickBot="1">
      <c r="A237" s="1840" t="s">
        <v>1413</v>
      </c>
      <c r="B237" s="1844" t="s">
        <v>2164</v>
      </c>
      <c r="C237" s="1854"/>
      <c r="D237" s="1854"/>
      <c r="E237" s="1854"/>
      <c r="F237" s="1846">
        <v>0.05</v>
      </c>
    </row>
    <row r="238" spans="1:6" ht="24.6" thickBot="1">
      <c r="A238" s="1840" t="s">
        <v>1413</v>
      </c>
      <c r="B238" s="1844" t="s">
        <v>2165</v>
      </c>
      <c r="C238" s="1854"/>
      <c r="D238" s="1854"/>
      <c r="E238" s="1854"/>
      <c r="F238" s="1846">
        <v>0.05</v>
      </c>
    </row>
    <row r="239" spans="1:6" ht="24.6" thickBot="1">
      <c r="A239" s="1840" t="s">
        <v>1413</v>
      </c>
      <c r="B239" s="1844" t="s">
        <v>2166</v>
      </c>
      <c r="C239" s="1854"/>
      <c r="D239" s="1854"/>
      <c r="E239" s="1854"/>
      <c r="F239" s="1846">
        <v>0.05</v>
      </c>
    </row>
    <row r="240" spans="1:6" ht="24.6" thickBot="1">
      <c r="A240" s="1840" t="s">
        <v>1413</v>
      </c>
      <c r="B240" s="1844" t="s">
        <v>2167</v>
      </c>
      <c r="C240" s="1854"/>
      <c r="D240" s="1854"/>
      <c r="E240" s="1854"/>
      <c r="F240" s="1846">
        <v>0.05</v>
      </c>
    </row>
    <row r="241" spans="1:6" ht="24.6" thickBot="1">
      <c r="A241" s="1840" t="s">
        <v>1413</v>
      </c>
      <c r="B241" s="1844" t="s">
        <v>2168</v>
      </c>
      <c r="C241" s="1854"/>
      <c r="D241" s="1854"/>
      <c r="E241" s="1854"/>
      <c r="F241" s="1846">
        <v>0.05</v>
      </c>
    </row>
    <row r="242" spans="1:6" ht="24.6" thickBot="1">
      <c r="A242" s="1840" t="s">
        <v>1413</v>
      </c>
      <c r="B242" s="1844" t="s">
        <v>2169</v>
      </c>
      <c r="C242" s="1854"/>
      <c r="D242" s="1854"/>
      <c r="E242" s="1854"/>
      <c r="F242" s="1846">
        <v>0.05</v>
      </c>
    </row>
    <row r="243" spans="1:6" ht="24.6" thickBot="1">
      <c r="A243" s="1840" t="s">
        <v>1413</v>
      </c>
      <c r="B243" s="1844" t="s">
        <v>2170</v>
      </c>
      <c r="C243" s="1854"/>
      <c r="D243" s="1854"/>
      <c r="E243" s="1854"/>
      <c r="F243" s="1846">
        <v>0.05</v>
      </c>
    </row>
    <row r="244" spans="1:6" ht="24.6" thickBot="1">
      <c r="A244" s="1848" t="s">
        <v>1413</v>
      </c>
      <c r="B244" s="1855" t="s">
        <v>2171</v>
      </c>
      <c r="C244" s="1851"/>
      <c r="D244" s="1851"/>
      <c r="E244" s="1851"/>
      <c r="F244" s="1856">
        <v>0.05</v>
      </c>
    </row>
    <row r="245" spans="1:6" ht="15" thickBot="1">
      <c r="A245" s="1840" t="s">
        <v>1415</v>
      </c>
      <c r="B245" s="1841" t="s">
        <v>2172</v>
      </c>
      <c r="C245" s="1842">
        <v>0.15</v>
      </c>
      <c r="D245" s="1842">
        <v>0.15</v>
      </c>
      <c r="E245" s="1842">
        <v>0.15</v>
      </c>
      <c r="F245" s="1843">
        <v>0.14299999999999999</v>
      </c>
    </row>
    <row r="246" spans="1:6" ht="15" thickBot="1">
      <c r="A246" s="1840" t="s">
        <v>1415</v>
      </c>
      <c r="B246" s="1844" t="s">
        <v>1078</v>
      </c>
      <c r="C246" s="1845">
        <v>0.15</v>
      </c>
      <c r="D246" s="1845">
        <v>0.15</v>
      </c>
      <c r="E246" s="1845">
        <v>0.15</v>
      </c>
      <c r="F246" s="1846">
        <v>0.114</v>
      </c>
    </row>
    <row r="247" spans="1:6" ht="15" thickBot="1">
      <c r="A247" s="1840" t="s">
        <v>1415</v>
      </c>
      <c r="B247" s="1844" t="s">
        <v>2173</v>
      </c>
      <c r="C247" s="1845">
        <v>0.15</v>
      </c>
      <c r="D247" s="1845">
        <v>0.15</v>
      </c>
      <c r="E247" s="1845">
        <v>0.15</v>
      </c>
      <c r="F247" s="1846">
        <v>0.15</v>
      </c>
    </row>
    <row r="248" spans="1:6" ht="15" thickBot="1">
      <c r="A248" s="1840" t="s">
        <v>1415</v>
      </c>
      <c r="B248" s="1844" t="s">
        <v>2174</v>
      </c>
      <c r="C248" s="1845">
        <v>0.15</v>
      </c>
      <c r="D248" s="1845">
        <v>0.15</v>
      </c>
      <c r="E248" s="1845">
        <v>0.15</v>
      </c>
      <c r="F248" s="1846">
        <v>0.14000000000000001</v>
      </c>
    </row>
    <row r="249" spans="1:6" ht="15" thickBot="1">
      <c r="A249" s="1840" t="s">
        <v>1415</v>
      </c>
      <c r="B249" s="1844" t="s">
        <v>2175</v>
      </c>
      <c r="C249" s="1845">
        <v>0.15</v>
      </c>
      <c r="D249" s="1845">
        <v>0.14899999999999999</v>
      </c>
      <c r="E249" s="1845">
        <v>0.15</v>
      </c>
      <c r="F249" s="1846">
        <v>0.1</v>
      </c>
    </row>
    <row r="250" spans="1:6" ht="15" thickBot="1">
      <c r="A250" s="1840" t="s">
        <v>1415</v>
      </c>
      <c r="B250" s="1844" t="s">
        <v>2176</v>
      </c>
      <c r="C250" s="1845">
        <v>0.15</v>
      </c>
      <c r="D250" s="1845">
        <v>0.15</v>
      </c>
      <c r="E250" s="1845">
        <v>0.15</v>
      </c>
      <c r="F250" s="1846">
        <v>0.14399999999999999</v>
      </c>
    </row>
    <row r="251" spans="1:6" ht="15" thickBot="1">
      <c r="A251" s="1840" t="s">
        <v>1415</v>
      </c>
      <c r="B251" s="1844" t="s">
        <v>1141</v>
      </c>
      <c r="C251" s="1845">
        <v>0.15</v>
      </c>
      <c r="D251" s="1845">
        <v>0.15</v>
      </c>
      <c r="E251" s="1845">
        <v>0.15</v>
      </c>
      <c r="F251" s="1846">
        <v>0.14299999999999999</v>
      </c>
    </row>
    <row r="252" spans="1:6" ht="15" thickBot="1">
      <c r="A252" s="1840" t="s">
        <v>1415</v>
      </c>
      <c r="B252" s="1844" t="s">
        <v>1152</v>
      </c>
      <c r="C252" s="1845">
        <v>0.15</v>
      </c>
      <c r="D252" s="1845">
        <v>0.15</v>
      </c>
      <c r="E252" s="1845">
        <v>0.15</v>
      </c>
      <c r="F252" s="1846">
        <v>0.1</v>
      </c>
    </row>
    <row r="253" spans="1:6" ht="15" thickBot="1">
      <c r="A253" s="1840" t="s">
        <v>1415</v>
      </c>
      <c r="B253" s="1844" t="s">
        <v>1164</v>
      </c>
      <c r="C253" s="1845">
        <v>0.15</v>
      </c>
      <c r="D253" s="1845">
        <v>0.15</v>
      </c>
      <c r="E253" s="1845">
        <v>0.15</v>
      </c>
      <c r="F253" s="1846">
        <v>0.1</v>
      </c>
    </row>
    <row r="254" spans="1:6" ht="15" thickBot="1">
      <c r="A254" s="1840" t="s">
        <v>1415</v>
      </c>
      <c r="B254" s="1844" t="s">
        <v>1174</v>
      </c>
      <c r="C254" s="1854"/>
      <c r="D254" s="1854"/>
      <c r="E254" s="1854"/>
      <c r="F254" s="1846">
        <v>0.15</v>
      </c>
    </row>
    <row r="255" spans="1:6" ht="15" thickBot="1">
      <c r="A255" s="1840" t="s">
        <v>1415</v>
      </c>
      <c r="B255" s="1844" t="s">
        <v>1184</v>
      </c>
      <c r="C255" s="1854"/>
      <c r="D255" s="1854"/>
      <c r="E255" s="1854"/>
      <c r="F255" s="1846">
        <v>0.14299999999999999</v>
      </c>
    </row>
    <row r="256" spans="1:6" ht="15" thickBot="1">
      <c r="A256" s="1840" t="s">
        <v>1415</v>
      </c>
      <c r="B256" s="1844" t="s">
        <v>2177</v>
      </c>
      <c r="C256" s="1845">
        <v>0.14599999999999999</v>
      </c>
      <c r="D256" s="1845">
        <v>0.14699999999999999</v>
      </c>
      <c r="E256" s="1845">
        <v>0.15</v>
      </c>
      <c r="F256" s="1846">
        <v>0.13200000000000001</v>
      </c>
    </row>
    <row r="257" spans="1:6" ht="15" thickBot="1">
      <c r="A257" s="1840" t="s">
        <v>1415</v>
      </c>
      <c r="B257" s="1844" t="s">
        <v>1204</v>
      </c>
      <c r="C257" s="1845">
        <v>0.15</v>
      </c>
      <c r="D257" s="1845">
        <v>0.15</v>
      </c>
      <c r="E257" s="1845">
        <v>0.15</v>
      </c>
      <c r="F257" s="1846">
        <v>0.13900000000000001</v>
      </c>
    </row>
    <row r="258" spans="1:6" ht="15" thickBot="1">
      <c r="A258" s="1840" t="s">
        <v>1415</v>
      </c>
      <c r="B258" s="1844" t="s">
        <v>1214</v>
      </c>
      <c r="C258" s="1845">
        <v>0.15</v>
      </c>
      <c r="D258" s="1845">
        <v>0.15</v>
      </c>
      <c r="E258" s="1845">
        <v>0.15</v>
      </c>
      <c r="F258" s="1846">
        <v>0.13</v>
      </c>
    </row>
    <row r="259" spans="1:6" ht="15" thickBot="1">
      <c r="A259" s="1840" t="s">
        <v>1415</v>
      </c>
      <c r="B259" s="1844" t="s">
        <v>2178</v>
      </c>
      <c r="C259" s="1845">
        <v>0.14799999999999999</v>
      </c>
      <c r="D259" s="1845">
        <v>0.14899999999999999</v>
      </c>
      <c r="E259" s="1845">
        <v>0.15</v>
      </c>
      <c r="F259" s="1846">
        <v>0.13700000000000001</v>
      </c>
    </row>
    <row r="260" spans="1:6" ht="15" thickBot="1">
      <c r="A260" s="1840" t="s">
        <v>1415</v>
      </c>
      <c r="B260" s="1844" t="s">
        <v>1234</v>
      </c>
      <c r="C260" s="1845">
        <v>0.15</v>
      </c>
      <c r="D260" s="1845">
        <v>0.15</v>
      </c>
      <c r="E260" s="1845">
        <v>0.15</v>
      </c>
      <c r="F260" s="1846">
        <v>0.14199999999999999</v>
      </c>
    </row>
    <row r="261" spans="1:6" ht="15" thickBot="1">
      <c r="A261" s="1840" t="s">
        <v>1415</v>
      </c>
      <c r="B261" s="1844" t="s">
        <v>1244</v>
      </c>
      <c r="C261" s="1845">
        <v>0.15</v>
      </c>
      <c r="D261" s="1845">
        <v>0.15</v>
      </c>
      <c r="E261" s="1845">
        <v>0.14899999999999999</v>
      </c>
      <c r="F261" s="1846">
        <v>0.14799999999999999</v>
      </c>
    </row>
    <row r="262" spans="1:6" ht="15" thickBot="1">
      <c r="A262" s="1840" t="s">
        <v>1415</v>
      </c>
      <c r="B262" s="1844" t="s">
        <v>1254</v>
      </c>
      <c r="C262" s="1845">
        <v>0.15</v>
      </c>
      <c r="D262" s="1845">
        <v>0.15</v>
      </c>
      <c r="E262" s="1845">
        <v>0.15</v>
      </c>
      <c r="F262" s="1853"/>
    </row>
    <row r="263" spans="1:6" ht="15" thickBot="1">
      <c r="A263" s="1840" t="s">
        <v>1415</v>
      </c>
      <c r="B263" s="1844" t="s">
        <v>2179</v>
      </c>
      <c r="C263" s="1845">
        <v>0.14899999999999999</v>
      </c>
      <c r="D263" s="1845">
        <v>0.14899999999999999</v>
      </c>
      <c r="E263" s="1845">
        <v>0.15</v>
      </c>
      <c r="F263" s="1846">
        <v>0.13</v>
      </c>
    </row>
    <row r="264" spans="1:6" ht="15" thickBot="1">
      <c r="A264" s="1840" t="s">
        <v>1415</v>
      </c>
      <c r="B264" s="1844" t="s">
        <v>1273</v>
      </c>
      <c r="C264" s="1845">
        <v>0.14799999999999999</v>
      </c>
      <c r="D264" s="1845">
        <v>0.14699999999999999</v>
      </c>
      <c r="E264" s="1845">
        <v>0.15</v>
      </c>
      <c r="F264" s="1846">
        <v>7.8E-2</v>
      </c>
    </row>
    <row r="265" spans="1:6" ht="15" thickBot="1">
      <c r="A265" s="1840" t="s">
        <v>1415</v>
      </c>
      <c r="B265" s="1844" t="s">
        <v>1282</v>
      </c>
      <c r="C265" s="1845">
        <v>0.15</v>
      </c>
      <c r="D265" s="1845">
        <v>0.15</v>
      </c>
      <c r="E265" s="1845">
        <v>0.15</v>
      </c>
      <c r="F265" s="1846">
        <v>7.3999999999999996E-2</v>
      </c>
    </row>
    <row r="266" spans="1:6" ht="15" thickBot="1">
      <c r="A266" s="1840" t="s">
        <v>1415</v>
      </c>
      <c r="B266" s="1844" t="s">
        <v>1290</v>
      </c>
      <c r="C266" s="1845">
        <v>0.14699999999999999</v>
      </c>
      <c r="D266" s="1845">
        <v>0.14699999999999999</v>
      </c>
      <c r="E266" s="1845">
        <v>0.15</v>
      </c>
      <c r="F266" s="1846">
        <v>0.14299999999999999</v>
      </c>
    </row>
    <row r="267" spans="1:6" ht="15" thickBot="1">
      <c r="A267" s="1840" t="s">
        <v>1415</v>
      </c>
      <c r="B267" s="1844" t="s">
        <v>1297</v>
      </c>
      <c r="C267" s="1845">
        <v>0.14199999999999999</v>
      </c>
      <c r="D267" s="1845">
        <v>0.14299999999999999</v>
      </c>
      <c r="E267" s="1845">
        <v>0.15</v>
      </c>
      <c r="F267" s="1853"/>
    </row>
    <row r="268" spans="1:6" ht="15" thickBot="1">
      <c r="A268" s="1840" t="s">
        <v>1415</v>
      </c>
      <c r="B268" s="1844" t="s">
        <v>2180</v>
      </c>
      <c r="C268" s="1845">
        <v>0.15</v>
      </c>
      <c r="D268" s="1845">
        <v>0.15</v>
      </c>
      <c r="E268" s="1845">
        <v>0.15</v>
      </c>
      <c r="F268" s="1846">
        <v>0.13</v>
      </c>
    </row>
    <row r="269" spans="1:6" ht="15" thickBot="1">
      <c r="A269" s="1840" t="s">
        <v>1415</v>
      </c>
      <c r="B269" s="1844" t="s">
        <v>1311</v>
      </c>
      <c r="C269" s="1845">
        <v>0.15</v>
      </c>
      <c r="D269" s="1845">
        <v>0.15</v>
      </c>
      <c r="E269" s="1845">
        <v>0.15</v>
      </c>
      <c r="F269" s="1846">
        <v>0.14299999999999999</v>
      </c>
    </row>
    <row r="270" spans="1:6" ht="15" thickBot="1">
      <c r="A270" s="1840" t="s">
        <v>1415</v>
      </c>
      <c r="B270" s="1844" t="s">
        <v>1318</v>
      </c>
      <c r="C270" s="1845">
        <v>0.14499999999999999</v>
      </c>
      <c r="D270" s="1845">
        <v>0.14499999999999999</v>
      </c>
      <c r="E270" s="1845">
        <v>0.15</v>
      </c>
      <c r="F270" s="1846">
        <v>0.14699999999999999</v>
      </c>
    </row>
    <row r="271" spans="1:6" ht="15" thickBot="1">
      <c r="A271" s="1840" t="s">
        <v>1415</v>
      </c>
      <c r="B271" s="1844" t="s">
        <v>1325</v>
      </c>
      <c r="C271" s="1845">
        <v>0.15</v>
      </c>
      <c r="D271" s="1845">
        <v>0.15</v>
      </c>
      <c r="E271" s="1845">
        <v>0.15</v>
      </c>
      <c r="F271" s="1846">
        <v>0.13800000000000001</v>
      </c>
    </row>
    <row r="272" spans="1:6" ht="15" thickBot="1">
      <c r="A272" s="1840" t="s">
        <v>1415</v>
      </c>
      <c r="B272" s="1844" t="s">
        <v>1332</v>
      </c>
      <c r="C272" s="1854"/>
      <c r="D272" s="1854"/>
      <c r="E272" s="1854"/>
      <c r="F272" s="1846">
        <v>0.14000000000000001</v>
      </c>
    </row>
    <row r="273" spans="1:6" ht="15" thickBot="1">
      <c r="A273" s="1840" t="s">
        <v>1415</v>
      </c>
      <c r="B273" s="1844" t="s">
        <v>2181</v>
      </c>
      <c r="C273" s="1845">
        <v>0.14199999999999999</v>
      </c>
      <c r="D273" s="1845">
        <v>0.14299999999999999</v>
      </c>
      <c r="E273" s="1845">
        <v>0.15</v>
      </c>
      <c r="F273" s="1846">
        <v>0.1</v>
      </c>
    </row>
    <row r="274" spans="1:6" ht="15" thickBot="1">
      <c r="A274" s="1840" t="s">
        <v>1415</v>
      </c>
      <c r="B274" s="1844" t="s">
        <v>2182</v>
      </c>
      <c r="C274" s="1845">
        <v>0.14799999999999999</v>
      </c>
      <c r="D274" s="1845">
        <v>0.14799999999999999</v>
      </c>
      <c r="E274" s="1845">
        <v>0.15</v>
      </c>
      <c r="F274" s="1846">
        <v>6.7000000000000004E-2</v>
      </c>
    </row>
    <row r="275" spans="1:6" ht="15" thickBot="1">
      <c r="A275" s="1840" t="s">
        <v>1415</v>
      </c>
      <c r="B275" s="1844" t="s">
        <v>2183</v>
      </c>
      <c r="C275" s="1845">
        <v>0.15</v>
      </c>
      <c r="D275" s="1845">
        <v>0.15</v>
      </c>
      <c r="E275" s="1845">
        <v>0.15</v>
      </c>
      <c r="F275" s="1846">
        <v>0.15</v>
      </c>
    </row>
    <row r="276" spans="1:6" ht="15" thickBot="1">
      <c r="A276" s="1840" t="s">
        <v>1415</v>
      </c>
      <c r="B276" s="1844" t="s">
        <v>2184</v>
      </c>
      <c r="C276" s="1845">
        <v>0.14499999999999999</v>
      </c>
      <c r="D276" s="1845">
        <v>0.14299999999999999</v>
      </c>
      <c r="E276" s="1845">
        <v>0.15</v>
      </c>
      <c r="F276" s="1846">
        <v>5.8999999999999997E-2</v>
      </c>
    </row>
    <row r="277" spans="1:6" ht="15" thickBot="1">
      <c r="A277" s="1840" t="s">
        <v>1415</v>
      </c>
      <c r="B277" s="1844" t="s">
        <v>2185</v>
      </c>
      <c r="C277" s="1845">
        <v>0.15</v>
      </c>
      <c r="D277" s="1845">
        <v>0.15</v>
      </c>
      <c r="E277" s="1845">
        <v>0.15</v>
      </c>
      <c r="F277" s="1846">
        <v>0.121</v>
      </c>
    </row>
    <row r="278" spans="1:6" ht="15" thickBot="1">
      <c r="A278" s="1840" t="s">
        <v>1415</v>
      </c>
      <c r="B278" s="1844" t="s">
        <v>2186</v>
      </c>
      <c r="C278" s="1845">
        <v>0.15</v>
      </c>
      <c r="D278" s="1845">
        <v>0.15</v>
      </c>
      <c r="E278" s="1845">
        <v>0.15</v>
      </c>
      <c r="F278" s="1846">
        <v>0.13800000000000001</v>
      </c>
    </row>
    <row r="279" spans="1:6" ht="24.6" thickBot="1">
      <c r="A279" s="1840" t="s">
        <v>1415</v>
      </c>
      <c r="B279" s="1844" t="s">
        <v>2187</v>
      </c>
      <c r="C279" s="1854"/>
      <c r="D279" s="1854"/>
      <c r="E279" s="1854"/>
      <c r="F279" s="1846">
        <v>0.05</v>
      </c>
    </row>
    <row r="280" spans="1:6" ht="24.6" thickBot="1">
      <c r="A280" s="1840" t="s">
        <v>1415</v>
      </c>
      <c r="B280" s="1844" t="s">
        <v>2188</v>
      </c>
      <c r="C280" s="1854"/>
      <c r="D280" s="1854"/>
      <c r="E280" s="1854"/>
      <c r="F280" s="1846">
        <v>0.05</v>
      </c>
    </row>
    <row r="281" spans="1:6" ht="24.6" thickBot="1">
      <c r="A281" s="1840" t="s">
        <v>1415</v>
      </c>
      <c r="B281" s="1844" t="s">
        <v>2189</v>
      </c>
      <c r="C281" s="1854"/>
      <c r="D281" s="1854"/>
      <c r="E281" s="1854"/>
      <c r="F281" s="1846">
        <v>0.05</v>
      </c>
    </row>
    <row r="282" spans="1:6" ht="24.6" thickBot="1">
      <c r="A282" s="1840" t="s">
        <v>1415</v>
      </c>
      <c r="B282" s="1844" t="s">
        <v>2190</v>
      </c>
      <c r="C282" s="1854"/>
      <c r="D282" s="1854"/>
      <c r="E282" s="1854"/>
      <c r="F282" s="1846">
        <v>0.05</v>
      </c>
    </row>
    <row r="283" spans="1:6" ht="24.6" thickBot="1">
      <c r="A283" s="1840" t="s">
        <v>1415</v>
      </c>
      <c r="B283" s="1844" t="s">
        <v>2191</v>
      </c>
      <c r="C283" s="1854"/>
      <c r="D283" s="1854"/>
      <c r="E283" s="1854"/>
      <c r="F283" s="1846">
        <v>0.05</v>
      </c>
    </row>
    <row r="284" spans="1:6" ht="24.6" thickBot="1">
      <c r="A284" s="1840" t="s">
        <v>1415</v>
      </c>
      <c r="B284" s="1844" t="s">
        <v>2192</v>
      </c>
      <c r="C284" s="1854"/>
      <c r="D284" s="1854"/>
      <c r="E284" s="1854"/>
      <c r="F284" s="1846">
        <v>0.05</v>
      </c>
    </row>
    <row r="285" spans="1:6" ht="24.6" thickBot="1">
      <c r="A285" s="1840" t="s">
        <v>1415</v>
      </c>
      <c r="B285" s="1844" t="s">
        <v>2193</v>
      </c>
      <c r="C285" s="1854"/>
      <c r="D285" s="1854"/>
      <c r="E285" s="1854"/>
      <c r="F285" s="1846">
        <v>0.05</v>
      </c>
    </row>
    <row r="286" spans="1:6" ht="24.6" thickBot="1">
      <c r="A286" s="1840" t="s">
        <v>1415</v>
      </c>
      <c r="B286" s="1844" t="s">
        <v>2194</v>
      </c>
      <c r="C286" s="1854"/>
      <c r="D286" s="1854"/>
      <c r="E286" s="1854"/>
      <c r="F286" s="1846">
        <v>0.05</v>
      </c>
    </row>
    <row r="287" spans="1:6" ht="24.6" thickBot="1">
      <c r="A287" s="1840" t="s">
        <v>1415</v>
      </c>
      <c r="B287" s="1844" t="s">
        <v>2195</v>
      </c>
      <c r="C287" s="1854"/>
      <c r="D287" s="1854"/>
      <c r="E287" s="1854"/>
      <c r="F287" s="1846">
        <v>0.05</v>
      </c>
    </row>
    <row r="288" spans="1:6" ht="24.6" thickBot="1">
      <c r="A288" s="1840" t="s">
        <v>1415</v>
      </c>
      <c r="B288" s="1844" t="s">
        <v>2196</v>
      </c>
      <c r="C288" s="1854"/>
      <c r="D288" s="1854"/>
      <c r="E288" s="1854"/>
      <c r="F288" s="1846">
        <v>0.05</v>
      </c>
    </row>
    <row r="289" spans="1:6" ht="24.6" thickBot="1">
      <c r="A289" s="1848" t="s">
        <v>1415</v>
      </c>
      <c r="B289" s="1855" t="s">
        <v>2197</v>
      </c>
      <c r="C289" s="1851"/>
      <c r="D289" s="1851"/>
      <c r="E289" s="1851"/>
      <c r="F289" s="1856">
        <v>0.05</v>
      </c>
    </row>
    <row r="290" spans="1:6" ht="15" thickBot="1">
      <c r="A290" s="1840" t="s">
        <v>1419</v>
      </c>
      <c r="B290" s="1841" t="s">
        <v>2198</v>
      </c>
      <c r="C290" s="1842">
        <v>0.15</v>
      </c>
      <c r="D290" s="1842">
        <v>0.15</v>
      </c>
      <c r="E290" s="1842">
        <v>0.15</v>
      </c>
      <c r="F290" s="1864"/>
    </row>
    <row r="291" spans="1:6" ht="15" thickBot="1">
      <c r="A291" s="1840" t="s">
        <v>1419</v>
      </c>
      <c r="B291" s="1844" t="s">
        <v>1079</v>
      </c>
      <c r="C291" s="1845">
        <v>0.15</v>
      </c>
      <c r="D291" s="1845">
        <v>0.15</v>
      </c>
      <c r="E291" s="1845">
        <v>0.15</v>
      </c>
      <c r="F291" s="1853"/>
    </row>
    <row r="292" spans="1:6" ht="15" thickBot="1">
      <c r="A292" s="1840" t="s">
        <v>1419</v>
      </c>
      <c r="B292" s="1844" t="s">
        <v>2199</v>
      </c>
      <c r="C292" s="1845">
        <v>0.15</v>
      </c>
      <c r="D292" s="1845">
        <v>0.15</v>
      </c>
      <c r="E292" s="1845">
        <v>0.15</v>
      </c>
      <c r="F292" s="1846">
        <v>0.14699999999999999</v>
      </c>
    </row>
    <row r="293" spans="1:6" ht="15" thickBot="1">
      <c r="A293" s="1840" t="s">
        <v>1419</v>
      </c>
      <c r="B293" s="1844" t="s">
        <v>2200</v>
      </c>
      <c r="C293" s="1854"/>
      <c r="D293" s="1854"/>
      <c r="E293" s="1854"/>
      <c r="F293" s="1846">
        <v>0.1</v>
      </c>
    </row>
    <row r="294" spans="1:6" ht="15" thickBot="1">
      <c r="A294" s="1840" t="s">
        <v>1419</v>
      </c>
      <c r="B294" s="1844" t="s">
        <v>2201</v>
      </c>
      <c r="C294" s="1845">
        <v>0.15</v>
      </c>
      <c r="D294" s="1845">
        <v>0.15</v>
      </c>
      <c r="E294" s="1845">
        <v>0.15</v>
      </c>
      <c r="F294" s="1846">
        <v>0.15</v>
      </c>
    </row>
    <row r="295" spans="1:6" ht="15" thickBot="1">
      <c r="A295" s="1840" t="s">
        <v>1419</v>
      </c>
      <c r="B295" s="1844" t="s">
        <v>1120</v>
      </c>
      <c r="C295" s="1845">
        <v>0.15</v>
      </c>
      <c r="D295" s="1845">
        <v>0.15</v>
      </c>
      <c r="E295" s="1845">
        <v>0.15</v>
      </c>
      <c r="F295" s="1846">
        <v>0.15</v>
      </c>
    </row>
    <row r="296" spans="1:6" ht="15" thickBot="1">
      <c r="A296" s="1840" t="s">
        <v>1419</v>
      </c>
      <c r="B296" s="1844" t="s">
        <v>2202</v>
      </c>
      <c r="C296" s="1845">
        <v>0.15</v>
      </c>
      <c r="D296" s="1845">
        <v>0.15</v>
      </c>
      <c r="E296" s="1845">
        <v>0.15</v>
      </c>
      <c r="F296" s="1846">
        <v>0.15</v>
      </c>
    </row>
    <row r="297" spans="1:6" ht="15" thickBot="1">
      <c r="A297" s="1840" t="s">
        <v>1419</v>
      </c>
      <c r="B297" s="1844" t="s">
        <v>2203</v>
      </c>
      <c r="C297" s="1845">
        <v>0.14799999999999999</v>
      </c>
      <c r="D297" s="1845">
        <v>0.14899999999999999</v>
      </c>
      <c r="E297" s="1845">
        <v>0.15</v>
      </c>
      <c r="F297" s="1846">
        <v>0.13700000000000001</v>
      </c>
    </row>
    <row r="298" spans="1:6" ht="15" thickBot="1">
      <c r="A298" s="1840" t="s">
        <v>1419</v>
      </c>
      <c r="B298" s="1844" t="s">
        <v>1153</v>
      </c>
      <c r="C298" s="1845">
        <v>0.13400000000000001</v>
      </c>
      <c r="D298" s="1845">
        <v>0.13400000000000001</v>
      </c>
      <c r="E298" s="1845">
        <v>0.14499999999999999</v>
      </c>
      <c r="F298" s="1846">
        <v>0.14799999999999999</v>
      </c>
    </row>
    <row r="299" spans="1:6" ht="15" thickBot="1">
      <c r="A299" s="1840" t="s">
        <v>1419</v>
      </c>
      <c r="B299" s="1844" t="s">
        <v>1165</v>
      </c>
      <c r="C299" s="1845">
        <v>0.15</v>
      </c>
      <c r="D299" s="1845">
        <v>0.15</v>
      </c>
      <c r="E299" s="1845">
        <v>0.15</v>
      </c>
      <c r="F299" s="1853"/>
    </row>
    <row r="300" spans="1:6" ht="15" thickBot="1">
      <c r="A300" s="1840" t="s">
        <v>1419</v>
      </c>
      <c r="B300" s="1844" t="s">
        <v>2204</v>
      </c>
      <c r="C300" s="1845">
        <v>0.15</v>
      </c>
      <c r="D300" s="1845">
        <v>0.15</v>
      </c>
      <c r="E300" s="1845">
        <v>0.15</v>
      </c>
      <c r="F300" s="1846">
        <v>0.15</v>
      </c>
    </row>
    <row r="301" spans="1:6" ht="15" thickBot="1">
      <c r="A301" s="1840" t="s">
        <v>1419</v>
      </c>
      <c r="B301" s="1844" t="s">
        <v>1185</v>
      </c>
      <c r="C301" s="1845">
        <v>0.15</v>
      </c>
      <c r="D301" s="1845">
        <v>0.15</v>
      </c>
      <c r="E301" s="1845">
        <v>0.15</v>
      </c>
      <c r="F301" s="1853"/>
    </row>
    <row r="302" spans="1:6" ht="15" thickBot="1">
      <c r="A302" s="1840" t="s">
        <v>1419</v>
      </c>
      <c r="B302" s="1844" t="s">
        <v>2205</v>
      </c>
      <c r="C302" s="1845">
        <v>0.15</v>
      </c>
      <c r="D302" s="1845">
        <v>0.15</v>
      </c>
      <c r="E302" s="1845">
        <v>0.15</v>
      </c>
      <c r="F302" s="1846">
        <v>0.15</v>
      </c>
    </row>
    <row r="303" spans="1:6" ht="15" thickBot="1">
      <c r="A303" s="1840" t="s">
        <v>1419</v>
      </c>
      <c r="B303" s="1844" t="s">
        <v>1205</v>
      </c>
      <c r="C303" s="1845">
        <v>0.15</v>
      </c>
      <c r="D303" s="1845">
        <v>0.15</v>
      </c>
      <c r="E303" s="1845">
        <v>0.15</v>
      </c>
      <c r="F303" s="1846">
        <v>0.15</v>
      </c>
    </row>
    <row r="304" spans="1:6" ht="15" thickBot="1">
      <c r="A304" s="1840" t="s">
        <v>1419</v>
      </c>
      <c r="B304" s="1844" t="s">
        <v>1215</v>
      </c>
      <c r="C304" s="1845">
        <v>0.15</v>
      </c>
      <c r="D304" s="1845">
        <v>0.15</v>
      </c>
      <c r="E304" s="1845">
        <v>0.15</v>
      </c>
      <c r="F304" s="1853"/>
    </row>
    <row r="305" spans="1:6" ht="15" thickBot="1">
      <c r="A305" s="1840" t="s">
        <v>1419</v>
      </c>
      <c r="B305" s="1844" t="s">
        <v>2206</v>
      </c>
      <c r="C305" s="1845">
        <v>0.15</v>
      </c>
      <c r="D305" s="1845">
        <v>0.15</v>
      </c>
      <c r="E305" s="1845">
        <v>0.15</v>
      </c>
      <c r="F305" s="1846">
        <v>0.14000000000000001</v>
      </c>
    </row>
    <row r="306" spans="1:6" ht="15" thickBot="1">
      <c r="A306" s="1840" t="s">
        <v>1419</v>
      </c>
      <c r="B306" s="1844" t="s">
        <v>1235</v>
      </c>
      <c r="C306" s="1845">
        <v>0.15</v>
      </c>
      <c r="D306" s="1845">
        <v>0.15</v>
      </c>
      <c r="E306" s="1845">
        <v>0.15</v>
      </c>
      <c r="F306" s="1853"/>
    </row>
    <row r="307" spans="1:6" ht="15" thickBot="1">
      <c r="A307" s="1840" t="s">
        <v>1419</v>
      </c>
      <c r="B307" s="1844" t="s">
        <v>2207</v>
      </c>
      <c r="C307" s="1845">
        <v>0.15</v>
      </c>
      <c r="D307" s="1845">
        <v>0.15</v>
      </c>
      <c r="E307" s="1845">
        <v>0.15</v>
      </c>
      <c r="F307" s="1846">
        <v>0.14299999999999999</v>
      </c>
    </row>
    <row r="308" spans="1:6" ht="15" thickBot="1">
      <c r="A308" s="1840" t="s">
        <v>1419</v>
      </c>
      <c r="B308" s="1844" t="s">
        <v>1255</v>
      </c>
      <c r="C308" s="1845">
        <v>0.15</v>
      </c>
      <c r="D308" s="1845">
        <v>0.15</v>
      </c>
      <c r="E308" s="1845">
        <v>0.15</v>
      </c>
      <c r="F308" s="1846">
        <v>0.15</v>
      </c>
    </row>
    <row r="309" spans="1:6" ht="15" thickBot="1">
      <c r="A309" s="1840" t="s">
        <v>1419</v>
      </c>
      <c r="B309" s="1844" t="s">
        <v>1265</v>
      </c>
      <c r="C309" s="1845">
        <v>0.15</v>
      </c>
      <c r="D309" s="1845">
        <v>0.15</v>
      </c>
      <c r="E309" s="1845">
        <v>0.15</v>
      </c>
      <c r="F309" s="1853"/>
    </row>
    <row r="310" spans="1:6" ht="15" thickBot="1">
      <c r="A310" s="1840" t="s">
        <v>1419</v>
      </c>
      <c r="B310" s="1844" t="s">
        <v>2208</v>
      </c>
      <c r="C310" s="1845">
        <v>0.15</v>
      </c>
      <c r="D310" s="1845">
        <v>0.15</v>
      </c>
      <c r="E310" s="1845">
        <v>0.15</v>
      </c>
      <c r="F310" s="1846">
        <v>0.13700000000000001</v>
      </c>
    </row>
    <row r="311" spans="1:6" ht="15" thickBot="1">
      <c r="A311" s="1840" t="s">
        <v>1419</v>
      </c>
      <c r="B311" s="1844" t="s">
        <v>2209</v>
      </c>
      <c r="C311" s="1845">
        <v>0.15</v>
      </c>
      <c r="D311" s="1845">
        <v>0.15</v>
      </c>
      <c r="E311" s="1845">
        <v>0.15</v>
      </c>
      <c r="F311" s="1846">
        <v>0.15</v>
      </c>
    </row>
    <row r="312" spans="1:6" ht="15" thickBot="1">
      <c r="A312" s="1840" t="s">
        <v>1419</v>
      </c>
      <c r="B312" s="1844" t="s">
        <v>1291</v>
      </c>
      <c r="C312" s="1845">
        <v>0.15</v>
      </c>
      <c r="D312" s="1845">
        <v>0.15</v>
      </c>
      <c r="E312" s="1845">
        <v>0.15</v>
      </c>
      <c r="F312" s="1846">
        <v>0.1</v>
      </c>
    </row>
    <row r="313" spans="1:6" ht="15" thickBot="1">
      <c r="A313" s="1840" t="s">
        <v>1419</v>
      </c>
      <c r="B313" s="1844" t="s">
        <v>2210</v>
      </c>
      <c r="C313" s="1845">
        <v>0.15</v>
      </c>
      <c r="D313" s="1845">
        <v>0.15</v>
      </c>
      <c r="E313" s="1845">
        <v>0.15</v>
      </c>
      <c r="F313" s="1846">
        <v>0.15</v>
      </c>
    </row>
    <row r="314" spans="1:6" ht="24.6" thickBot="1">
      <c r="A314" s="1840" t="s">
        <v>1419</v>
      </c>
      <c r="B314" s="1844" t="s">
        <v>2211</v>
      </c>
      <c r="C314" s="1854"/>
      <c r="D314" s="1854"/>
      <c r="E314" s="1854"/>
      <c r="F314" s="1846">
        <v>0.05</v>
      </c>
    </row>
    <row r="315" spans="1:6" ht="24.6" thickBot="1">
      <c r="A315" s="1840" t="s">
        <v>1419</v>
      </c>
      <c r="B315" s="1844" t="s">
        <v>2212</v>
      </c>
      <c r="C315" s="1854"/>
      <c r="D315" s="1854"/>
      <c r="E315" s="1854"/>
      <c r="F315" s="1846">
        <v>0.05</v>
      </c>
    </row>
    <row r="316" spans="1:6" ht="24.6" thickBot="1">
      <c r="A316" s="1848" t="s">
        <v>1419</v>
      </c>
      <c r="B316" s="1855" t="s">
        <v>2213</v>
      </c>
      <c r="C316" s="1851"/>
      <c r="D316" s="1851"/>
      <c r="E316" s="1851"/>
      <c r="F316" s="1856">
        <v>0.05</v>
      </c>
    </row>
    <row r="317" spans="1:6" ht="15" thickBot="1">
      <c r="A317" s="1840" t="s">
        <v>2214</v>
      </c>
      <c r="B317" s="1841" t="s">
        <v>2215</v>
      </c>
      <c r="C317" s="1842">
        <v>0.15</v>
      </c>
      <c r="D317" s="1842">
        <v>0.15</v>
      </c>
      <c r="E317" s="1842">
        <v>0.15</v>
      </c>
      <c r="F317" s="1843">
        <v>0.15</v>
      </c>
    </row>
    <row r="318" spans="1:6" ht="15" thickBot="1">
      <c r="A318" s="1840" t="s">
        <v>2214</v>
      </c>
      <c r="B318" s="1844" t="s">
        <v>2216</v>
      </c>
      <c r="C318" s="1845">
        <v>0.107</v>
      </c>
      <c r="D318" s="1845">
        <v>0.11</v>
      </c>
      <c r="E318" s="1845">
        <v>0.112</v>
      </c>
      <c r="F318" s="1853"/>
    </row>
    <row r="319" spans="1:6" ht="15" thickBot="1">
      <c r="A319" s="1840" t="s">
        <v>2214</v>
      </c>
      <c r="B319" s="1844" t="s">
        <v>2217</v>
      </c>
      <c r="C319" s="1845">
        <v>0.15</v>
      </c>
      <c r="D319" s="1845">
        <v>0.15</v>
      </c>
      <c r="E319" s="1845">
        <v>0.15</v>
      </c>
      <c r="F319" s="1846">
        <v>0.15</v>
      </c>
    </row>
    <row r="320" spans="1:6" ht="15" thickBot="1">
      <c r="A320" s="1840" t="s">
        <v>2214</v>
      </c>
      <c r="B320" s="1844" t="s">
        <v>1107</v>
      </c>
      <c r="C320" s="1845">
        <v>0.15</v>
      </c>
      <c r="D320" s="1845">
        <v>0.15</v>
      </c>
      <c r="E320" s="1845">
        <v>0.15</v>
      </c>
      <c r="F320" s="1853"/>
    </row>
    <row r="321" spans="1:6" ht="15" thickBot="1">
      <c r="A321" s="1840" t="s">
        <v>2214</v>
      </c>
      <c r="B321" s="1844" t="s">
        <v>2218</v>
      </c>
      <c r="C321" s="1845">
        <v>0.15</v>
      </c>
      <c r="D321" s="1845">
        <v>0.15</v>
      </c>
      <c r="E321" s="1845">
        <v>0.15</v>
      </c>
      <c r="F321" s="1853"/>
    </row>
    <row r="322" spans="1:6" ht="15" thickBot="1">
      <c r="A322" s="1840" t="s">
        <v>2214</v>
      </c>
      <c r="B322" s="1844" t="s">
        <v>2219</v>
      </c>
      <c r="C322" s="1845">
        <v>0.15</v>
      </c>
      <c r="D322" s="1845">
        <v>0.15</v>
      </c>
      <c r="E322" s="1845">
        <v>0.15</v>
      </c>
      <c r="F322" s="1846">
        <v>0.15</v>
      </c>
    </row>
    <row r="323" spans="1:6" ht="15" thickBot="1">
      <c r="A323" s="1840" t="s">
        <v>2214</v>
      </c>
      <c r="B323" s="1844" t="s">
        <v>2220</v>
      </c>
      <c r="C323" s="1845">
        <v>0.15</v>
      </c>
      <c r="D323" s="1845">
        <v>0.15</v>
      </c>
      <c r="E323" s="1845">
        <v>0.15</v>
      </c>
      <c r="F323" s="1853"/>
    </row>
    <row r="324" spans="1:6" ht="15" thickBot="1">
      <c r="A324" s="1840" t="s">
        <v>2214</v>
      </c>
      <c r="B324" s="1844" t="s">
        <v>2221</v>
      </c>
      <c r="C324" s="1845">
        <v>0.15</v>
      </c>
      <c r="D324" s="1845">
        <v>0.15</v>
      </c>
      <c r="E324" s="1845">
        <v>0.15</v>
      </c>
      <c r="F324" s="1853"/>
    </row>
    <row r="325" spans="1:6" ht="15" thickBot="1">
      <c r="A325" s="1840" t="s">
        <v>2214</v>
      </c>
      <c r="B325" s="1844" t="s">
        <v>2222</v>
      </c>
      <c r="C325" s="1845">
        <v>0.15</v>
      </c>
      <c r="D325" s="1845">
        <v>0.15</v>
      </c>
      <c r="E325" s="1845">
        <v>0.15</v>
      </c>
      <c r="F325" s="1846">
        <v>0.14699999999999999</v>
      </c>
    </row>
    <row r="326" spans="1:6" ht="15" thickBot="1">
      <c r="A326" s="1840" t="s">
        <v>2214</v>
      </c>
      <c r="B326" s="1844" t="s">
        <v>1176</v>
      </c>
      <c r="C326" s="1845">
        <v>0.15</v>
      </c>
      <c r="D326" s="1845">
        <v>0.15</v>
      </c>
      <c r="E326" s="1845">
        <v>0.15</v>
      </c>
      <c r="F326" s="1853"/>
    </row>
    <row r="327" spans="1:6" ht="15" thickBot="1">
      <c r="A327" s="1840" t="s">
        <v>2214</v>
      </c>
      <c r="B327" s="1844" t="s">
        <v>2223</v>
      </c>
      <c r="C327" s="1845">
        <v>0.15</v>
      </c>
      <c r="D327" s="1845">
        <v>0.15</v>
      </c>
      <c r="E327" s="1845">
        <v>0.15</v>
      </c>
      <c r="F327" s="1846">
        <v>0.15</v>
      </c>
    </row>
    <row r="328" spans="1:6" ht="15" thickBot="1">
      <c r="A328" s="1840" t="s">
        <v>2214</v>
      </c>
      <c r="B328" s="1844" t="s">
        <v>1196</v>
      </c>
      <c r="C328" s="1845">
        <v>0.15</v>
      </c>
      <c r="D328" s="1845">
        <v>0.15</v>
      </c>
      <c r="E328" s="1845">
        <v>0.15</v>
      </c>
      <c r="F328" s="1846">
        <v>0.14099999999999999</v>
      </c>
    </row>
    <row r="329" spans="1:6" ht="15" thickBot="1">
      <c r="A329" s="1840" t="s">
        <v>2214</v>
      </c>
      <c r="B329" s="1844" t="s">
        <v>1206</v>
      </c>
      <c r="C329" s="1845">
        <v>0.15</v>
      </c>
      <c r="D329" s="1845">
        <v>0.15</v>
      </c>
      <c r="E329" s="1845">
        <v>0.15</v>
      </c>
      <c r="F329" s="1846">
        <v>0.15</v>
      </c>
    </row>
    <row r="330" spans="1:6" ht="15" thickBot="1">
      <c r="A330" s="1840" t="s">
        <v>2214</v>
      </c>
      <c r="B330" s="1844" t="s">
        <v>1216</v>
      </c>
      <c r="C330" s="1845">
        <v>0.15</v>
      </c>
      <c r="D330" s="1845">
        <v>0.15</v>
      </c>
      <c r="E330" s="1845">
        <v>0.15</v>
      </c>
      <c r="F330" s="1853"/>
    </row>
    <row r="331" spans="1:6" ht="15" thickBot="1">
      <c r="A331" s="1840" t="s">
        <v>2214</v>
      </c>
      <c r="B331" s="1844" t="s">
        <v>2224</v>
      </c>
      <c r="C331" s="1845">
        <v>0.15</v>
      </c>
      <c r="D331" s="1845">
        <v>0.15</v>
      </c>
      <c r="E331" s="1845">
        <v>0.15</v>
      </c>
      <c r="F331" s="1846">
        <v>0.15</v>
      </c>
    </row>
    <row r="332" spans="1:6" ht="15" thickBot="1">
      <c r="A332" s="1840" t="s">
        <v>2214</v>
      </c>
      <c r="B332" s="1844" t="s">
        <v>1236</v>
      </c>
      <c r="C332" s="1845">
        <v>0.15</v>
      </c>
      <c r="D332" s="1845">
        <v>0.15</v>
      </c>
      <c r="E332" s="1845">
        <v>0.15</v>
      </c>
      <c r="F332" s="1846">
        <v>0.15</v>
      </c>
    </row>
    <row r="333" spans="1:6" ht="15" thickBot="1">
      <c r="A333" s="1840" t="s">
        <v>2214</v>
      </c>
      <c r="B333" s="1844" t="s">
        <v>2225</v>
      </c>
      <c r="C333" s="1845">
        <v>0.15</v>
      </c>
      <c r="D333" s="1845">
        <v>0.15</v>
      </c>
      <c r="E333" s="1845">
        <v>0.15</v>
      </c>
      <c r="F333" s="1846">
        <v>0.14099999999999999</v>
      </c>
    </row>
    <row r="334" spans="1:6" ht="15" thickBot="1">
      <c r="A334" s="1840" t="s">
        <v>2214</v>
      </c>
      <c r="B334" s="1844" t="s">
        <v>1256</v>
      </c>
      <c r="C334" s="1845">
        <v>0.15</v>
      </c>
      <c r="D334" s="1845">
        <v>0.15</v>
      </c>
      <c r="E334" s="1845">
        <v>0.15</v>
      </c>
      <c r="F334" s="1846">
        <v>0.15</v>
      </c>
    </row>
    <row r="335" spans="1:6" ht="15" thickBot="1">
      <c r="A335" s="1840" t="s">
        <v>2214</v>
      </c>
      <c r="B335" s="1844" t="s">
        <v>1266</v>
      </c>
      <c r="C335" s="1845">
        <v>0.15</v>
      </c>
      <c r="D335" s="1845">
        <v>0.15</v>
      </c>
      <c r="E335" s="1845">
        <v>0.15</v>
      </c>
      <c r="F335" s="1853"/>
    </row>
    <row r="336" spans="1:6" ht="15" thickBot="1">
      <c r="A336" s="1840" t="s">
        <v>2214</v>
      </c>
      <c r="B336" s="1844" t="s">
        <v>2226</v>
      </c>
      <c r="C336" s="1845">
        <v>0.15</v>
      </c>
      <c r="D336" s="1845">
        <v>0.15</v>
      </c>
      <c r="E336" s="1845">
        <v>0.15</v>
      </c>
      <c r="F336" s="1846">
        <v>0.11799999999999999</v>
      </c>
    </row>
    <row r="337" spans="1:6" ht="15" thickBot="1">
      <c r="A337" s="1848" t="s">
        <v>2214</v>
      </c>
      <c r="B337" s="1855" t="s">
        <v>1284</v>
      </c>
      <c r="C337" s="1851"/>
      <c r="D337" s="1851"/>
      <c r="E337" s="1851"/>
      <c r="F337" s="1856">
        <v>0.14299999999999999</v>
      </c>
    </row>
    <row r="338" spans="1:6" ht="15" thickBot="1">
      <c r="A338" s="1840" t="s">
        <v>2227</v>
      </c>
      <c r="B338" s="1841" t="s">
        <v>2228</v>
      </c>
      <c r="C338" s="1842">
        <v>0.15</v>
      </c>
      <c r="D338" s="1842">
        <v>0.15</v>
      </c>
      <c r="E338" s="1842">
        <v>0.15</v>
      </c>
      <c r="F338" s="1864"/>
    </row>
    <row r="339" spans="1:6" ht="15" thickBot="1">
      <c r="A339" s="1840" t="s">
        <v>2227</v>
      </c>
      <c r="B339" s="1844" t="s">
        <v>2229</v>
      </c>
      <c r="C339" s="1845">
        <v>0.15</v>
      </c>
      <c r="D339" s="1845">
        <v>0.15</v>
      </c>
      <c r="E339" s="1845">
        <v>0.15</v>
      </c>
      <c r="F339" s="1853"/>
    </row>
    <row r="340" spans="1:6" ht="15" thickBot="1">
      <c r="A340" s="1840" t="s">
        <v>2227</v>
      </c>
      <c r="B340" s="1844" t="s">
        <v>2230</v>
      </c>
      <c r="C340" s="1845">
        <v>0.15</v>
      </c>
      <c r="D340" s="1845">
        <v>0.15</v>
      </c>
      <c r="E340" s="1845">
        <v>0.15</v>
      </c>
      <c r="F340" s="1853"/>
    </row>
    <row r="341" spans="1:6" ht="15" thickBot="1">
      <c r="A341" s="1840" t="s">
        <v>2231</v>
      </c>
      <c r="B341" s="1844" t="s">
        <v>2232</v>
      </c>
      <c r="C341" s="1845">
        <v>0.15</v>
      </c>
      <c r="D341" s="1845">
        <v>0.15</v>
      </c>
      <c r="E341" s="1845">
        <v>0.15</v>
      </c>
      <c r="F341" s="1846">
        <v>0.15</v>
      </c>
    </row>
    <row r="342" spans="1:6" ht="15" thickBot="1">
      <c r="A342" s="1840" t="s">
        <v>2227</v>
      </c>
      <c r="B342" s="1844" t="s">
        <v>2233</v>
      </c>
      <c r="C342" s="1845">
        <v>0.15</v>
      </c>
      <c r="D342" s="1845">
        <v>0.15</v>
      </c>
      <c r="E342" s="1845">
        <v>0.15</v>
      </c>
      <c r="F342" s="1846">
        <v>0.15</v>
      </c>
    </row>
    <row r="343" spans="1:6" ht="15" thickBot="1">
      <c r="A343" s="1840" t="s">
        <v>2227</v>
      </c>
      <c r="B343" s="1844" t="s">
        <v>2234</v>
      </c>
      <c r="C343" s="1845">
        <v>0.15</v>
      </c>
      <c r="D343" s="1845">
        <v>0.15</v>
      </c>
      <c r="E343" s="1845">
        <v>0.15</v>
      </c>
      <c r="F343" s="1846">
        <v>0.15</v>
      </c>
    </row>
    <row r="344" spans="1:6" ht="1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I39" sqref="I39"/>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529" t="s">
        <v>2573</v>
      </c>
      <c r="C1" s="3529"/>
      <c r="D1" s="3529"/>
      <c r="E1" s="3529"/>
      <c r="F1" s="3529"/>
      <c r="G1" s="3528" t="s">
        <v>2574</v>
      </c>
      <c r="H1" s="3528"/>
      <c r="I1" s="3528"/>
      <c r="J1" s="3528"/>
      <c r="K1" s="3528"/>
      <c r="L1" s="3528"/>
      <c r="N1" s="3528" t="s">
        <v>2575</v>
      </c>
      <c r="O1" s="3528"/>
      <c r="P1" s="3528"/>
      <c r="Q1" s="3528"/>
      <c r="R1" s="2618"/>
      <c r="S1" s="3528" t="s">
        <v>2576</v>
      </c>
      <c r="T1" s="3528"/>
      <c r="U1" s="3528"/>
      <c r="V1" s="3528"/>
      <c r="X1" s="3527" t="s">
        <v>2636</v>
      </c>
      <c r="Y1" s="3528"/>
      <c r="Z1" s="3528"/>
      <c r="AA1" s="3528"/>
      <c r="AB1" s="3528"/>
      <c r="AD1" s="3527" t="s">
        <v>2640</v>
      </c>
      <c r="AE1" s="3528"/>
      <c r="AF1" s="3528"/>
      <c r="AG1" s="3528"/>
      <c r="AH1" s="3528"/>
    </row>
    <row r="2" spans="1:34" s="2719" customFormat="1" ht="15" thickBot="1">
      <c r="B2" s="2727" t="s">
        <v>2577</v>
      </c>
      <c r="C2" s="2727" t="s">
        <v>2638</v>
      </c>
      <c r="D2" s="2720" t="s">
        <v>1644</v>
      </c>
      <c r="E2" s="2720" t="s">
        <v>1947</v>
      </c>
      <c r="F2" s="2727" t="s">
        <v>2639</v>
      </c>
      <c r="G2" s="2723"/>
      <c r="H2" s="2722"/>
      <c r="I2" s="2727" t="s">
        <v>2949</v>
      </c>
      <c r="J2" s="2720" t="s">
        <v>2951</v>
      </c>
      <c r="K2" s="2720" t="s">
        <v>2952</v>
      </c>
      <c r="L2" s="2727" t="s">
        <v>2953</v>
      </c>
      <c r="N2" s="2727" t="s">
        <v>2577</v>
      </c>
      <c r="O2" s="2720" t="s">
        <v>2950</v>
      </c>
      <c r="P2" s="2720" t="s">
        <v>1947</v>
      </c>
      <c r="Q2" s="2727" t="s">
        <v>2639</v>
      </c>
      <c r="R2" s="2721"/>
      <c r="S2" s="2727" t="s">
        <v>2577</v>
      </c>
      <c r="T2" s="2720" t="s">
        <v>2950</v>
      </c>
      <c r="U2" s="2720" t="s">
        <v>1947</v>
      </c>
      <c r="V2" s="2727" t="s">
        <v>2639</v>
      </c>
      <c r="X2" s="2727" t="s">
        <v>2577</v>
      </c>
      <c r="Y2" s="2727" t="s">
        <v>2638</v>
      </c>
      <c r="Z2" s="2720" t="s">
        <v>1644</v>
      </c>
      <c r="AA2" s="2720" t="s">
        <v>1947</v>
      </c>
      <c r="AB2" s="2727" t="s">
        <v>2639</v>
      </c>
      <c r="AD2" s="2727" t="s">
        <v>2577</v>
      </c>
      <c r="AE2" s="2727" t="s">
        <v>2638</v>
      </c>
      <c r="AF2" s="2720" t="s">
        <v>1644</v>
      </c>
      <c r="AG2" s="2720" t="s">
        <v>1947</v>
      </c>
      <c r="AH2" s="2727" t="s">
        <v>2639</v>
      </c>
    </row>
    <row r="3" spans="1:34" s="3081" customFormat="1" ht="14.4">
      <c r="A3" s="3093" t="s">
        <v>2962</v>
      </c>
      <c r="B3" s="3082"/>
      <c r="C3" s="3082"/>
      <c r="D3" s="3083"/>
      <c r="E3" s="3083"/>
      <c r="F3" s="3082"/>
      <c r="G3" s="3084"/>
      <c r="H3" s="3085"/>
      <c r="I3" s="3092">
        <f>ROUND(AVERAGE($I4:$I29),2)</f>
        <v>1.9</v>
      </c>
      <c r="J3" s="3092">
        <f>ROUND(AVERAGE($J4:$J29),2)</f>
        <v>1.35</v>
      </c>
      <c r="K3" s="3092">
        <f>ROUND(AVERAGE($K4:$K29),2)</f>
        <v>2.08</v>
      </c>
      <c r="L3" s="3092">
        <f>ROUND(AVERAGE($L4:$L29),2)</f>
        <v>1.33</v>
      </c>
      <c r="N3" s="3084"/>
      <c r="O3" s="3086"/>
      <c r="P3" s="3086"/>
      <c r="Q3" s="3086"/>
      <c r="R3" s="3086"/>
      <c r="S3" s="3084"/>
      <c r="T3" s="3086"/>
      <c r="U3" s="3086"/>
      <c r="V3" s="3086"/>
      <c r="W3" s="3089"/>
      <c r="X3" s="3087">
        <f>ROUND(SUMPRODUCT(PRODUCT(1+N3:N$28)),4)</f>
        <v>1.5516000000000001</v>
      </c>
      <c r="Y3" s="3087">
        <f>ROUND(SUMPRODUCT(PRODUCT(1+O3:O$28)),4)</f>
        <v>1.3649</v>
      </c>
      <c r="Z3" s="3087">
        <f t="shared" ref="Z3:Z26" si="0">Y3</f>
        <v>1.3649</v>
      </c>
      <c r="AA3" s="3087">
        <f>ROUND(SUMPRODUCT(PRODUCT(1+P3:P$28)),4)</f>
        <v>1.6133999999999999</v>
      </c>
      <c r="AB3" s="3087">
        <f>ROUND(SUMPRODUCT(PRODUCT(1+Q3:Q$28)),4)</f>
        <v>1.3713</v>
      </c>
      <c r="AD3" s="3088">
        <f>ROUND(AVERAGE(I3:I$29)/100,4)</f>
        <v>1.9E-2</v>
      </c>
      <c r="AE3" s="3088">
        <f>ROUND(AVERAGE(J3:J$29)/100,4)</f>
        <v>1.35E-2</v>
      </c>
      <c r="AF3" s="3088">
        <f t="shared" ref="AF3:AF27" si="1">AE3</f>
        <v>1.35E-2</v>
      </c>
      <c r="AG3" s="3088">
        <f>ROUND(AVERAGE(K3:K$29)/100,4)</f>
        <v>2.0799999999999999E-2</v>
      </c>
      <c r="AH3" s="3088">
        <f>ROUND(AVERAGE(L3:L$29)/100,4)</f>
        <v>1.3299999999999999E-2</v>
      </c>
    </row>
    <row r="4" spans="1:34" s="2712" customFormat="1" ht="14.4">
      <c r="B4" s="2713"/>
      <c r="C4" s="2713"/>
      <c r="D4" s="2714"/>
      <c r="E4" s="2714"/>
      <c r="F4" s="2713"/>
      <c r="G4" s="2718"/>
      <c r="H4" s="2715"/>
      <c r="I4" s="3077"/>
      <c r="J4" s="3077"/>
      <c r="K4" s="3077"/>
      <c r="L4" s="3077"/>
      <c r="N4" s="2718"/>
      <c r="O4" s="2716"/>
      <c r="P4" s="2716"/>
      <c r="Q4" s="2716"/>
      <c r="R4" s="2716"/>
      <c r="S4" s="2718"/>
      <c r="T4" s="2716"/>
      <c r="U4" s="2716"/>
      <c r="V4" s="2716"/>
      <c r="W4" s="3090"/>
      <c r="X4" s="2717"/>
      <c r="Y4" s="2717"/>
      <c r="Z4" s="2717"/>
      <c r="AA4" s="2717"/>
      <c r="AB4" s="2717"/>
      <c r="AD4" s="2637"/>
      <c r="AE4" s="2637"/>
      <c r="AF4" s="2637"/>
      <c r="AG4" s="2637"/>
      <c r="AH4" s="2637"/>
    </row>
    <row r="5" spans="1:34" s="3065" customFormat="1">
      <c r="A5" s="3063" t="s">
        <v>2991</v>
      </c>
      <c r="B5" s="2751">
        <f t="shared" ref="B5" si="2">B6*(1+N5)</f>
        <v>477.19997390765138</v>
      </c>
      <c r="C5" s="2751">
        <f t="shared" ref="C5" si="3">C6*(1+O5)</f>
        <v>351.84874729536665</v>
      </c>
      <c r="D5" s="2751">
        <f t="shared" ref="D5" si="4">C5</f>
        <v>351.84874729536665</v>
      </c>
      <c r="E5" s="2751">
        <f t="shared" ref="E5" si="5">E6*(1+P5)</f>
        <v>682.29768951465201</v>
      </c>
      <c r="F5" s="2751">
        <f t="shared" ref="F5" si="6">F6*(1+Q5)</f>
        <v>315.26985675409043</v>
      </c>
      <c r="G5" s="2718">
        <v>2020</v>
      </c>
      <c r="H5" s="3064">
        <v>1</v>
      </c>
      <c r="I5" s="3078">
        <v>0</v>
      </c>
      <c r="J5" s="3078">
        <v>0</v>
      </c>
      <c r="K5" s="3078">
        <v>0</v>
      </c>
      <c r="L5" s="3078">
        <v>0</v>
      </c>
      <c r="N5" s="2725">
        <f t="shared" ref="N5" si="7">I5/100</f>
        <v>0</v>
      </c>
      <c r="O5" s="2725">
        <f t="shared" ref="O5" si="8">J5/100</f>
        <v>0</v>
      </c>
      <c r="P5" s="2725">
        <f t="shared" ref="P5" si="9">K5/100</f>
        <v>0</v>
      </c>
      <c r="Q5" s="2725">
        <f t="shared" ref="Q5" si="10">L5/100</f>
        <v>0</v>
      </c>
      <c r="R5" s="3066"/>
      <c r="S5" s="3067"/>
      <c r="T5" s="3066"/>
      <c r="U5" s="3066"/>
      <c r="V5" s="3066"/>
      <c r="W5" s="3091" t="s">
        <v>2963</v>
      </c>
      <c r="X5" s="3068">
        <f>ROUND(IF(项目基本情况!B8="出让",SUMPRODUCT(PRODUCT(1+N5:N$29)),SUMPRODUCT(PRODUCT(1+N5:N$28))),4)</f>
        <v>1.5516000000000001</v>
      </c>
      <c r="Y5" s="3068">
        <f>ROUND(IF(项目基本情况!B8="出让",SUMPRODUCT(PRODUCT(1+O5:O$29)),SUMPRODUCT(PRODUCT(1+O5:O$28))),4)</f>
        <v>1.3649</v>
      </c>
      <c r="Z5" s="3068">
        <f t="shared" ref="Z5" si="11">Y5</f>
        <v>1.3649</v>
      </c>
      <c r="AA5" s="3068">
        <f>ROUND(IF(项目基本情况!B8="出让",SUMPRODUCT(PRODUCT(1+P5:P$29)),SUMPRODUCT(PRODUCT(1+P5:P$28))),4)</f>
        <v>1.6133999999999999</v>
      </c>
      <c r="AB5" s="3068">
        <f>ROUND(IF(项目基本情况!B8="出让",SUMPRODUCT(PRODUCT(1+Q5:Q$29)),SUMPRODUCT(PRODUCT(1+Q5:Q$28))),4)</f>
        <v>1.3713</v>
      </c>
      <c r="AD5" s="3069">
        <f>ROUND(AVERAGE(I5:I$29)/100,4)</f>
        <v>1.9E-2</v>
      </c>
      <c r="AE5" s="3069">
        <f>ROUND(AVERAGE(J5:J$29)/100,4)</f>
        <v>1.35E-2</v>
      </c>
      <c r="AF5" s="3069">
        <f t="shared" ref="AF5" si="12">AE5</f>
        <v>1.35E-2</v>
      </c>
      <c r="AG5" s="3069">
        <f>ROUND(AVERAGE(K5:K$29)/100,4)</f>
        <v>2.0799999999999999E-2</v>
      </c>
      <c r="AH5" s="3069">
        <f>ROUND(AVERAGE(L5:L$29)/100,4)</f>
        <v>1.3299999999999999E-2</v>
      </c>
    </row>
    <row r="6" spans="1:34" s="2724" customFormat="1">
      <c r="A6" s="2619" t="s">
        <v>2987</v>
      </c>
      <c r="B6" s="2632">
        <f t="shared" ref="B6" si="13">B7*(1+N6)</f>
        <v>477.19997390765138</v>
      </c>
      <c r="C6" s="2632">
        <f t="shared" ref="C6" si="14">C7*(1+O6)</f>
        <v>351.84874729536665</v>
      </c>
      <c r="D6" s="2632">
        <f t="shared" ref="D6" si="15">C6</f>
        <v>351.84874729536665</v>
      </c>
      <c r="E6" s="2632">
        <f t="shared" ref="E6" si="16">E7*(1+P6)</f>
        <v>682.29768951465201</v>
      </c>
      <c r="F6" s="2632">
        <f t="shared" ref="F6" si="17">F7*(1+Q6)</f>
        <v>315.26985675409043</v>
      </c>
      <c r="G6" s="2718">
        <v>2019</v>
      </c>
      <c r="H6" s="2622">
        <v>4</v>
      </c>
      <c r="I6" s="2622">
        <v>0</v>
      </c>
      <c r="J6" s="2622">
        <v>0</v>
      </c>
      <c r="K6" s="2622">
        <v>0</v>
      </c>
      <c r="L6" s="2633">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ROUND(IF(项目基本情况!B8="出让",SUMPRODUCT(PRODUCT(1+N6:N$29)),SUMPRODUCT(PRODUCT(1+N6:N$28))),4)</f>
        <v>1.5516000000000001</v>
      </c>
      <c r="Y6" s="2717">
        <f>ROUND(IF(项目基本情况!B8="出让",SUMPRODUCT(PRODUCT(1+O6:O$29)),SUMPRODUCT(PRODUCT(1+O6:O$28))),4)</f>
        <v>1.3649</v>
      </c>
      <c r="Z6" s="2717">
        <f t="shared" ref="Z6" si="22">Y6</f>
        <v>1.3649</v>
      </c>
      <c r="AA6" s="2717">
        <f>ROUND(IF(项目基本情况!B8="出让",SUMPRODUCT(PRODUCT(1+P6:P$29)),SUMPRODUCT(PRODUCT(1+P6:P$28))),4)</f>
        <v>1.6133999999999999</v>
      </c>
      <c r="AB6" s="2717">
        <f>ROUND(IF(项目基本情况!B8="出让",SUMPRODUCT(PRODUCT(1+Q6:Q$29)),SUMPRODUCT(PRODUCT(1+Q6:Q$28))),4)</f>
        <v>1.3713</v>
      </c>
      <c r="AC6" s="2626"/>
      <c r="AD6" s="2637">
        <f>ROUND(AVERAGE(I6:I$29)/100,4)</f>
        <v>1.9800000000000002E-2</v>
      </c>
      <c r="AE6" s="2637">
        <f>ROUND(AVERAGE(J6:J$29)/100,4)</f>
        <v>1.41E-2</v>
      </c>
      <c r="AF6" s="2637">
        <f t="shared" ref="AF6" si="23">AE6</f>
        <v>1.41E-2</v>
      </c>
      <c r="AG6" s="2637">
        <f>ROUND(AVERAGE(K6:K$29)/100,4)</f>
        <v>2.1600000000000001E-2</v>
      </c>
      <c r="AH6" s="2637">
        <f>ROUND(AVERAGE(L6:L$29)/100,4)</f>
        <v>1.38E-2</v>
      </c>
    </row>
    <row r="7" spans="1:34" s="2724" customFormat="1" ht="13.8" thickBot="1">
      <c r="A7" s="2619" t="s">
        <v>2986</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c r="A8" s="2619" t="s">
        <v>2983</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3.8" thickBot="1">
      <c r="A9" s="2619" t="s">
        <v>2982</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c r="A10" s="2619" t="s">
        <v>2979</v>
      </c>
      <c r="B10" s="3177">
        <f t="shared" si="35"/>
        <v>464.37293017158942</v>
      </c>
      <c r="C10" s="3177">
        <f t="shared" ref="C10" si="56">C11*(1+O10)</f>
        <v>344.73679941385956</v>
      </c>
      <c r="D10" s="3177">
        <f t="shared" ref="D10" si="57">C10</f>
        <v>344.73679941385956</v>
      </c>
      <c r="E10" s="3177">
        <f t="shared" ref="E10" si="58">E11*(1+P10)</f>
        <v>663.2377795103107</v>
      </c>
      <c r="F10" s="3178">
        <f t="shared" ref="F10" si="59">F11*(1+Q10)</f>
        <v>304.75936311478398</v>
      </c>
      <c r="G10" s="3531">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4" customHeight="1">
      <c r="A11" s="2619" t="s">
        <v>2972</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531"/>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4" customHeight="1">
      <c r="A12" s="2619" t="s">
        <v>2973</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531"/>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2969</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537"/>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c r="A14" s="2619" t="s">
        <v>2960</v>
      </c>
      <c r="B14" s="3095">
        <v>439</v>
      </c>
      <c r="C14" s="3095">
        <v>327</v>
      </c>
      <c r="D14" s="3095">
        <f t="shared" si="87"/>
        <v>327</v>
      </c>
      <c r="E14" s="3095">
        <v>627</v>
      </c>
      <c r="F14" s="3096">
        <v>283</v>
      </c>
      <c r="G14" s="3536">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4" customHeight="1">
      <c r="A15" s="2619" t="s">
        <v>2964</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531"/>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4" customHeight="1">
      <c r="A16" s="2619" t="s">
        <v>2578</v>
      </c>
      <c r="B16" s="2632">
        <f t="shared" si="99"/>
        <v>419.31181600000002</v>
      </c>
      <c r="C16" s="2632">
        <f t="shared" si="99"/>
        <v>313.95436800000004</v>
      </c>
      <c r="D16" s="2632">
        <f t="shared" si="87"/>
        <v>313.95436800000004</v>
      </c>
      <c r="E16" s="2632">
        <f t="shared" si="100"/>
        <v>596.63028431999999</v>
      </c>
      <c r="F16" s="2632">
        <f t="shared" si="100"/>
        <v>274.74220703999998</v>
      </c>
      <c r="G16" s="3531"/>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2579</v>
      </c>
      <c r="B17" s="2632">
        <f t="shared" si="99"/>
        <v>405.524</v>
      </c>
      <c r="C17" s="2632">
        <f t="shared" si="99"/>
        <v>307.79840000000002</v>
      </c>
      <c r="D17" s="2632">
        <f t="shared" si="87"/>
        <v>307.79840000000002</v>
      </c>
      <c r="E17" s="2632">
        <f t="shared" si="100"/>
        <v>574.67759999999998</v>
      </c>
      <c r="F17" s="2632">
        <f t="shared" si="100"/>
        <v>270.20280000000002</v>
      </c>
      <c r="G17" s="3537"/>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c r="A18" s="2619" t="s">
        <v>970</v>
      </c>
      <c r="B18" s="2624">
        <v>392</v>
      </c>
      <c r="C18" s="2624">
        <v>302</v>
      </c>
      <c r="D18" s="2624">
        <f t="shared" si="87"/>
        <v>302</v>
      </c>
      <c r="E18" s="2624">
        <v>553</v>
      </c>
      <c r="F18" s="2625">
        <v>266</v>
      </c>
      <c r="G18" s="3536">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c r="A19" s="2619" t="s">
        <v>969</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531"/>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c r="A20" s="2619" t="s">
        <v>959</v>
      </c>
      <c r="B20" s="2632">
        <f t="shared" si="108"/>
        <v>360.06949782209392</v>
      </c>
      <c r="C20" s="2632">
        <f t="shared" si="108"/>
        <v>289.84672674747821</v>
      </c>
      <c r="D20" s="2632">
        <f t="shared" si="109"/>
        <v>289.84672674747821</v>
      </c>
      <c r="E20" s="2632">
        <f t="shared" si="110"/>
        <v>501.06543001181495</v>
      </c>
      <c r="F20" s="2632">
        <f t="shared" si="110"/>
        <v>256.82882500744967</v>
      </c>
      <c r="G20" s="3531"/>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3.8" thickBot="1">
      <c r="A21" s="2619" t="s">
        <v>968</v>
      </c>
      <c r="B21" s="2632">
        <f t="shared" si="108"/>
        <v>346.720748986128</v>
      </c>
      <c r="C21" s="2632">
        <f t="shared" si="108"/>
        <v>284.30282172386285</v>
      </c>
      <c r="D21" s="2632">
        <f t="shared" si="109"/>
        <v>284.30282172386285</v>
      </c>
      <c r="E21" s="2632">
        <f t="shared" si="110"/>
        <v>479.58023546306947</v>
      </c>
      <c r="F21" s="2632">
        <f t="shared" si="110"/>
        <v>253.25788877571213</v>
      </c>
      <c r="G21" s="3532"/>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3.8" thickBot="1">
      <c r="A22" s="2619" t="s">
        <v>967</v>
      </c>
      <c r="B22" s="2624">
        <v>333</v>
      </c>
      <c r="C22" s="2624">
        <v>277</v>
      </c>
      <c r="D22" s="2624">
        <f t="shared" si="109"/>
        <v>277</v>
      </c>
      <c r="E22" s="2624">
        <v>459</v>
      </c>
      <c r="F22" s="2625">
        <v>249</v>
      </c>
      <c r="G22" s="3530">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c r="A23" s="2619" t="s">
        <v>966</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531"/>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c r="A24" s="2619" t="s">
        <v>965</v>
      </c>
      <c r="B24" s="2632">
        <f t="shared" si="112"/>
        <v>322.34053690220776</v>
      </c>
      <c r="C24" s="2632">
        <f t="shared" si="112"/>
        <v>271.46160770422546</v>
      </c>
      <c r="D24" s="2632">
        <f t="shared" si="109"/>
        <v>271.46160770422546</v>
      </c>
      <c r="E24" s="2632">
        <f t="shared" si="113"/>
        <v>442.69434542172456</v>
      </c>
      <c r="F24" s="2632">
        <f t="shared" si="113"/>
        <v>241.34030753190925</v>
      </c>
      <c r="G24" s="3531"/>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c r="A25" s="2619" t="s">
        <v>964</v>
      </c>
      <c r="B25" s="2632">
        <f t="shared" si="112"/>
        <v>319.87748030386797</v>
      </c>
      <c r="C25" s="2632">
        <f t="shared" si="112"/>
        <v>269.60135833173649</v>
      </c>
      <c r="D25" s="2632">
        <f t="shared" si="109"/>
        <v>269.60135833173649</v>
      </c>
      <c r="E25" s="2632">
        <f t="shared" si="113"/>
        <v>439.18089823583784</v>
      </c>
      <c r="F25" s="2632">
        <f t="shared" si="113"/>
        <v>239.23503918706311</v>
      </c>
      <c r="G25" s="3532"/>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3.8" thickBot="1">
      <c r="A26" s="2619" t="s">
        <v>963</v>
      </c>
      <c r="B26" s="2646">
        <v>318</v>
      </c>
      <c r="C26" s="2646">
        <v>268</v>
      </c>
      <c r="D26" s="2646">
        <f t="shared" si="109"/>
        <v>268</v>
      </c>
      <c r="E26" s="2646">
        <v>437</v>
      </c>
      <c r="F26" s="2647">
        <v>237</v>
      </c>
      <c r="G26" s="3530">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c r="A27" s="2619" t="s">
        <v>962</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531"/>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3.8" thickBot="1">
      <c r="A28" s="2619" t="s">
        <v>961</v>
      </c>
      <c r="B28" s="2632">
        <f t="shared" si="114"/>
        <v>314.72141172386546</v>
      </c>
      <c r="C28" s="2632">
        <f t="shared" si="114"/>
        <v>263.03901319069001</v>
      </c>
      <c r="D28" s="2632">
        <f t="shared" si="109"/>
        <v>263.03901319069001</v>
      </c>
      <c r="E28" s="2632">
        <f t="shared" si="115"/>
        <v>433.65745506782821</v>
      </c>
      <c r="F28" s="2632">
        <f t="shared" si="115"/>
        <v>233.23005080045735</v>
      </c>
      <c r="G28" s="3531"/>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3.8" thickBot="1">
      <c r="A29" s="2650" t="s">
        <v>960</v>
      </c>
      <c r="B29" s="2651">
        <f t="shared" si="114"/>
        <v>307.34512863658733</v>
      </c>
      <c r="C29" s="2651">
        <f t="shared" si="114"/>
        <v>257.80556031626975</v>
      </c>
      <c r="D29" s="2651">
        <f t="shared" si="109"/>
        <v>257.80556031626975</v>
      </c>
      <c r="E29" s="2651">
        <f t="shared" si="115"/>
        <v>422.70928459677179</v>
      </c>
      <c r="F29" s="2651">
        <f t="shared" si="115"/>
        <v>229.73803270336617</v>
      </c>
      <c r="G29" s="3532"/>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2637</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3.8" thickBot="1">
      <c r="A30" s="2619" t="s">
        <v>2580</v>
      </c>
      <c r="B30" s="2624">
        <v>299</v>
      </c>
      <c r="C30" s="2624">
        <v>252</v>
      </c>
      <c r="D30" s="2624">
        <f t="shared" si="109"/>
        <v>252</v>
      </c>
      <c r="E30" s="2624">
        <v>409</v>
      </c>
      <c r="F30" s="2625">
        <v>227</v>
      </c>
      <c r="G30" s="3533">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c r="A31" s="2619" t="s">
        <v>2581</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534"/>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c r="A32" s="2619" t="s">
        <v>2582</v>
      </c>
      <c r="B32" s="2632">
        <f t="shared" si="118"/>
        <v>288.2649053828776</v>
      </c>
      <c r="C32" s="2632">
        <f t="shared" si="118"/>
        <v>243.64564425013293</v>
      </c>
      <c r="D32" s="2632">
        <f t="shared" si="109"/>
        <v>243.64564425013293</v>
      </c>
      <c r="E32" s="2632">
        <f t="shared" si="119"/>
        <v>393.31080825986544</v>
      </c>
      <c r="F32" s="2632">
        <f t="shared" si="119"/>
        <v>223.07903790551154</v>
      </c>
      <c r="G32" s="3534"/>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c r="A33" s="2619" t="s">
        <v>2583</v>
      </c>
      <c r="B33" s="2632">
        <f t="shared" si="118"/>
        <v>282.50186729015837</v>
      </c>
      <c r="C33" s="2632">
        <f t="shared" si="118"/>
        <v>238.09796174155468</v>
      </c>
      <c r="D33" s="2632">
        <f t="shared" si="109"/>
        <v>238.09796174155468</v>
      </c>
      <c r="E33" s="2632">
        <f t="shared" si="119"/>
        <v>385.33438646014054</v>
      </c>
      <c r="F33" s="2632">
        <f t="shared" si="119"/>
        <v>221.55034055567739</v>
      </c>
      <c r="G33" s="3535"/>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3.8" thickBot="1">
      <c r="A34" s="2619" t="s">
        <v>2584</v>
      </c>
      <c r="B34" s="2662">
        <v>278</v>
      </c>
      <c r="C34" s="2662">
        <v>234</v>
      </c>
      <c r="D34" s="2662">
        <f t="shared" si="109"/>
        <v>234</v>
      </c>
      <c r="E34" s="2662">
        <v>379</v>
      </c>
      <c r="F34" s="2663">
        <v>220</v>
      </c>
      <c r="G34" s="3530">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c r="A35" s="2619" t="s">
        <v>2585</v>
      </c>
      <c r="B35" s="2632">
        <f>B34/(1+N34)</f>
        <v>275.49301357645425</v>
      </c>
      <c r="C35" s="2632">
        <f>C34/(1+O34)</f>
        <v>232.41954707985698</v>
      </c>
      <c r="D35" s="2632">
        <f t="shared" si="109"/>
        <v>232.41954707985698</v>
      </c>
      <c r="E35" s="2632">
        <f t="shared" ref="E35:F37" si="120">E34/(1+P34)</f>
        <v>375.32184591008121</v>
      </c>
      <c r="F35" s="2632">
        <f t="shared" si="120"/>
        <v>218.03766105054513</v>
      </c>
      <c r="G35" s="3531"/>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c r="A36" s="2619" t="s">
        <v>2586</v>
      </c>
      <c r="B36" s="2632">
        <f>B35/(1+N35)</f>
        <v>275.24529281292263</v>
      </c>
      <c r="C36" s="2632">
        <f>C35/(1+O35)</f>
        <v>231.74747938962707</v>
      </c>
      <c r="D36" s="2632">
        <f t="shared" si="109"/>
        <v>231.74747938962707</v>
      </c>
      <c r="E36" s="2632">
        <f t="shared" si="120"/>
        <v>375.35938184826603</v>
      </c>
      <c r="F36" s="2632">
        <f t="shared" si="120"/>
        <v>216.78033510692495</v>
      </c>
      <c r="G36" s="3531"/>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3.8" thickBot="1">
      <c r="A37" s="2619" t="s">
        <v>2587</v>
      </c>
      <c r="B37" s="2632">
        <f>B36/(1+N36)</f>
        <v>275.19025476197027</v>
      </c>
      <c r="C37" s="2664">
        <v>232</v>
      </c>
      <c r="D37" s="2664">
        <f t="shared" si="109"/>
        <v>232</v>
      </c>
      <c r="E37" s="2632">
        <f t="shared" si="120"/>
        <v>375.65990977608692</v>
      </c>
      <c r="F37" s="2632">
        <f t="shared" si="120"/>
        <v>214.12518283971252</v>
      </c>
      <c r="G37" s="3532"/>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3.8" thickBot="1">
      <c r="A38" s="2619" t="s">
        <v>2588</v>
      </c>
      <c r="B38" s="2624">
        <v>275</v>
      </c>
      <c r="C38" s="2624">
        <v>232</v>
      </c>
      <c r="D38" s="2624">
        <f t="shared" si="109"/>
        <v>232</v>
      </c>
      <c r="E38" s="2624">
        <v>376</v>
      </c>
      <c r="F38" s="2625">
        <v>213</v>
      </c>
      <c r="G38" s="3530">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c r="A39" s="2619" t="s">
        <v>2589</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531">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c r="A40" s="2619" t="s">
        <v>2590</v>
      </c>
      <c r="B40" s="2632">
        <f t="shared" si="121"/>
        <v>275.19335084830601</v>
      </c>
      <c r="C40" s="2632">
        <f t="shared" si="121"/>
        <v>230.18088050139744</v>
      </c>
      <c r="D40" s="2632">
        <f t="shared" si="109"/>
        <v>230.18088050139744</v>
      </c>
      <c r="E40" s="2632">
        <f t="shared" si="122"/>
        <v>377.58482925212331</v>
      </c>
      <c r="F40" s="2632">
        <f t="shared" si="122"/>
        <v>210.90687997847917</v>
      </c>
      <c r="G40" s="3531">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3.8" thickBot="1">
      <c r="A41" s="2619" t="s">
        <v>2591</v>
      </c>
      <c r="B41" s="2632">
        <f t="shared" si="121"/>
        <v>276.29854502841971</v>
      </c>
      <c r="C41" s="2632">
        <f t="shared" si="121"/>
        <v>229.79023709833027</v>
      </c>
      <c r="D41" s="2632">
        <f t="shared" si="109"/>
        <v>229.79023709833027</v>
      </c>
      <c r="E41" s="2632">
        <f t="shared" si="122"/>
        <v>379.78759731655936</v>
      </c>
      <c r="F41" s="2632">
        <f t="shared" si="122"/>
        <v>211.32953905659235</v>
      </c>
      <c r="G41" s="3532">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3.8" thickBot="1">
      <c r="A42" s="2619" t="s">
        <v>2592</v>
      </c>
      <c r="B42" s="2624">
        <v>269</v>
      </c>
      <c r="C42" s="2624">
        <v>221</v>
      </c>
      <c r="D42" s="2624">
        <f t="shared" si="109"/>
        <v>221</v>
      </c>
      <c r="E42" s="2624">
        <v>373</v>
      </c>
      <c r="F42" s="2625">
        <v>196</v>
      </c>
      <c r="G42" s="3530">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c r="A43" s="2619" t="s">
        <v>2593</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531">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c r="A44" s="2619" t="s">
        <v>2594</v>
      </c>
      <c r="B44" s="2632">
        <f t="shared" si="123"/>
        <v>242.95398227588385</v>
      </c>
      <c r="C44" s="2632">
        <f t="shared" si="123"/>
        <v>199.59137053614126</v>
      </c>
      <c r="D44" s="2632">
        <f t="shared" si="109"/>
        <v>199.59137053614126</v>
      </c>
      <c r="E44" s="2632">
        <f t="shared" si="124"/>
        <v>335.92189522342125</v>
      </c>
      <c r="F44" s="2632">
        <f t="shared" si="124"/>
        <v>183.10139991109489</v>
      </c>
      <c r="G44" s="3531">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3.8" thickBot="1">
      <c r="A45" s="2619" t="s">
        <v>2595</v>
      </c>
      <c r="B45" s="2632">
        <f t="shared" si="123"/>
        <v>232.06990378821649</v>
      </c>
      <c r="C45" s="2632">
        <f t="shared" si="123"/>
        <v>192.74878854286936</v>
      </c>
      <c r="D45" s="2632">
        <f t="shared" si="109"/>
        <v>192.74878854286936</v>
      </c>
      <c r="E45" s="2632">
        <f t="shared" si="124"/>
        <v>319.71247284992984</v>
      </c>
      <c r="F45" s="2632">
        <f t="shared" si="124"/>
        <v>175.67053622862409</v>
      </c>
      <c r="G45" s="3532">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3.8" thickBot="1">
      <c r="A46" s="2619" t="s">
        <v>2596</v>
      </c>
      <c r="B46" s="2624">
        <v>220</v>
      </c>
      <c r="C46" s="2624">
        <v>187</v>
      </c>
      <c r="D46" s="2624">
        <f t="shared" si="109"/>
        <v>187</v>
      </c>
      <c r="E46" s="2624">
        <v>301</v>
      </c>
      <c r="F46" s="2625">
        <v>168</v>
      </c>
      <c r="G46" s="3530">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c r="A47" s="2619" t="s">
        <v>2597</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531">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c r="A48" s="2619" t="s">
        <v>2598</v>
      </c>
      <c r="B48" s="2632">
        <f t="shared" si="125"/>
        <v>210.630522469011</v>
      </c>
      <c r="C48" s="2632">
        <f t="shared" si="125"/>
        <v>181.69567812247232</v>
      </c>
      <c r="D48" s="2632">
        <f t="shared" si="109"/>
        <v>181.69567812247232</v>
      </c>
      <c r="E48" s="2632">
        <f t="shared" si="126"/>
        <v>286.13517466736738</v>
      </c>
      <c r="F48" s="2632">
        <f t="shared" si="126"/>
        <v>165.47535084591149</v>
      </c>
      <c r="G48" s="3531">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c r="A49" s="2619" t="s">
        <v>2599</v>
      </c>
      <c r="B49" s="2632">
        <f t="shared" si="125"/>
        <v>208.83454537875372</v>
      </c>
      <c r="C49" s="2632">
        <f t="shared" si="125"/>
        <v>183.77230517090351</v>
      </c>
      <c r="D49" s="2632">
        <f t="shared" si="109"/>
        <v>183.77230517090351</v>
      </c>
      <c r="E49" s="2632">
        <f t="shared" si="126"/>
        <v>281.10342338870947</v>
      </c>
      <c r="F49" s="2632">
        <f t="shared" si="126"/>
        <v>168.97309388942256</v>
      </c>
      <c r="G49" s="3532">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3.8" thickBot="1">
      <c r="A50" s="2619" t="s">
        <v>2600</v>
      </c>
      <c r="B50" s="2662">
        <v>214</v>
      </c>
      <c r="C50" s="2662">
        <v>188</v>
      </c>
      <c r="D50" s="2662">
        <f t="shared" si="109"/>
        <v>188</v>
      </c>
      <c r="E50" s="2662">
        <v>289</v>
      </c>
      <c r="F50" s="2663">
        <v>166</v>
      </c>
      <c r="G50" s="3530">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c r="A51" s="2619" t="s">
        <v>2601</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531">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c r="A52" s="2619" t="s">
        <v>2602</v>
      </c>
      <c r="B52" s="2632">
        <f t="shared" si="127"/>
        <v>206.31694671589116</v>
      </c>
      <c r="C52" s="2632">
        <f t="shared" si="127"/>
        <v>183.61041121036101</v>
      </c>
      <c r="D52" s="2632">
        <f t="shared" si="109"/>
        <v>183.61041121036101</v>
      </c>
      <c r="E52" s="2632">
        <f t="shared" si="128"/>
        <v>276.66850301795557</v>
      </c>
      <c r="F52" s="2632">
        <f t="shared" si="128"/>
        <v>165.1360938278614</v>
      </c>
      <c r="G52" s="3531">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3.8" thickBot="1">
      <c r="A53" s="2619" t="s">
        <v>2603</v>
      </c>
      <c r="B53" s="2665">
        <f t="shared" si="127"/>
        <v>196.62341248059772</v>
      </c>
      <c r="C53" s="2665">
        <f t="shared" si="127"/>
        <v>170.99125648199012</v>
      </c>
      <c r="D53" s="2665">
        <f t="shared" si="109"/>
        <v>170.99125648199012</v>
      </c>
      <c r="E53" s="2665">
        <f t="shared" si="128"/>
        <v>266.07857570490052</v>
      </c>
      <c r="F53" s="2665">
        <f t="shared" si="128"/>
        <v>154.53499328828505</v>
      </c>
      <c r="G53" s="3532">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3.8" thickBot="1">
      <c r="A54" s="2619" t="s">
        <v>2604</v>
      </c>
      <c r="B54" s="2624">
        <v>188</v>
      </c>
      <c r="C54" s="2624">
        <v>165</v>
      </c>
      <c r="D54" s="2624">
        <f t="shared" si="109"/>
        <v>165</v>
      </c>
      <c r="E54" s="2624">
        <v>254</v>
      </c>
      <c r="F54" s="2625">
        <v>148</v>
      </c>
      <c r="G54" s="3530">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c r="A55" s="2619" t="s">
        <v>2605</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531">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c r="A56" s="2619" t="s">
        <v>2606</v>
      </c>
      <c r="B56" s="2632">
        <f t="shared" si="131"/>
        <v>168.82017748715555</v>
      </c>
      <c r="C56" s="2632">
        <f t="shared" si="131"/>
        <v>148.06267029972753</v>
      </c>
      <c r="D56" s="2632">
        <f t="shared" si="109"/>
        <v>148.06267029972753</v>
      </c>
      <c r="E56" s="2632">
        <f t="shared" si="132"/>
        <v>216.46288379323747</v>
      </c>
      <c r="F56" s="2632">
        <f t="shared" si="132"/>
        <v>134.23529411764704</v>
      </c>
      <c r="G56" s="3531">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c r="A57" s="2619" t="s">
        <v>2607</v>
      </c>
      <c r="B57" s="2632">
        <f t="shared" si="131"/>
        <v>163.84913591779542</v>
      </c>
      <c r="C57" s="2632">
        <f t="shared" si="131"/>
        <v>145.0283378746594</v>
      </c>
      <c r="D57" s="2632">
        <f t="shared" si="109"/>
        <v>145.0283378746594</v>
      </c>
      <c r="E57" s="2632">
        <f t="shared" si="132"/>
        <v>204.95180722891567</v>
      </c>
      <c r="F57" s="2632">
        <f t="shared" si="132"/>
        <v>125.95920303605313</v>
      </c>
      <c r="G57" s="3532">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3.8" thickBot="1">
      <c r="A58" s="2619" t="s">
        <v>2608</v>
      </c>
      <c r="B58" s="2646">
        <v>159</v>
      </c>
      <c r="C58" s="2646">
        <v>141</v>
      </c>
      <c r="D58" s="2646">
        <f t="shared" si="109"/>
        <v>141</v>
      </c>
      <c r="E58" s="2646">
        <v>195</v>
      </c>
      <c r="F58" s="2647">
        <v>122</v>
      </c>
      <c r="G58" s="3530">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c r="A59" s="2619" t="s">
        <v>2609</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531">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c r="A60" s="2619" t="s">
        <v>2610</v>
      </c>
      <c r="B60" s="2632">
        <f t="shared" si="135"/>
        <v>146.57412060301507</v>
      </c>
      <c r="C60" s="2632">
        <f t="shared" si="135"/>
        <v>136.46831955922866</v>
      </c>
      <c r="D60" s="2632">
        <f t="shared" si="109"/>
        <v>136.46831955922866</v>
      </c>
      <c r="E60" s="2632">
        <f t="shared" si="136"/>
        <v>166.73864894795128</v>
      </c>
      <c r="F60" s="2632">
        <f t="shared" si="136"/>
        <v>115.05882352941177</v>
      </c>
      <c r="G60" s="3531">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c r="A61" s="2619" t="s">
        <v>2611</v>
      </c>
      <c r="B61" s="2632">
        <f t="shared" si="135"/>
        <v>144.04145728643215</v>
      </c>
      <c r="C61" s="2632">
        <f t="shared" si="135"/>
        <v>136.12396694214877</v>
      </c>
      <c r="D61" s="2632">
        <f t="shared" si="109"/>
        <v>136.12396694214877</v>
      </c>
      <c r="E61" s="2632">
        <f t="shared" si="136"/>
        <v>158.32225913621264</v>
      </c>
      <c r="F61" s="2632">
        <f t="shared" si="136"/>
        <v>114.04278074866311</v>
      </c>
      <c r="G61" s="3532">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3.8" thickBot="1">
      <c r="A62" s="2619" t="s">
        <v>2612</v>
      </c>
      <c r="B62" s="2646">
        <v>138</v>
      </c>
      <c r="C62" s="2646">
        <v>131</v>
      </c>
      <c r="D62" s="2646">
        <f t="shared" si="109"/>
        <v>131</v>
      </c>
      <c r="E62" s="2646">
        <v>155</v>
      </c>
      <c r="F62" s="2647">
        <v>114</v>
      </c>
      <c r="G62" s="3530">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c r="A63" s="2619" t="s">
        <v>2613</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531">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c r="A64" s="2619" t="s">
        <v>2614</v>
      </c>
      <c r="B64" s="2632">
        <f t="shared" si="139"/>
        <v>124.29032258064517</v>
      </c>
      <c r="C64" s="2632">
        <f t="shared" si="139"/>
        <v>123.8968609865471</v>
      </c>
      <c r="D64" s="2632">
        <f t="shared" si="109"/>
        <v>123.8968609865471</v>
      </c>
      <c r="E64" s="2632">
        <f t="shared" si="140"/>
        <v>138.00507614213197</v>
      </c>
      <c r="F64" s="2632">
        <f t="shared" si="140"/>
        <v>107.96106557377048</v>
      </c>
      <c r="G64" s="3531">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c r="A65" s="2619" t="s">
        <v>2615</v>
      </c>
      <c r="B65" s="2632">
        <f t="shared" si="139"/>
        <v>122.57204301075269</v>
      </c>
      <c r="C65" s="2632">
        <f t="shared" si="139"/>
        <v>123.4932735426009</v>
      </c>
      <c r="D65" s="2632">
        <f t="shared" si="109"/>
        <v>123.4932735426009</v>
      </c>
      <c r="E65" s="2632">
        <f t="shared" si="140"/>
        <v>129.82233502538071</v>
      </c>
      <c r="F65" s="2632">
        <f t="shared" si="140"/>
        <v>107.39446721311475</v>
      </c>
      <c r="G65" s="3532">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3.8" thickBot="1">
      <c r="A66" s="2619" t="s">
        <v>2616</v>
      </c>
      <c r="B66" s="2662">
        <v>121</v>
      </c>
      <c r="C66" s="2662">
        <v>122</v>
      </c>
      <c r="D66" s="2662">
        <f t="shared" si="109"/>
        <v>122</v>
      </c>
      <c r="E66" s="2662">
        <v>124</v>
      </c>
      <c r="F66" s="2663">
        <v>107</v>
      </c>
      <c r="G66" s="3530">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c r="A67" s="2619" t="s">
        <v>2617</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531">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c r="A68" s="2619" t="s">
        <v>2618</v>
      </c>
      <c r="B68" s="2632">
        <f t="shared" si="143"/>
        <v>116.99099099099099</v>
      </c>
      <c r="C68" s="2632">
        <f t="shared" si="143"/>
        <v>118.84848484848486</v>
      </c>
      <c r="D68" s="2632">
        <f t="shared" si="109"/>
        <v>118.84848484848486</v>
      </c>
      <c r="E68" s="2632">
        <f t="shared" si="144"/>
        <v>117.60960960960961</v>
      </c>
      <c r="F68" s="2632">
        <f t="shared" si="144"/>
        <v>104</v>
      </c>
      <c r="G68" s="3531">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3.8" thickBot="1">
      <c r="A69" s="2619" t="s">
        <v>2619</v>
      </c>
      <c r="B69" s="2665">
        <f t="shared" si="143"/>
        <v>112.48648648648648</v>
      </c>
      <c r="C69" s="2665">
        <f t="shared" si="143"/>
        <v>115.21212121212122</v>
      </c>
      <c r="D69" s="2665">
        <f t="shared" si="109"/>
        <v>115.21212121212122</v>
      </c>
      <c r="E69" s="2665">
        <f t="shared" si="144"/>
        <v>110.4024024024024</v>
      </c>
      <c r="F69" s="2665">
        <f t="shared" si="144"/>
        <v>104</v>
      </c>
      <c r="G69" s="3532">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3.8" thickBot="1">
      <c r="A70" s="2619" t="s">
        <v>2620</v>
      </c>
      <c r="B70" s="2683">
        <v>111</v>
      </c>
      <c r="C70" s="2683">
        <v>114</v>
      </c>
      <c r="D70" s="2683">
        <f t="shared" si="109"/>
        <v>114</v>
      </c>
      <c r="E70" s="2683">
        <v>108</v>
      </c>
      <c r="F70" s="2684">
        <v>104</v>
      </c>
      <c r="G70" s="3530">
        <v>2003</v>
      </c>
      <c r="H70" s="2673">
        <v>4</v>
      </c>
      <c r="I70" s="2685"/>
      <c r="J70" s="2685"/>
      <c r="K70" s="2685"/>
      <c r="L70" s="2685"/>
      <c r="N70" s="2686"/>
      <c r="O70" s="2685"/>
      <c r="P70" s="2685"/>
      <c r="Q70" s="2685"/>
      <c r="S70" s="2686"/>
      <c r="T70" s="2685"/>
      <c r="U70" s="2685"/>
      <c r="V70" s="2685"/>
      <c r="X70" s="2677"/>
      <c r="Y70" s="2677"/>
      <c r="Z70" s="2677"/>
    </row>
    <row r="71" spans="1:26">
      <c r="A71" s="2619" t="s">
        <v>2621</v>
      </c>
      <c r="B71" s="2687">
        <f t="shared" ref="B71:C73" si="145">B72+(B$70-B$74)/4</f>
        <v>109.75</v>
      </c>
      <c r="C71" s="2687">
        <f t="shared" si="145"/>
        <v>112.25</v>
      </c>
      <c r="D71" s="2687">
        <f t="shared" si="109"/>
        <v>112.25</v>
      </c>
      <c r="E71" s="2687">
        <f t="shared" ref="E71:F73" si="146">E72+(E$70-E$74)/4</f>
        <v>107.25</v>
      </c>
      <c r="F71" s="2687">
        <f t="shared" si="146"/>
        <v>103.5</v>
      </c>
      <c r="G71" s="3531">
        <v>2003</v>
      </c>
      <c r="H71" s="2643">
        <v>3</v>
      </c>
      <c r="I71" s="2685"/>
      <c r="J71" s="2685"/>
      <c r="K71" s="2685"/>
      <c r="L71" s="2685"/>
      <c r="X71" s="2677"/>
      <c r="Y71" s="2677"/>
      <c r="Z71" s="2677"/>
    </row>
    <row r="72" spans="1:26">
      <c r="A72" s="2619" t="s">
        <v>2622</v>
      </c>
      <c r="B72" s="2687">
        <f t="shared" si="145"/>
        <v>108.5</v>
      </c>
      <c r="C72" s="2687">
        <f t="shared" si="145"/>
        <v>110.5</v>
      </c>
      <c r="D72" s="2687">
        <f t="shared" si="109"/>
        <v>110.5</v>
      </c>
      <c r="E72" s="2687">
        <f t="shared" si="146"/>
        <v>106.5</v>
      </c>
      <c r="F72" s="2687">
        <f t="shared" si="146"/>
        <v>103</v>
      </c>
      <c r="G72" s="3531">
        <v>2003</v>
      </c>
      <c r="H72" s="2623">
        <v>2</v>
      </c>
      <c r="I72" s="2685"/>
      <c r="J72" s="2685"/>
      <c r="K72" s="2685"/>
      <c r="L72" s="2685"/>
      <c r="X72" s="2677"/>
      <c r="Y72" s="2677"/>
      <c r="Z72" s="2677"/>
    </row>
    <row r="73" spans="1:26" ht="13.8" thickBot="1">
      <c r="A73" s="2619" t="s">
        <v>2623</v>
      </c>
      <c r="B73" s="2687">
        <f t="shared" si="145"/>
        <v>107.25</v>
      </c>
      <c r="C73" s="2687">
        <f t="shared" si="145"/>
        <v>108.75</v>
      </c>
      <c r="D73" s="2687">
        <f t="shared" si="109"/>
        <v>108.75</v>
      </c>
      <c r="E73" s="2687">
        <f t="shared" si="146"/>
        <v>105.75</v>
      </c>
      <c r="F73" s="2687">
        <f t="shared" si="146"/>
        <v>102.5</v>
      </c>
      <c r="G73" s="3532">
        <v>2003</v>
      </c>
      <c r="H73" s="2688">
        <v>1</v>
      </c>
      <c r="I73" s="2685"/>
      <c r="J73" s="2685"/>
      <c r="K73" s="2685"/>
      <c r="L73" s="2685"/>
      <c r="S73" s="2627"/>
      <c r="T73" s="2628"/>
      <c r="U73" s="2628"/>
      <c r="X73" s="2677"/>
      <c r="Y73" s="2677"/>
      <c r="Z73" s="2677"/>
    </row>
    <row r="74" spans="1:26" ht="13.8" thickBot="1">
      <c r="A74" s="2619" t="s">
        <v>2624</v>
      </c>
      <c r="B74" s="2689">
        <v>106</v>
      </c>
      <c r="C74" s="2689">
        <v>107</v>
      </c>
      <c r="D74" s="2689">
        <f t="shared" si="109"/>
        <v>107</v>
      </c>
      <c r="E74" s="2689">
        <v>105</v>
      </c>
      <c r="F74" s="2690">
        <v>102</v>
      </c>
      <c r="G74" s="3530">
        <v>2002</v>
      </c>
      <c r="H74" s="2638">
        <v>4</v>
      </c>
      <c r="I74" s="2685"/>
      <c r="J74" s="2685"/>
      <c r="K74" s="2685"/>
      <c r="L74" s="2685"/>
      <c r="N74" s="2686"/>
      <c r="O74" s="2685"/>
      <c r="P74" s="2685"/>
      <c r="Q74" s="2685"/>
      <c r="S74" s="2686"/>
      <c r="T74" s="2685"/>
      <c r="U74" s="2685"/>
      <c r="V74" s="2685"/>
      <c r="X74" s="2677"/>
      <c r="Y74" s="2677"/>
      <c r="Z74" s="2677"/>
    </row>
    <row r="75" spans="1:26">
      <c r="A75" s="2619" t="s">
        <v>2625</v>
      </c>
      <c r="B75" s="2687">
        <f t="shared" ref="B75:C77" si="147">B76+(B$74-B$78)/4</f>
        <v>105</v>
      </c>
      <c r="C75" s="2687">
        <f t="shared" si="147"/>
        <v>106</v>
      </c>
      <c r="D75" s="2687">
        <f t="shared" si="109"/>
        <v>106</v>
      </c>
      <c r="E75" s="2687">
        <f t="shared" ref="E75:F77" si="148">E76+(E$74-E$78)/4</f>
        <v>104.5</v>
      </c>
      <c r="F75" s="2687">
        <f t="shared" si="148"/>
        <v>101.5</v>
      </c>
      <c r="G75" s="3531">
        <v>2002</v>
      </c>
      <c r="H75" s="2643">
        <v>3</v>
      </c>
      <c r="I75" s="2685"/>
      <c r="J75" s="2685"/>
      <c r="K75" s="2685"/>
      <c r="L75" s="2685"/>
      <c r="X75" s="2677"/>
      <c r="Y75" s="2677"/>
      <c r="Z75" s="2677"/>
    </row>
    <row r="76" spans="1:26">
      <c r="A76" s="2619" t="s">
        <v>2626</v>
      </c>
      <c r="B76" s="2687">
        <f t="shared" si="147"/>
        <v>104</v>
      </c>
      <c r="C76" s="2687">
        <f t="shared" si="147"/>
        <v>105</v>
      </c>
      <c r="D76" s="2687">
        <f t="shared" si="109"/>
        <v>105</v>
      </c>
      <c r="E76" s="2687">
        <f t="shared" si="148"/>
        <v>104</v>
      </c>
      <c r="F76" s="2687">
        <f t="shared" si="148"/>
        <v>101</v>
      </c>
      <c r="G76" s="3531">
        <v>2002</v>
      </c>
      <c r="H76" s="2623">
        <v>2</v>
      </c>
      <c r="I76" s="2685"/>
      <c r="J76" s="2685"/>
      <c r="K76" s="2685"/>
      <c r="L76" s="2685"/>
      <c r="X76" s="2677"/>
      <c r="Y76" s="2677"/>
      <c r="Z76" s="2677"/>
    </row>
    <row r="77" spans="1:26" s="2654" customFormat="1" ht="13.8" thickBot="1">
      <c r="A77" s="2650" t="s">
        <v>2627</v>
      </c>
      <c r="B77" s="2691">
        <f t="shared" si="147"/>
        <v>103</v>
      </c>
      <c r="C77" s="2691">
        <f t="shared" si="147"/>
        <v>104</v>
      </c>
      <c r="D77" s="2691">
        <f t="shared" si="109"/>
        <v>104</v>
      </c>
      <c r="E77" s="2691">
        <f t="shared" si="148"/>
        <v>103.5</v>
      </c>
      <c r="F77" s="2691">
        <f t="shared" si="148"/>
        <v>100.5</v>
      </c>
      <c r="G77" s="3532">
        <v>2002</v>
      </c>
      <c r="H77" s="2692">
        <v>1</v>
      </c>
      <c r="I77" s="2693"/>
      <c r="J77" s="2693"/>
      <c r="K77" s="2693"/>
      <c r="L77" s="2693"/>
      <c r="N77" s="2694"/>
      <c r="S77" s="2694"/>
      <c r="X77" s="2695"/>
      <c r="Y77" s="2695"/>
      <c r="Z77" s="2695"/>
    </row>
    <row r="78" spans="1:26" ht="13.8"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c r="A80" s="2699" t="s">
        <v>2628</v>
      </c>
      <c r="G80" s="2701"/>
      <c r="N80" s="2701"/>
      <c r="S80" s="2701"/>
    </row>
    <row r="81" spans="1:22" s="2700" customFormat="1">
      <c r="A81" s="2700" t="s">
        <v>2629</v>
      </c>
      <c r="G81" s="2701"/>
      <c r="N81" s="2701"/>
      <c r="S81" s="2701"/>
    </row>
    <row r="82" spans="1:22" s="2700" customFormat="1">
      <c r="A82" s="2700" t="s">
        <v>2630</v>
      </c>
      <c r="G82" s="2701"/>
      <c r="I82" s="2702"/>
      <c r="J82" s="2702"/>
      <c r="K82" s="2702"/>
      <c r="L82" s="2702"/>
      <c r="N82" s="2703"/>
      <c r="O82" s="2702"/>
      <c r="P82" s="2702"/>
      <c r="Q82" s="2702"/>
      <c r="S82" s="2703"/>
      <c r="T82" s="2702"/>
      <c r="U82" s="2702"/>
      <c r="V82" s="2702"/>
    </row>
    <row r="83" spans="1:22" s="2700" customFormat="1">
      <c r="A83" s="2700" t="s">
        <v>2631</v>
      </c>
      <c r="G83" s="2701"/>
      <c r="N83" s="2701"/>
      <c r="S83" s="2701"/>
    </row>
    <row r="90" spans="1:22" ht="13.8" thickBot="1"/>
    <row r="91" spans="1:22">
      <c r="G91" s="2626"/>
      <c r="S91" s="2704" t="s">
        <v>2632</v>
      </c>
      <c r="T91" s="2705" t="s">
        <v>2633</v>
      </c>
      <c r="U91" s="2705" t="s">
        <v>2634</v>
      </c>
      <c r="V91" s="2705" t="s">
        <v>2635</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3.8"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受贵公司委托，我公司对咸阳市秦都区文兴路335亩项目出让国有建设用地使用权抵押价格进行了预评估。</v>
      </c>
    </row>
    <row r="5" spans="1:4" ht="17.399999999999999">
      <c r="A5" s="1779" t="s">
        <v>1905</v>
      </c>
    </row>
    <row r="6" spans="1:4" ht="69.599999999999994">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咸阳市秦都区文兴路335亩项目出让国有建设用地使用权。根据《国有土地使用证》[]，估价对象（分摊）出让国有建设用地使用权面积为223160.97平方米。根据《建设工程规划许可证》[]、《出让合同》[]，估价对象规划建筑面积为781063.4平方米。</v>
      </c>
    </row>
    <row r="7" spans="1:4" ht="52.2">
      <c r="A7" s="1780" t="s">
        <v>2744</v>
      </c>
    </row>
    <row r="8" spans="1:4" ht="17.399999999999999">
      <c r="A8" s="1779" t="s">
        <v>1906</v>
      </c>
    </row>
    <row r="9" spans="1:4" ht="69.599999999999994">
      <c r="A9" s="178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2024</v>
      </c>
    </row>
    <row r="11" spans="1:4" ht="17.399999999999999">
      <c r="A11" s="1765" t="str">
        <f>TEXT(项目基本情况!D3,"yyyy年m月d日;;")&amp;IF(项目基本情况!B3=项目基本情况!D3,"（评估专业人员勘察现场之日）","")</f>
        <v>2020年3月12日</v>
      </c>
    </row>
    <row r="12" spans="1:4" ht="17.399999999999999">
      <c r="A12" s="1782" t="s">
        <v>2023</v>
      </c>
    </row>
    <row r="13" spans="1:4" ht="17.399999999999999">
      <c r="A13" s="1776" t="s">
        <v>2935</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2070</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6" t="s">
        <v>2071</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根据《国有土地使用证》[]，估价对象（分摊）出让国有建设用地使用权面积为223160.97平方米。根据《建设工程规划许可证》[]、《出让合同》[]，估价对象规划建筑面积为781063.4平方米。</v>
      </c>
    </row>
    <row r="21" spans="1:1" ht="17.399999999999999">
      <c r="A21" s="1776" t="s">
        <v>2072</v>
      </c>
    </row>
    <row r="22" spans="1:1" ht="52.2">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本次估价对象为出让国有建设用地使用权，《国有土地使用证》[]证载土地终止日期为住宅2090年3月2日、商业2060年3月2日。截至估价期日，出让国有建设用地使用权剩余土地使用年限为。</v>
      </c>
    </row>
    <row r="23" spans="1:1" ht="17.399999999999999">
      <c r="A23" s="1776" t="str">
        <f>IF(项目基本情况!B16="出让","本次评估设定估价对象剩余土地使用年限为"&amp;项目基本情况!D20&amp;"。","")</f>
        <v>本次评估设定估价对象剩余土地使用年限为。</v>
      </c>
    </row>
    <row r="24" spans="1:1" ht="17.399999999999999">
      <c r="A24" s="1776" t="s">
        <v>2073</v>
      </c>
    </row>
    <row r="25" spans="1:1" ht="87">
      <c r="A25" s="1776" t="str">
        <f>定义!C53</f>
        <v>本次估价的“出让国有建设用地使用权价格”是指在估价对象土地所有权为国家所有，使用权性质为出让，在公开市场条件下、于估价期日2020年3月12日，在规划利用条件下、设定土地开发程度为红线外“七通”、宗地内场地，设定用途为，剩余土地使用年限为的出让国有建设用地使用权价格。</v>
      </c>
    </row>
    <row r="26" spans="1:1" ht="52.2">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2025</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3" t="s">
        <v>2942</v>
      </c>
      <c r="B1" s="3055"/>
      <c r="C1" s="3055"/>
      <c r="D1" s="3055"/>
      <c r="E1" s="3055"/>
      <c r="F1" s="3055"/>
    </row>
    <row r="2" spans="1:6" ht="15.6">
      <c r="A2" s="3056" t="s">
        <v>2937</v>
      </c>
      <c r="B2" s="3057" t="e">
        <f ca="1">SUMIF(B7:B14,"&lt;&gt;#ref!",B7:B14)</f>
        <v>#DIV/0!</v>
      </c>
      <c r="C2" s="3056" t="s">
        <v>2938</v>
      </c>
      <c r="D2" s="3055"/>
      <c r="E2" s="3055"/>
      <c r="F2" s="3055"/>
    </row>
    <row r="3" spans="1:6" ht="15.6">
      <c r="A3" s="3056" t="s">
        <v>2970</v>
      </c>
      <c r="B3" s="3057" t="e">
        <f ca="1">ROUND(B2*10000/E3,0)</f>
        <v>#DIV/0!</v>
      </c>
      <c r="C3" s="3056" t="s">
        <v>2076</v>
      </c>
      <c r="D3" s="3056" t="s">
        <v>2939</v>
      </c>
      <c r="E3" s="3057">
        <f ca="1">SUMIF(E7:E14,"&lt;&gt;#ref!",E7:E14)</f>
        <v>0</v>
      </c>
      <c r="F3" s="3055"/>
    </row>
    <row r="4" spans="1:6" ht="15.6">
      <c r="A4" s="3056" t="s">
        <v>2946</v>
      </c>
      <c r="B4" s="3057" t="e">
        <f ca="1">ROUND(B2*10000/E4,0)</f>
        <v>#DIV/0!</v>
      </c>
      <c r="C4" s="3056" t="s">
        <v>2076</v>
      </c>
      <c r="D4" s="3056" t="s">
        <v>2947</v>
      </c>
      <c r="E4" s="3057">
        <f ca="1">SUMIF(F7:F14,"&lt;&gt;#ref!",F7:F14)</f>
        <v>0</v>
      </c>
      <c r="F4" s="3055"/>
    </row>
    <row r="5" spans="1:6" ht="15.6">
      <c r="A5" s="3058"/>
      <c r="B5" s="1866"/>
      <c r="C5" s="1866"/>
      <c r="D5" s="1866"/>
      <c r="E5" s="1866"/>
      <c r="F5" s="3055"/>
    </row>
    <row r="6" spans="1:6" ht="31.2">
      <c r="A6" s="3059" t="s">
        <v>2943</v>
      </c>
      <c r="B6" s="3056" t="s">
        <v>2940</v>
      </c>
      <c r="C6" s="3057"/>
      <c r="D6" s="1866"/>
      <c r="E6" s="3056" t="s">
        <v>2941</v>
      </c>
      <c r="F6" s="3056" t="s">
        <v>2945</v>
      </c>
    </row>
    <row r="7" spans="1:6" ht="15.6">
      <c r="A7" s="260" t="s">
        <v>2944</v>
      </c>
      <c r="B7" s="3060" t="e">
        <f ca="1">SUMIF(INDIRECT("'"&amp;A7&amp;"'"&amp;"!A:A"),"总价",INDIRECT("'"&amp;A7&amp;"'"&amp;"!B:B"))</f>
        <v>#DIV/0!</v>
      </c>
      <c r="C7" s="3056" t="s">
        <v>2938</v>
      </c>
      <c r="D7" s="1866"/>
      <c r="E7" s="3061">
        <f ca="1">SUMIF(INDIRECT("'"&amp;A7&amp;"'"&amp;"!C:C"),"建筑面积",INDIRECT("'"&amp;A7&amp;"'"&amp;"!D:D"))</f>
        <v>0</v>
      </c>
      <c r="F7" s="3061">
        <f ca="1">SUMIF(INDIRECT("'"&amp;A7&amp;"'"&amp;"!E:E"),"土地面积",INDIRECT("'"&amp;A7&amp;"'"&amp;"!F:F"))</f>
        <v>0</v>
      </c>
    </row>
    <row r="8" spans="1:6" ht="15.6">
      <c r="A8" s="260"/>
      <c r="B8" s="3060" t="e">
        <f t="shared" ref="B8:B14" ca="1" si="0">SUMIF(INDIRECT("'"&amp;A8&amp;"'"&amp;"!A:A"),"总价",INDIRECT("'"&amp;A8&amp;"'"&amp;"!B:B"))</f>
        <v>#REF!</v>
      </c>
      <c r="C8" s="3056" t="s">
        <v>2938</v>
      </c>
      <c r="D8" s="1866"/>
      <c r="E8" s="3061" t="e">
        <f t="shared" ref="E8:E14" ca="1" si="1">SUMIF(INDIRECT("'"&amp;A8&amp;"'"&amp;"!C:C"),"建筑面积",INDIRECT("'"&amp;A8&amp;"'"&amp;"!D:D"))</f>
        <v>#REF!</v>
      </c>
      <c r="F8" s="3061" t="e">
        <f t="shared" ref="F8:F14" ca="1" si="2">SUMIF(INDIRECT("'"&amp;A8&amp;"'"&amp;"!E:E"),"土地面积",INDIRECT("'"&amp;A8&amp;"'"&amp;"!F:F"))</f>
        <v>#REF!</v>
      </c>
    </row>
    <row r="9" spans="1:6" ht="15.6">
      <c r="A9" s="260"/>
      <c r="B9" s="3060" t="e">
        <f t="shared" ca="1" si="0"/>
        <v>#REF!</v>
      </c>
      <c r="C9" s="3056" t="s">
        <v>2938</v>
      </c>
      <c r="D9" s="1866"/>
      <c r="E9" s="3061" t="e">
        <f t="shared" ca="1" si="1"/>
        <v>#REF!</v>
      </c>
      <c r="F9" s="3061" t="e">
        <f t="shared" ca="1" si="2"/>
        <v>#REF!</v>
      </c>
    </row>
    <row r="10" spans="1:6" ht="15.6">
      <c r="A10" s="260"/>
      <c r="B10" s="3060" t="e">
        <f t="shared" ca="1" si="0"/>
        <v>#REF!</v>
      </c>
      <c r="C10" s="3056" t="s">
        <v>2938</v>
      </c>
      <c r="D10" s="1866"/>
      <c r="E10" s="3061" t="e">
        <f t="shared" ca="1" si="1"/>
        <v>#REF!</v>
      </c>
      <c r="F10" s="3061" t="e">
        <f t="shared" ca="1" si="2"/>
        <v>#REF!</v>
      </c>
    </row>
    <row r="11" spans="1:6" ht="15.6">
      <c r="A11" s="260"/>
      <c r="B11" s="3060" t="e">
        <f t="shared" ca="1" si="0"/>
        <v>#REF!</v>
      </c>
      <c r="C11" s="3056" t="s">
        <v>2938</v>
      </c>
      <c r="D11" s="1866"/>
      <c r="E11" s="3061" t="e">
        <f t="shared" ca="1" si="1"/>
        <v>#REF!</v>
      </c>
      <c r="F11" s="3061" t="e">
        <f t="shared" ca="1" si="2"/>
        <v>#REF!</v>
      </c>
    </row>
    <row r="12" spans="1:6" ht="15.6">
      <c r="A12" s="260"/>
      <c r="B12" s="3060" t="e">
        <f t="shared" ca="1" si="0"/>
        <v>#REF!</v>
      </c>
      <c r="C12" s="3056" t="s">
        <v>2938</v>
      </c>
      <c r="D12" s="1866"/>
      <c r="E12" s="3061" t="e">
        <f t="shared" ca="1" si="1"/>
        <v>#REF!</v>
      </c>
      <c r="F12" s="3061" t="e">
        <f t="shared" ca="1" si="2"/>
        <v>#REF!</v>
      </c>
    </row>
    <row r="13" spans="1:6" ht="15.6">
      <c r="A13" s="260"/>
      <c r="B13" s="3060" t="e">
        <f t="shared" ca="1" si="0"/>
        <v>#REF!</v>
      </c>
      <c r="C13" s="3056" t="s">
        <v>2938</v>
      </c>
      <c r="D13" s="1866"/>
      <c r="E13" s="3061" t="e">
        <f t="shared" ca="1" si="1"/>
        <v>#REF!</v>
      </c>
      <c r="F13" s="3061" t="e">
        <f t="shared" ca="1" si="2"/>
        <v>#REF!</v>
      </c>
    </row>
    <row r="14" spans="1:6" ht="15.6">
      <c r="A14" s="3054"/>
      <c r="B14" s="3060" t="e">
        <f t="shared" ca="1" si="0"/>
        <v>#REF!</v>
      </c>
      <c r="C14" s="3056" t="s">
        <v>2938</v>
      </c>
      <c r="D14" s="1866"/>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3"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21875" style="2044" customWidth="1"/>
    <col min="17" max="17" width="13.77734375" style="2044" customWidth="1"/>
    <col min="18" max="18" width="22.21875" style="2044" customWidth="1"/>
    <col min="19" max="19" width="1.44140625" style="2044" customWidth="1"/>
    <col min="20" max="25" width="9" style="2044"/>
    <col min="26" max="16384" width="9" style="2045"/>
  </cols>
  <sheetData>
    <row r="1" spans="1:25" s="2039" customFormat="1" ht="21.6">
      <c r="A1" s="772" t="s">
        <v>628</v>
      </c>
      <c r="B1" s="738"/>
      <c r="C1" s="773"/>
      <c r="D1" s="2035"/>
      <c r="E1" s="2351" t="s">
        <v>2372</v>
      </c>
      <c r="F1" s="2352">
        <f ca="1">J54</f>
        <v>-3</v>
      </c>
      <c r="G1" s="774">
        <f>MATCH(C1,'数据-取费表'!A6:A16,0)+5</f>
        <v>8</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2456</v>
      </c>
      <c r="C7" s="53">
        <f ca="1">C8+C12+C14</f>
        <v>0</v>
      </c>
      <c r="D7" s="2460" t="s">
        <v>2459</v>
      </c>
      <c r="E7" s="2454"/>
      <c r="F7" s="2455"/>
      <c r="G7" s="1578"/>
      <c r="H7" s="781">
        <v>1</v>
      </c>
      <c r="I7" s="782" t="s">
        <v>2456</v>
      </c>
      <c r="J7" s="53">
        <f ca="1">J8+J12+J14</f>
        <v>0</v>
      </c>
      <c r="K7" s="2460" t="s">
        <v>2459</v>
      </c>
      <c r="L7" s="2454"/>
      <c r="M7" s="2455"/>
    </row>
    <row r="8" spans="1:25" ht="18" customHeight="1">
      <c r="A8" s="1815" t="s">
        <v>1824</v>
      </c>
      <c r="B8" s="3539" t="s">
        <v>2461</v>
      </c>
      <c r="C8" s="1810">
        <f ca="1">ROUND(F8*F10*F9*(1-F11)/10000,0)</f>
        <v>0</v>
      </c>
      <c r="D8" s="1807" t="s">
        <v>2532</v>
      </c>
      <c r="E8" s="61" t="s">
        <v>637</v>
      </c>
      <c r="F8" s="785">
        <f ca="1">INDIRECT("'数据-取费表'!u"&amp;$G$1)</f>
        <v>0</v>
      </c>
      <c r="G8" s="1578"/>
      <c r="H8" s="2468" t="s">
        <v>1824</v>
      </c>
      <c r="I8" s="3539" t="s">
        <v>2461</v>
      </c>
      <c r="J8" s="783">
        <f ca="1">ROUND(M8*M10*M9*(1-M11)/10000,0)</f>
        <v>0</v>
      </c>
      <c r="K8" s="341" t="s">
        <v>2532</v>
      </c>
      <c r="L8" s="784" t="s">
        <v>1738</v>
      </c>
      <c r="M8" s="785">
        <f ca="1">INDIRECT("'数据-取费表'!z"&amp;$G$1)</f>
        <v>0</v>
      </c>
    </row>
    <row r="9" spans="1:25" ht="18" customHeight="1">
      <c r="A9" s="2464"/>
      <c r="B9" s="3540"/>
      <c r="C9" s="1811"/>
      <c r="D9" s="1808"/>
      <c r="E9" s="61" t="s">
        <v>638</v>
      </c>
      <c r="F9" s="785">
        <f ca="1">IF(INDIRECT("'数据-取费表'!ah"&amp;$G$1)="",INDIRECT("'数据-取费表'!k"&amp;$G$1),INDIRECT("'数据-取费表'!ah"&amp;$G$1))</f>
        <v>0</v>
      </c>
      <c r="G9" s="1578"/>
      <c r="H9" s="2453"/>
      <c r="I9" s="3540"/>
      <c r="J9" s="788"/>
      <c r="K9" s="789"/>
      <c r="L9" s="784" t="s">
        <v>1739</v>
      </c>
      <c r="M9" s="785">
        <f ca="1">F9</f>
        <v>0</v>
      </c>
    </row>
    <row r="10" spans="1:25" ht="18" customHeight="1">
      <c r="A10" s="2457"/>
      <c r="B10" s="3541"/>
      <c r="C10" s="1811"/>
      <c r="D10" s="1808"/>
      <c r="E10" s="61" t="s">
        <v>639</v>
      </c>
      <c r="F10" s="785">
        <f ca="1">INDIRECT("'数据-取费表'!ai"&amp;$G$1)</f>
        <v>0</v>
      </c>
      <c r="G10" s="1578"/>
      <c r="H10" s="2453"/>
      <c r="I10" s="3541"/>
      <c r="J10" s="788"/>
      <c r="K10" s="789"/>
      <c r="L10" s="784" t="s">
        <v>1740</v>
      </c>
      <c r="M10" s="785">
        <f ca="1">INDIRECT("'数据-取费表'!ai"&amp;$G$1)</f>
        <v>0</v>
      </c>
    </row>
    <row r="11" spans="1:25" ht="18" customHeight="1">
      <c r="A11" s="786"/>
      <c r="B11" s="3542"/>
      <c r="C11" s="1811"/>
      <c r="D11" s="1808"/>
      <c r="E11" s="61" t="s">
        <v>640</v>
      </c>
      <c r="F11" s="794">
        <f ca="1">INDIRECT("'数据-取费表'!w"&amp;$G$1)</f>
        <v>0</v>
      </c>
      <c r="G11" s="1578"/>
      <c r="H11" s="2469"/>
      <c r="I11" s="3541"/>
      <c r="J11" s="788"/>
      <c r="K11" s="789"/>
      <c r="L11" s="795" t="s">
        <v>1741</v>
      </c>
      <c r="M11" s="796">
        <f ca="1">INDIRECT("'数据-取费表'!ab"&amp;$G$1)</f>
        <v>0</v>
      </c>
    </row>
    <row r="12" spans="1:25" ht="18" customHeight="1">
      <c r="A12" s="1815" t="s">
        <v>1825</v>
      </c>
      <c r="B12" s="2458" t="s">
        <v>2457</v>
      </c>
      <c r="C12" s="799">
        <f ca="1">ROUND(IF(F12="押一",C8/12*F13,IF(F12="押二",C8/12*2*F13,IF(F12="押三",C8/12*3*F13,C13*F13))),0)</f>
        <v>0</v>
      </c>
      <c r="D12" s="2465" t="s">
        <v>2967</v>
      </c>
      <c r="E12" s="2462" t="s">
        <v>2462</v>
      </c>
      <c r="F12" s="2585"/>
      <c r="G12" s="1578"/>
      <c r="H12" s="2525" t="s">
        <v>1825</v>
      </c>
      <c r="I12" s="2530" t="s">
        <v>2457</v>
      </c>
      <c r="J12" s="783">
        <f ca="1">ROUND(IF(M12="押一",J8/12*M13,IF(M12="押二",J8/12*2*M13,IF(M12="押三",J8/12*3*M13,J13*M13))),0)</f>
        <v>0</v>
      </c>
      <c r="K12" s="2465" t="s">
        <v>2967</v>
      </c>
      <c r="L12" s="2462" t="s">
        <v>2462</v>
      </c>
      <c r="M12" s="2585"/>
    </row>
    <row r="13" spans="1:25" ht="18" customHeight="1">
      <c r="A13" s="790"/>
      <c r="B13" s="2459" t="s">
        <v>2571</v>
      </c>
      <c r="C13" s="2463"/>
      <c r="D13" s="789"/>
      <c r="E13" s="2462" t="s">
        <v>2454</v>
      </c>
      <c r="F13" s="796">
        <f ca="1">'数据-取费表'!B39</f>
        <v>1.4999999999999999E-2</v>
      </c>
      <c r="G13" s="1578"/>
      <c r="H13" s="2526"/>
      <c r="I13" s="2459" t="s">
        <v>2571</v>
      </c>
      <c r="J13" s="2463"/>
      <c r="K13" s="2527"/>
      <c r="L13" s="2462" t="s">
        <v>2454</v>
      </c>
      <c r="M13" s="2456">
        <f ca="1">'数据-取费表'!B39</f>
        <v>1.4999999999999999E-2</v>
      </c>
    </row>
    <row r="14" spans="1:25" ht="18" customHeight="1" thickBot="1">
      <c r="A14" s="2501" t="s">
        <v>2465</v>
      </c>
      <c r="B14" s="2502" t="s">
        <v>2458</v>
      </c>
      <c r="C14" s="2503"/>
      <c r="D14" s="2504"/>
      <c r="E14" s="2505"/>
      <c r="F14" s="2506"/>
      <c r="G14" s="1578"/>
      <c r="H14" s="2515" t="s">
        <v>2465</v>
      </c>
      <c r="I14" s="2528" t="s">
        <v>2458</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2067</v>
      </c>
      <c r="I16" s="2216" t="s">
        <v>2822</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2068</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2067</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4</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2068</v>
      </c>
      <c r="I24" s="784" t="s">
        <v>676</v>
      </c>
      <c r="J24" s="53">
        <f ca="1">ROUND(J16*M24,0)</f>
        <v>0</v>
      </c>
      <c r="K24" s="1962" t="s">
        <v>677</v>
      </c>
      <c r="L24" s="784" t="s">
        <v>649</v>
      </c>
      <c r="M24" s="817">
        <f ca="1">INDIRECT("'数据-取费表'!Ak"&amp;$G$1)</f>
        <v>0</v>
      </c>
    </row>
    <row r="25" spans="1:25" s="2049" customFormat="1" ht="18" customHeight="1">
      <c r="A25" s="803" t="s">
        <v>1875</v>
      </c>
      <c r="B25" s="784" t="s">
        <v>2435</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3</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1.4E-3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2819</v>
      </c>
      <c r="J27" s="799">
        <f ca="1">J7-J18</f>
        <v>0</v>
      </c>
      <c r="K27" s="1964" t="s">
        <v>700</v>
      </c>
      <c r="L27" s="1966"/>
      <c r="M27" s="820"/>
    </row>
    <row r="28" spans="1:25" ht="18" customHeight="1">
      <c r="A28" s="803" t="s">
        <v>1875</v>
      </c>
      <c r="B28" s="784" t="s">
        <v>2436</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2820</v>
      </c>
      <c r="C31" s="2508">
        <f ca="1">ROUND((C21+C22+C25+C28)/(1-F23-C26-C29-C30),0)</f>
        <v>0</v>
      </c>
      <c r="D31" s="2509"/>
      <c r="E31" s="2510"/>
      <c r="F31" s="2511"/>
      <c r="G31" s="1579"/>
      <c r="H31" s="823" t="s">
        <v>1872</v>
      </c>
      <c r="I31" s="2964" t="s">
        <v>2821</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4</v>
      </c>
      <c r="G36" s="2047"/>
      <c r="H36" s="2050"/>
      <c r="I36" s="3538"/>
      <c r="J36" s="2064"/>
      <c r="K36" s="2065"/>
      <c r="L36" s="2064"/>
      <c r="M36" s="2064"/>
    </row>
    <row r="37" spans="1:18" ht="18" customHeight="1">
      <c r="A37" s="815"/>
      <c r="B37" s="793"/>
      <c r="C37" s="69"/>
      <c r="D37" s="816"/>
      <c r="E37" s="784" t="s">
        <v>674</v>
      </c>
      <c r="F37" s="785">
        <f ca="1">INDIRECT("'数据-取费表'!r"&amp;$G$1)</f>
        <v>0</v>
      </c>
      <c r="G37" s="2047"/>
      <c r="H37" s="2050"/>
      <c r="I37" s="3538"/>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1" t="s">
        <v>712</v>
      </c>
      <c r="E43" s="3072" t="s">
        <v>2955</v>
      </c>
      <c r="F43" s="3073">
        <f ca="1">INDIRECT("'数据-取费表'!j"&amp;$G$1)</f>
        <v>0</v>
      </c>
      <c r="G43" s="2047"/>
      <c r="H43" s="2047"/>
      <c r="I43" s="2047"/>
      <c r="J43" s="2047"/>
      <c r="K43" s="2068"/>
      <c r="L43" s="2047"/>
      <c r="M43" s="2047"/>
    </row>
    <row r="44" spans="1:18" ht="18" customHeight="1">
      <c r="A44" s="803" t="s">
        <v>1878</v>
      </c>
      <c r="B44" s="835" t="s">
        <v>713</v>
      </c>
      <c r="C44" s="1352">
        <f ca="1">C42-C43</f>
        <v>0</v>
      </c>
      <c r="D44" s="463" t="s">
        <v>714</v>
      </c>
      <c r="E44" s="464"/>
      <c r="F44" s="465"/>
      <c r="G44" s="2047"/>
      <c r="H44" s="2047"/>
      <c r="I44" s="2047"/>
      <c r="J44" s="2047"/>
      <c r="K44" s="2068"/>
      <c r="L44" s="2047"/>
      <c r="M44" s="2047"/>
    </row>
    <row r="45" spans="1:18" ht="18" customHeight="1">
      <c r="A45" s="803" t="s">
        <v>1879</v>
      </c>
      <c r="B45" s="1351" t="s">
        <v>715</v>
      </c>
      <c r="C45" s="2990">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4" t="s">
        <v>2958</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2341</v>
      </c>
      <c r="J47" s="2343"/>
      <c r="K47" s="2344"/>
      <c r="L47" s="3106" t="str">
        <f ca="1">IF(M48="住宅",0,IF(L49&gt;J52,L61,J61))</f>
        <v>0</v>
      </c>
      <c r="O47" s="2358" t="s">
        <v>2408</v>
      </c>
      <c r="P47" s="1578"/>
      <c r="Q47" s="1589"/>
      <c r="R47" s="1578"/>
    </row>
    <row r="48" spans="1:18" s="2044" customFormat="1" ht="18" customHeight="1" thickBot="1">
      <c r="A48" s="2069"/>
      <c r="C48" s="2072"/>
      <c r="D48" s="2073"/>
      <c r="E48" s="2073"/>
      <c r="F48" s="2074"/>
      <c r="G48" s="2075"/>
      <c r="I48" s="3097" t="s">
        <v>2342</v>
      </c>
      <c r="J48" s="2345"/>
      <c r="K48" s="3103" t="s">
        <v>2347</v>
      </c>
      <c r="L48" s="3107">
        <f ca="1">INDIRECT("'数据-取费表'!d"&amp;$G$1)</f>
        <v>0</v>
      </c>
      <c r="M48" s="3071" t="str">
        <f>IF(ISNUMBER(FIND("住宅",C1)),"住宅","非住宅")</f>
        <v>非住宅</v>
      </c>
      <c r="O48" s="2359" t="s">
        <v>2373</v>
      </c>
      <c r="P48" s="2360" t="s">
        <v>2374</v>
      </c>
      <c r="Q48" s="2361" t="s">
        <v>2375</v>
      </c>
      <c r="R48" s="2360" t="s">
        <v>2376</v>
      </c>
    </row>
    <row r="49" spans="1:18" s="2044" customFormat="1" ht="18" customHeight="1" thickBot="1">
      <c r="A49" s="2069"/>
      <c r="D49" s="2076"/>
      <c r="E49" s="2077"/>
      <c r="F49" s="2074"/>
      <c r="G49" s="2075"/>
      <c r="H49" s="2078"/>
      <c r="I49" s="3076" t="s">
        <v>2343</v>
      </c>
      <c r="J49" s="2346"/>
      <c r="K49" s="3104" t="s">
        <v>2349</v>
      </c>
      <c r="L49" s="1893">
        <f ca="1">INDIRECT("'数据-取费表'!f"&amp;$G$1)</f>
        <v>0</v>
      </c>
      <c r="O49" s="2362" t="s">
        <v>2377</v>
      </c>
      <c r="P49" s="2363" t="s">
        <v>2403</v>
      </c>
      <c r="Q49" s="2364">
        <f ca="1">C41+J31</f>
        <v>0</v>
      </c>
      <c r="R49" s="2363" t="s">
        <v>2378</v>
      </c>
    </row>
    <row r="50" spans="1:18" s="2044" customFormat="1" ht="18" customHeight="1" thickBot="1">
      <c r="A50" s="2069"/>
      <c r="D50" s="2079"/>
      <c r="E50" s="2079"/>
      <c r="F50" s="2073"/>
      <c r="G50" s="2080"/>
      <c r="H50" s="2078"/>
      <c r="I50" s="3076" t="s">
        <v>2344</v>
      </c>
      <c r="J50" s="2347"/>
      <c r="K50" s="3105" t="s">
        <v>2350</v>
      </c>
      <c r="L50" s="2348"/>
      <c r="O50" s="2362" t="s">
        <v>2379</v>
      </c>
      <c r="P50" s="2363" t="s">
        <v>2404</v>
      </c>
      <c r="Q50" s="2364" t="str">
        <f ca="1">J61</f>
        <v>0</v>
      </c>
      <c r="R50" s="2363" t="s">
        <v>2380</v>
      </c>
    </row>
    <row r="51" spans="1:18" s="2044" customFormat="1" ht="18" customHeight="1" thickBot="1">
      <c r="A51" s="2081"/>
      <c r="D51" s="2079"/>
      <c r="E51" s="2079"/>
      <c r="F51" s="2070"/>
      <c r="H51" s="2078"/>
      <c r="I51" s="3076" t="s">
        <v>2345</v>
      </c>
      <c r="J51" s="3101">
        <f>SUMPRODUCT((I64:I66=J48)*(J63:L63=J49)*(J64:L66))</f>
        <v>0</v>
      </c>
      <c r="K51" s="3105" t="s">
        <v>2351</v>
      </c>
      <c r="L51" s="2348"/>
      <c r="O51" s="2365" t="s">
        <v>2381</v>
      </c>
      <c r="P51" s="2363" t="s">
        <v>2405</v>
      </c>
      <c r="Q51" s="2364">
        <f ca="1">C31</f>
        <v>0</v>
      </c>
      <c r="R51" s="2363" t="s">
        <v>2378</v>
      </c>
    </row>
    <row r="52" spans="1:18" s="2044" customFormat="1" ht="18" customHeight="1" thickBot="1">
      <c r="A52" s="2081"/>
      <c r="F52" s="2070"/>
      <c r="I52" s="3098" t="s">
        <v>2346</v>
      </c>
      <c r="J52" s="3102">
        <f>IF(J50="",J51,J50+J51-YEAR('数据-取费表'!B3))</f>
        <v>0</v>
      </c>
      <c r="K52" s="3076" t="s">
        <v>2352</v>
      </c>
      <c r="L52" s="3108">
        <f ca="1">ROUND(-PV(INDIRECT("'数据-取费表'!h"&amp;$G$1),L49,(C40-C14*J36),0),0)</f>
        <v>0</v>
      </c>
      <c r="O52" s="2365" t="s">
        <v>2382</v>
      </c>
      <c r="P52" s="2363" t="s">
        <v>2383</v>
      </c>
      <c r="Q52" s="2366" t="e">
        <f ca="1">J59</f>
        <v>#VALUE!</v>
      </c>
      <c r="R52" s="2367"/>
    </row>
    <row r="53" spans="1:18" s="2044" customFormat="1" ht="18" customHeight="1" thickBot="1">
      <c r="A53" s="2081"/>
      <c r="F53" s="2070"/>
      <c r="I53" s="3099" t="s">
        <v>2419</v>
      </c>
      <c r="J53" s="2349"/>
      <c r="K53" s="3099" t="s">
        <v>2418</v>
      </c>
      <c r="L53" s="2349"/>
      <c r="O53" s="2365" t="s">
        <v>2384</v>
      </c>
      <c r="P53" s="2363" t="s">
        <v>2385</v>
      </c>
      <c r="Q53" s="2366">
        <f>J53</f>
        <v>0</v>
      </c>
      <c r="R53" s="2367"/>
    </row>
    <row r="54" spans="1:18" s="2044" customFormat="1" ht="31.8" thickBot="1">
      <c r="A54" s="2081"/>
      <c r="I54" s="3100" t="s">
        <v>2971</v>
      </c>
      <c r="J54" s="3179">
        <f ca="1">IF(M48="住宅",MAX(J52,L49-'数据-取费表'!B20),MIN(J52,L49-'数据-取费表'!B20))</f>
        <v>-3</v>
      </c>
      <c r="K54" s="3543"/>
      <c r="L54" s="3544"/>
      <c r="O54" s="2365" t="s">
        <v>2386</v>
      </c>
      <c r="P54" s="2363" t="s">
        <v>2387</v>
      </c>
      <c r="Q54" s="2364">
        <f ca="1">J54</f>
        <v>-3</v>
      </c>
      <c r="R54" s="2363" t="s">
        <v>2388</v>
      </c>
    </row>
    <row r="55" spans="1:18" s="2044" customFormat="1" ht="18" customHeight="1" thickBot="1">
      <c r="A55" s="2081"/>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2" t="s">
        <v>2389</v>
      </c>
      <c r="P55" s="2363" t="s">
        <v>2406</v>
      </c>
      <c r="Q55" s="2364">
        <f ca="1">Q49+Q50</f>
        <v>0</v>
      </c>
      <c r="R55" s="2367" t="s">
        <v>2390</v>
      </c>
    </row>
    <row r="56" spans="1:18" s="2044" customFormat="1" ht="16.2" thickBot="1">
      <c r="A56" s="2081"/>
      <c r="B56" s="2082"/>
      <c r="C56" s="2082"/>
      <c r="I56" s="3111" t="s">
        <v>2353</v>
      </c>
      <c r="J56" s="3051" t="e">
        <f ca="1">ROUND(IF(J48="钢混",J58/J51,1-(1-2%)*(J51-J58)/J51),3)</f>
        <v>#VALUE!</v>
      </c>
      <c r="K56" s="3112" t="s">
        <v>2354</v>
      </c>
      <c r="L56" s="2350"/>
      <c r="O56" s="2368" t="s">
        <v>2409</v>
      </c>
      <c r="P56" s="1578"/>
      <c r="Q56" s="1589"/>
      <c r="R56" s="1578"/>
    </row>
    <row r="57" spans="1:18" s="2044" customFormat="1" ht="47.4" thickBot="1">
      <c r="A57" s="2081"/>
      <c r="B57" s="2082"/>
      <c r="C57" s="2082"/>
      <c r="I57" s="3113" t="s">
        <v>2355</v>
      </c>
      <c r="J57" s="3123" t="s">
        <v>1678</v>
      </c>
      <c r="K57" s="3076" t="s">
        <v>2360</v>
      </c>
      <c r="L57" s="1893">
        <f ca="1">IF(L49&lt;J52,"——",L49-J52)</f>
        <v>0</v>
      </c>
      <c r="O57" s="2359" t="s">
        <v>2373</v>
      </c>
      <c r="P57" s="2360" t="s">
        <v>2374</v>
      </c>
      <c r="Q57" s="2361" t="s">
        <v>2375</v>
      </c>
      <c r="R57" s="2360" t="s">
        <v>2376</v>
      </c>
    </row>
    <row r="58" spans="1:18" s="2044" customFormat="1" ht="31.8" thickBot="1">
      <c r="A58" s="2081"/>
      <c r="B58" s="2082"/>
      <c r="C58" s="2082"/>
      <c r="I58" s="3114" t="s">
        <v>2356</v>
      </c>
      <c r="J58" s="3115" t="str">
        <f ca="1">IF(OR(M48="住宅",J52&lt;L49,J57="是"),"——",J52-L49)</f>
        <v>——</v>
      </c>
      <c r="K58" s="3076" t="s">
        <v>2361</v>
      </c>
      <c r="L58" s="1893">
        <f ca="1">IF(L49&lt;J52,"——",IF(L56="比较法",L50,IF(L56="基准地价",L51,L52)))</f>
        <v>0</v>
      </c>
      <c r="O58" s="2362" t="s">
        <v>2377</v>
      </c>
      <c r="P58" s="2363" t="s">
        <v>2403</v>
      </c>
      <c r="Q58" s="2364">
        <f ca="1">C41+J31</f>
        <v>0</v>
      </c>
      <c r="R58" s="2363" t="s">
        <v>2378</v>
      </c>
    </row>
    <row r="59" spans="1:18" s="2044" customFormat="1" ht="31.8" thickBot="1">
      <c r="A59" s="2081"/>
      <c r="B59" s="2082"/>
      <c r="C59" s="2082"/>
      <c r="I59" s="3114" t="s">
        <v>2357</v>
      </c>
      <c r="J59" s="3052" t="e">
        <f ca="1">IF(J56&lt;0.4,0.4,J56)</f>
        <v>#VALUE!</v>
      </c>
      <c r="K59" s="3076" t="s">
        <v>2362</v>
      </c>
      <c r="L59" s="1893">
        <f ca="1">IF(ISERROR(POWER(1+L53,L48-L49)*(POWER(1+L53,L49)-1)/(POWER(1+L53,L48)-1)),0,POWER(1+L53,L48-L49)*(POWER(1+L53,L49)-1)/(POWER(1+L53,L48)-1))</f>
        <v>0</v>
      </c>
      <c r="O59" s="2362" t="s">
        <v>2379</v>
      </c>
      <c r="P59" s="2363" t="s">
        <v>2410</v>
      </c>
      <c r="Q59" s="2364" t="e">
        <f ca="1">L61</f>
        <v>#DIV/0!</v>
      </c>
      <c r="R59" s="2367" t="s">
        <v>2412</v>
      </c>
    </row>
    <row r="60" spans="1:18" s="2044" customFormat="1" ht="31.8" thickBot="1">
      <c r="A60" s="2081"/>
      <c r="B60" s="2082"/>
      <c r="C60" s="2082"/>
      <c r="I60" s="3114" t="s">
        <v>2358</v>
      </c>
      <c r="J60" s="3115" t="str">
        <f ca="1">IF(OR(M48="住宅",J52&lt;L49,J57="是"),"——",ROUND(C30*J59,0))</f>
        <v>——</v>
      </c>
      <c r="K60" s="3076" t="s">
        <v>2363</v>
      </c>
      <c r="L60" s="1893">
        <f ca="1">IF(ISERROR(POWER(1+L53,L48-J52)*(POWER(1+L53,J52)-1)/(POWER(1+L53,L48)-1)),0,POWER(1+L53,L48-J52)*(POWER(1+L53,J52)-1)/(POWER(1+L53,L48)-1))</f>
        <v>0</v>
      </c>
      <c r="O60" s="2365" t="s">
        <v>2381</v>
      </c>
      <c r="P60" s="2363" t="s">
        <v>2411</v>
      </c>
      <c r="Q60" s="2364">
        <f>IF(L56="比较法",L50,IF(L56="基准地价",L51,0))</f>
        <v>0</v>
      </c>
      <c r="R60" s="2363" t="s">
        <v>2378</v>
      </c>
    </row>
    <row r="61" spans="1:18" s="2044" customFormat="1" ht="16.2" thickBot="1">
      <c r="A61" s="2081"/>
      <c r="B61" s="2082"/>
      <c r="C61" s="2082"/>
      <c r="I61" s="3116" t="s">
        <v>2359</v>
      </c>
      <c r="J61" s="3117" t="str">
        <f ca="1">IF(OR(M48="住宅",J52&lt;L49,J57="是"),"0",ROUND(J60/(1+J53)^J54,0))</f>
        <v>0</v>
      </c>
      <c r="K61" s="3118" t="s">
        <v>2364</v>
      </c>
      <c r="L61" s="3117" t="e">
        <f ca="1">IF(OR(M48="住宅",L49&lt;J52),0,ROUND(L58*(L59/L60-1),0))</f>
        <v>#DIV/0!</v>
      </c>
      <c r="O61" s="2365" t="s">
        <v>2382</v>
      </c>
      <c r="P61" s="2363" t="s">
        <v>2391</v>
      </c>
      <c r="Q61" s="2366">
        <f>L53</f>
        <v>0</v>
      </c>
      <c r="R61" s="2367"/>
    </row>
    <row r="62" spans="1:18" s="2044" customFormat="1" ht="19.2" thickBot="1">
      <c r="A62" s="2081"/>
      <c r="B62" s="2082"/>
      <c r="C62" s="2082"/>
      <c r="K62" s="2071"/>
      <c r="O62" s="2365" t="s">
        <v>2384</v>
      </c>
      <c r="P62" s="2363" t="s">
        <v>2392</v>
      </c>
      <c r="Q62" s="2364">
        <f ca="1">L59</f>
        <v>0</v>
      </c>
      <c r="R62" s="2367" t="s">
        <v>2393</v>
      </c>
    </row>
    <row r="63" spans="1:18" s="2044" customFormat="1" ht="19.2" thickBot="1">
      <c r="A63" s="2081"/>
      <c r="B63" s="2082"/>
      <c r="C63" s="2082"/>
      <c r="I63" s="3119" t="s">
        <v>2365</v>
      </c>
      <c r="J63" s="3120" t="s">
        <v>2366</v>
      </c>
      <c r="K63" s="3120" t="s">
        <v>2367</v>
      </c>
      <c r="L63" s="3120" t="s">
        <v>2348</v>
      </c>
      <c r="M63" s="3121" t="s">
        <v>2936</v>
      </c>
      <c r="O63" s="2365" t="s">
        <v>2386</v>
      </c>
      <c r="P63" s="2363" t="s">
        <v>2394</v>
      </c>
      <c r="Q63" s="2364">
        <f ca="1">L60</f>
        <v>0</v>
      </c>
      <c r="R63" s="2367" t="s">
        <v>2395</v>
      </c>
    </row>
    <row r="64" spans="1:18" s="2044" customFormat="1" ht="16.2" thickBot="1">
      <c r="A64" s="2081"/>
      <c r="B64" s="2082"/>
      <c r="C64" s="2082"/>
      <c r="I64" s="3119" t="s">
        <v>2368</v>
      </c>
      <c r="J64" s="3120">
        <v>70</v>
      </c>
      <c r="K64" s="3120">
        <v>50</v>
      </c>
      <c r="L64" s="3120">
        <v>80</v>
      </c>
      <c r="M64" s="3122">
        <v>0.02</v>
      </c>
      <c r="O64" s="2362" t="s">
        <v>2389</v>
      </c>
      <c r="P64" s="2363" t="s">
        <v>2406</v>
      </c>
      <c r="Q64" s="2364" t="e">
        <f ca="1">Q58+Q59</f>
        <v>#DIV/0!</v>
      </c>
      <c r="R64" s="2367" t="s">
        <v>2390</v>
      </c>
    </row>
    <row r="65" spans="1:18" s="2044" customFormat="1" ht="16.2" thickBot="1">
      <c r="A65" s="2081"/>
      <c r="B65" s="2082"/>
      <c r="C65" s="2082"/>
      <c r="I65" s="3119" t="s">
        <v>2369</v>
      </c>
      <c r="J65" s="3120">
        <v>50</v>
      </c>
      <c r="K65" s="3120">
        <v>35</v>
      </c>
      <c r="L65" s="3120">
        <v>60</v>
      </c>
      <c r="M65" s="846">
        <v>0</v>
      </c>
      <c r="O65" s="2368" t="s">
        <v>2413</v>
      </c>
      <c r="P65" s="1578"/>
      <c r="Q65" s="1589"/>
      <c r="R65" s="1578"/>
    </row>
    <row r="66" spans="1:18" s="2044" customFormat="1" ht="16.2" thickBot="1">
      <c r="A66" s="2081"/>
      <c r="B66" s="2082"/>
      <c r="C66" s="2082"/>
      <c r="I66" s="3119" t="s">
        <v>2370</v>
      </c>
      <c r="J66" s="3120">
        <v>40</v>
      </c>
      <c r="K66" s="3120">
        <v>30</v>
      </c>
      <c r="L66" s="3120">
        <v>50</v>
      </c>
      <c r="M66" s="3122">
        <v>0.02</v>
      </c>
      <c r="O66" s="2359" t="s">
        <v>2373</v>
      </c>
      <c r="P66" s="2360" t="s">
        <v>2374</v>
      </c>
      <c r="Q66" s="2361" t="s">
        <v>2375</v>
      </c>
      <c r="R66" s="2360" t="s">
        <v>2376</v>
      </c>
    </row>
    <row r="67" spans="1:18" s="2044" customFormat="1" ht="16.2" thickBot="1">
      <c r="A67" s="2081"/>
      <c r="B67" s="2082"/>
      <c r="C67" s="2082"/>
      <c r="K67" s="2071"/>
      <c r="O67" s="2362" t="s">
        <v>2377</v>
      </c>
      <c r="P67" s="2363" t="s">
        <v>2403</v>
      </c>
      <c r="Q67" s="2364">
        <f ca="1">C41+J31</f>
        <v>0</v>
      </c>
      <c r="R67" s="2363" t="s">
        <v>2378</v>
      </c>
    </row>
    <row r="68" spans="1:18" s="2044" customFormat="1" ht="19.2" thickBot="1">
      <c r="A68" s="2081"/>
      <c r="B68" s="2082"/>
      <c r="C68" s="2082"/>
      <c r="K68" s="2071"/>
      <c r="O68" s="2362" t="s">
        <v>2379</v>
      </c>
      <c r="P68" s="2363" t="s">
        <v>2410</v>
      </c>
      <c r="Q68" s="2364" t="e">
        <f ca="1">L61</f>
        <v>#DIV/0!</v>
      </c>
      <c r="R68" s="2367" t="s">
        <v>2412</v>
      </c>
    </row>
    <row r="69" spans="1:18" s="2044" customFormat="1" ht="20.399999999999999" thickBot="1">
      <c r="A69" s="2081"/>
      <c r="B69" s="2082"/>
      <c r="C69" s="2082"/>
      <c r="K69" s="2071"/>
      <c r="O69" s="2365" t="s">
        <v>2381</v>
      </c>
      <c r="P69" s="2363" t="s">
        <v>2411</v>
      </c>
      <c r="Q69" s="2369">
        <f ca="1">L52</f>
        <v>0</v>
      </c>
      <c r="R69" s="2370" t="s">
        <v>2414</v>
      </c>
    </row>
    <row r="70" spans="1:18" s="2044" customFormat="1" ht="19.2" thickBot="1">
      <c r="A70" s="2081"/>
      <c r="B70" s="2082"/>
      <c r="C70" s="2082"/>
      <c r="K70" s="2071"/>
      <c r="O70" s="2365" t="s">
        <v>2382</v>
      </c>
      <c r="P70" s="2371" t="s">
        <v>2396</v>
      </c>
      <c r="Q70" s="2364">
        <f ca="1">ROUND(Q71-Q72*Q73,0)</f>
        <v>0</v>
      </c>
      <c r="R70" s="2367"/>
    </row>
    <row r="71" spans="1:18" s="2044" customFormat="1" ht="16.2" thickBot="1">
      <c r="A71" s="2081"/>
      <c r="B71" s="2082"/>
      <c r="C71" s="2082"/>
      <c r="K71" s="2071"/>
      <c r="O71" s="2365" t="s">
        <v>2397</v>
      </c>
      <c r="P71" s="2371" t="s">
        <v>2398</v>
      </c>
      <c r="Q71" s="2364">
        <f ca="1">C42</f>
        <v>0</v>
      </c>
      <c r="R71" s="2363" t="s">
        <v>2378</v>
      </c>
    </row>
    <row r="72" spans="1:18" s="2044" customFormat="1" ht="16.2" thickBot="1">
      <c r="A72" s="2081"/>
      <c r="B72" s="2082"/>
      <c r="C72" s="2082"/>
      <c r="K72" s="2071"/>
      <c r="O72" s="2365" t="s">
        <v>2399</v>
      </c>
      <c r="P72" s="2371" t="s">
        <v>2400</v>
      </c>
      <c r="Q72" s="2364">
        <f ca="1">C15</f>
        <v>0</v>
      </c>
      <c r="R72" s="2363" t="s">
        <v>2378</v>
      </c>
    </row>
    <row r="73" spans="1:18" s="2044" customFormat="1" ht="16.2" thickBot="1">
      <c r="A73" s="2081"/>
      <c r="B73" s="2082"/>
      <c r="C73" s="2082"/>
      <c r="K73" s="2071"/>
      <c r="O73" s="2365" t="s">
        <v>2401</v>
      </c>
      <c r="P73" s="2371" t="s">
        <v>2402</v>
      </c>
      <c r="Q73" s="2366">
        <f ca="1">F43</f>
        <v>0</v>
      </c>
      <c r="R73" s="2367"/>
    </row>
    <row r="74" spans="1:18" s="2044" customFormat="1" ht="16.2" thickBot="1">
      <c r="A74" s="2081"/>
      <c r="B74" s="2082"/>
      <c r="C74" s="2082"/>
      <c r="K74" s="2071"/>
      <c r="O74" s="2365" t="s">
        <v>2384</v>
      </c>
      <c r="P74" s="2363" t="s">
        <v>2391</v>
      </c>
      <c r="Q74" s="2366">
        <f>L53</f>
        <v>0</v>
      </c>
      <c r="R74" s="2367"/>
    </row>
    <row r="75" spans="1:18" s="2044" customFormat="1" ht="19.2" thickBot="1">
      <c r="A75" s="2081"/>
      <c r="B75" s="2082"/>
      <c r="C75" s="2082"/>
      <c r="K75" s="2071"/>
      <c r="O75" s="2365" t="s">
        <v>2386</v>
      </c>
      <c r="P75" s="2363" t="s">
        <v>2392</v>
      </c>
      <c r="Q75" s="2364">
        <f ca="1">L59</f>
        <v>0</v>
      </c>
      <c r="R75" s="2367" t="s">
        <v>2393</v>
      </c>
    </row>
    <row r="76" spans="1:18" s="2044" customFormat="1" ht="19.2" thickBot="1">
      <c r="A76" s="2081"/>
      <c r="B76" s="2082"/>
      <c r="C76" s="2082"/>
      <c r="K76" s="2071"/>
      <c r="O76" s="2365" t="s">
        <v>2415</v>
      </c>
      <c r="P76" s="2363" t="s">
        <v>2394</v>
      </c>
      <c r="Q76" s="2364">
        <f ca="1">L60</f>
        <v>0</v>
      </c>
      <c r="R76" s="2367" t="s">
        <v>2395</v>
      </c>
    </row>
    <row r="77" spans="1:18" s="2044" customFormat="1" ht="16.2" thickBot="1">
      <c r="A77" s="2081"/>
      <c r="B77" s="2082"/>
      <c r="C77" s="2082"/>
      <c r="K77" s="2071"/>
      <c r="O77" s="2362" t="s">
        <v>2389</v>
      </c>
      <c r="P77" s="2363" t="s">
        <v>2406</v>
      </c>
      <c r="Q77" s="2364" t="e">
        <f ca="1">Q67+Q68</f>
        <v>#DIV/0!</v>
      </c>
      <c r="R77" s="2367" t="s">
        <v>2390</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01"/>
  <sheetViews>
    <sheetView topLeftCell="A43" workbookViewId="0">
      <selection activeCell="I33" sqref="I33"/>
    </sheetView>
  </sheetViews>
  <sheetFormatPr defaultRowHeight="13.2"/>
  <cols>
    <col min="1" max="1" width="47.21875" style="3192" customWidth="1"/>
    <col min="2" max="2" width="6.21875" style="3192" customWidth="1"/>
    <col min="3" max="3" width="13.88671875" style="3192" customWidth="1"/>
    <col min="4" max="4" width="9.44140625" style="3192" customWidth="1"/>
    <col min="5" max="5" width="8.77734375" style="3192" customWidth="1"/>
    <col min="6" max="6" width="12.44140625" style="3192" customWidth="1"/>
    <col min="7" max="7" width="7.88671875" style="3192" customWidth="1"/>
    <col min="8" max="8" width="9" style="3192" customWidth="1"/>
    <col min="9" max="9" width="8" style="3192" customWidth="1"/>
    <col min="10" max="10" width="8.33203125" style="3192" customWidth="1"/>
    <col min="11" max="11" width="10.109375" style="3193" customWidth="1"/>
    <col min="12" max="12" width="6.21875" style="3192" customWidth="1"/>
    <col min="13" max="13" width="39.21875" style="3192" customWidth="1"/>
    <col min="14" max="14" width="7.88671875" style="3192" customWidth="1"/>
    <col min="15" max="256" width="9" style="3192"/>
    <col min="257" max="257" width="55.88671875" style="3192" customWidth="1"/>
    <col min="258" max="258" width="6.21875" style="3192" customWidth="1"/>
    <col min="259" max="261" width="13.88671875" style="3192" customWidth="1"/>
    <col min="262" max="262" width="24.21875" style="3192" customWidth="1"/>
    <col min="263" max="263" width="7.88671875" style="3192" customWidth="1"/>
    <col min="264" max="264" width="9" style="3192" customWidth="1"/>
    <col min="265" max="266" width="10.6640625" style="3192" customWidth="1"/>
    <col min="267" max="267" width="14.33203125" style="3192" customWidth="1"/>
    <col min="268" max="268" width="6.21875" style="3192" customWidth="1"/>
    <col min="269" max="269" width="39.21875" style="3192" customWidth="1"/>
    <col min="270" max="270" width="7.88671875" style="3192" customWidth="1"/>
    <col min="271" max="512" width="9" style="3192"/>
    <col min="513" max="513" width="55.88671875" style="3192" customWidth="1"/>
    <col min="514" max="514" width="6.21875" style="3192" customWidth="1"/>
    <col min="515" max="517" width="13.88671875" style="3192" customWidth="1"/>
    <col min="518" max="518" width="24.21875" style="3192" customWidth="1"/>
    <col min="519" max="519" width="7.88671875" style="3192" customWidth="1"/>
    <col min="520" max="520" width="9" style="3192" customWidth="1"/>
    <col min="521" max="522" width="10.6640625" style="3192" customWidth="1"/>
    <col min="523" max="523" width="14.33203125" style="3192" customWidth="1"/>
    <col min="524" max="524" width="6.21875" style="3192" customWidth="1"/>
    <col min="525" max="525" width="39.21875" style="3192" customWidth="1"/>
    <col min="526" max="526" width="7.88671875" style="3192" customWidth="1"/>
    <col min="527" max="768" width="9" style="3192"/>
    <col min="769" max="769" width="55.88671875" style="3192" customWidth="1"/>
    <col min="770" max="770" width="6.21875" style="3192" customWidth="1"/>
    <col min="771" max="773" width="13.88671875" style="3192" customWidth="1"/>
    <col min="774" max="774" width="24.21875" style="3192" customWidth="1"/>
    <col min="775" max="775" width="7.88671875" style="3192" customWidth="1"/>
    <col min="776" max="776" width="9" style="3192" customWidth="1"/>
    <col min="777" max="778" width="10.6640625" style="3192" customWidth="1"/>
    <col min="779" max="779" width="14.33203125" style="3192" customWidth="1"/>
    <col min="780" max="780" width="6.21875" style="3192" customWidth="1"/>
    <col min="781" max="781" width="39.21875" style="3192" customWidth="1"/>
    <col min="782" max="782" width="7.88671875" style="3192" customWidth="1"/>
    <col min="783" max="1024" width="9" style="3192"/>
    <col min="1025" max="1025" width="55.88671875" style="3192" customWidth="1"/>
    <col min="1026" max="1026" width="6.21875" style="3192" customWidth="1"/>
    <col min="1027" max="1029" width="13.88671875" style="3192" customWidth="1"/>
    <col min="1030" max="1030" width="24.21875" style="3192" customWidth="1"/>
    <col min="1031" max="1031" width="7.88671875" style="3192" customWidth="1"/>
    <col min="1032" max="1032" width="9" style="3192" customWidth="1"/>
    <col min="1033" max="1034" width="10.6640625" style="3192" customWidth="1"/>
    <col min="1035" max="1035" width="14.33203125" style="3192" customWidth="1"/>
    <col min="1036" max="1036" width="6.21875" style="3192" customWidth="1"/>
    <col min="1037" max="1037" width="39.21875" style="3192" customWidth="1"/>
    <col min="1038" max="1038" width="7.88671875" style="3192" customWidth="1"/>
    <col min="1039" max="1280" width="9" style="3192"/>
    <col min="1281" max="1281" width="55.88671875" style="3192" customWidth="1"/>
    <col min="1282" max="1282" width="6.21875" style="3192" customWidth="1"/>
    <col min="1283" max="1285" width="13.88671875" style="3192" customWidth="1"/>
    <col min="1286" max="1286" width="24.21875" style="3192" customWidth="1"/>
    <col min="1287" max="1287" width="7.88671875" style="3192" customWidth="1"/>
    <col min="1288" max="1288" width="9" style="3192" customWidth="1"/>
    <col min="1289" max="1290" width="10.6640625" style="3192" customWidth="1"/>
    <col min="1291" max="1291" width="14.33203125" style="3192" customWidth="1"/>
    <col min="1292" max="1292" width="6.21875" style="3192" customWidth="1"/>
    <col min="1293" max="1293" width="39.21875" style="3192" customWidth="1"/>
    <col min="1294" max="1294" width="7.88671875" style="3192" customWidth="1"/>
    <col min="1295" max="1536" width="9" style="3192"/>
    <col min="1537" max="1537" width="55.88671875" style="3192" customWidth="1"/>
    <col min="1538" max="1538" width="6.21875" style="3192" customWidth="1"/>
    <col min="1539" max="1541" width="13.88671875" style="3192" customWidth="1"/>
    <col min="1542" max="1542" width="24.21875" style="3192" customWidth="1"/>
    <col min="1543" max="1543" width="7.88671875" style="3192" customWidth="1"/>
    <col min="1544" max="1544" width="9" style="3192" customWidth="1"/>
    <col min="1545" max="1546" width="10.6640625" style="3192" customWidth="1"/>
    <col min="1547" max="1547" width="14.33203125" style="3192" customWidth="1"/>
    <col min="1548" max="1548" width="6.21875" style="3192" customWidth="1"/>
    <col min="1549" max="1549" width="39.21875" style="3192" customWidth="1"/>
    <col min="1550" max="1550" width="7.88671875" style="3192" customWidth="1"/>
    <col min="1551" max="1792" width="9" style="3192"/>
    <col min="1793" max="1793" width="55.88671875" style="3192" customWidth="1"/>
    <col min="1794" max="1794" width="6.21875" style="3192" customWidth="1"/>
    <col min="1795" max="1797" width="13.88671875" style="3192" customWidth="1"/>
    <col min="1798" max="1798" width="24.21875" style="3192" customWidth="1"/>
    <col min="1799" max="1799" width="7.88671875" style="3192" customWidth="1"/>
    <col min="1800" max="1800" width="9" style="3192" customWidth="1"/>
    <col min="1801" max="1802" width="10.6640625" style="3192" customWidth="1"/>
    <col min="1803" max="1803" width="14.33203125" style="3192" customWidth="1"/>
    <col min="1804" max="1804" width="6.21875" style="3192" customWidth="1"/>
    <col min="1805" max="1805" width="39.21875" style="3192" customWidth="1"/>
    <col min="1806" max="1806" width="7.88671875" style="3192" customWidth="1"/>
    <col min="1807" max="2048" width="9" style="3192"/>
    <col min="2049" max="2049" width="55.88671875" style="3192" customWidth="1"/>
    <col min="2050" max="2050" width="6.21875" style="3192" customWidth="1"/>
    <col min="2051" max="2053" width="13.88671875" style="3192" customWidth="1"/>
    <col min="2054" max="2054" width="24.21875" style="3192" customWidth="1"/>
    <col min="2055" max="2055" width="7.88671875" style="3192" customWidth="1"/>
    <col min="2056" max="2056" width="9" style="3192" customWidth="1"/>
    <col min="2057" max="2058" width="10.6640625" style="3192" customWidth="1"/>
    <col min="2059" max="2059" width="14.33203125" style="3192" customWidth="1"/>
    <col min="2060" max="2060" width="6.21875" style="3192" customWidth="1"/>
    <col min="2061" max="2061" width="39.21875" style="3192" customWidth="1"/>
    <col min="2062" max="2062" width="7.88671875" style="3192" customWidth="1"/>
    <col min="2063" max="2304" width="9" style="3192"/>
    <col min="2305" max="2305" width="55.88671875" style="3192" customWidth="1"/>
    <col min="2306" max="2306" width="6.21875" style="3192" customWidth="1"/>
    <col min="2307" max="2309" width="13.88671875" style="3192" customWidth="1"/>
    <col min="2310" max="2310" width="24.21875" style="3192" customWidth="1"/>
    <col min="2311" max="2311" width="7.88671875" style="3192" customWidth="1"/>
    <col min="2312" max="2312" width="9" style="3192" customWidth="1"/>
    <col min="2313" max="2314" width="10.6640625" style="3192" customWidth="1"/>
    <col min="2315" max="2315" width="14.33203125" style="3192" customWidth="1"/>
    <col min="2316" max="2316" width="6.21875" style="3192" customWidth="1"/>
    <col min="2317" max="2317" width="39.21875" style="3192" customWidth="1"/>
    <col min="2318" max="2318" width="7.88671875" style="3192" customWidth="1"/>
    <col min="2319" max="2560" width="9" style="3192"/>
    <col min="2561" max="2561" width="55.88671875" style="3192" customWidth="1"/>
    <col min="2562" max="2562" width="6.21875" style="3192" customWidth="1"/>
    <col min="2563" max="2565" width="13.88671875" style="3192" customWidth="1"/>
    <col min="2566" max="2566" width="24.21875" style="3192" customWidth="1"/>
    <col min="2567" max="2567" width="7.88671875" style="3192" customWidth="1"/>
    <col min="2568" max="2568" width="9" style="3192" customWidth="1"/>
    <col min="2569" max="2570" width="10.6640625" style="3192" customWidth="1"/>
    <col min="2571" max="2571" width="14.33203125" style="3192" customWidth="1"/>
    <col min="2572" max="2572" width="6.21875" style="3192" customWidth="1"/>
    <col min="2573" max="2573" width="39.21875" style="3192" customWidth="1"/>
    <col min="2574" max="2574" width="7.88671875" style="3192" customWidth="1"/>
    <col min="2575" max="2816" width="9" style="3192"/>
    <col min="2817" max="2817" width="55.88671875" style="3192" customWidth="1"/>
    <col min="2818" max="2818" width="6.21875" style="3192" customWidth="1"/>
    <col min="2819" max="2821" width="13.88671875" style="3192" customWidth="1"/>
    <col min="2822" max="2822" width="24.21875" style="3192" customWidth="1"/>
    <col min="2823" max="2823" width="7.88671875" style="3192" customWidth="1"/>
    <col min="2824" max="2824" width="9" style="3192" customWidth="1"/>
    <col min="2825" max="2826" width="10.6640625" style="3192" customWidth="1"/>
    <col min="2827" max="2827" width="14.33203125" style="3192" customWidth="1"/>
    <col min="2828" max="2828" width="6.21875" style="3192" customWidth="1"/>
    <col min="2829" max="2829" width="39.21875" style="3192" customWidth="1"/>
    <col min="2830" max="2830" width="7.88671875" style="3192" customWidth="1"/>
    <col min="2831" max="3072" width="9" style="3192"/>
    <col min="3073" max="3073" width="55.88671875" style="3192" customWidth="1"/>
    <col min="3074" max="3074" width="6.21875" style="3192" customWidth="1"/>
    <col min="3075" max="3077" width="13.88671875" style="3192" customWidth="1"/>
    <col min="3078" max="3078" width="24.21875" style="3192" customWidth="1"/>
    <col min="3079" max="3079" width="7.88671875" style="3192" customWidth="1"/>
    <col min="3080" max="3080" width="9" style="3192" customWidth="1"/>
    <col min="3081" max="3082" width="10.6640625" style="3192" customWidth="1"/>
    <col min="3083" max="3083" width="14.33203125" style="3192" customWidth="1"/>
    <col min="3084" max="3084" width="6.21875" style="3192" customWidth="1"/>
    <col min="3085" max="3085" width="39.21875" style="3192" customWidth="1"/>
    <col min="3086" max="3086" width="7.88671875" style="3192" customWidth="1"/>
    <col min="3087" max="3328" width="9" style="3192"/>
    <col min="3329" max="3329" width="55.88671875" style="3192" customWidth="1"/>
    <col min="3330" max="3330" width="6.21875" style="3192" customWidth="1"/>
    <col min="3331" max="3333" width="13.88671875" style="3192" customWidth="1"/>
    <col min="3334" max="3334" width="24.21875" style="3192" customWidth="1"/>
    <col min="3335" max="3335" width="7.88671875" style="3192" customWidth="1"/>
    <col min="3336" max="3336" width="9" style="3192" customWidth="1"/>
    <col min="3337" max="3338" width="10.6640625" style="3192" customWidth="1"/>
    <col min="3339" max="3339" width="14.33203125" style="3192" customWidth="1"/>
    <col min="3340" max="3340" width="6.21875" style="3192" customWidth="1"/>
    <col min="3341" max="3341" width="39.21875" style="3192" customWidth="1"/>
    <col min="3342" max="3342" width="7.88671875" style="3192" customWidth="1"/>
    <col min="3343" max="3584" width="9" style="3192"/>
    <col min="3585" max="3585" width="55.88671875" style="3192" customWidth="1"/>
    <col min="3586" max="3586" width="6.21875" style="3192" customWidth="1"/>
    <col min="3587" max="3589" width="13.88671875" style="3192" customWidth="1"/>
    <col min="3590" max="3590" width="24.21875" style="3192" customWidth="1"/>
    <col min="3591" max="3591" width="7.88671875" style="3192" customWidth="1"/>
    <col min="3592" max="3592" width="9" style="3192" customWidth="1"/>
    <col min="3593" max="3594" width="10.6640625" style="3192" customWidth="1"/>
    <col min="3595" max="3595" width="14.33203125" style="3192" customWidth="1"/>
    <col min="3596" max="3596" width="6.21875" style="3192" customWidth="1"/>
    <col min="3597" max="3597" width="39.21875" style="3192" customWidth="1"/>
    <col min="3598" max="3598" width="7.88671875" style="3192" customWidth="1"/>
    <col min="3599" max="3840" width="9" style="3192"/>
    <col min="3841" max="3841" width="55.88671875" style="3192" customWidth="1"/>
    <col min="3842" max="3842" width="6.21875" style="3192" customWidth="1"/>
    <col min="3843" max="3845" width="13.88671875" style="3192" customWidth="1"/>
    <col min="3846" max="3846" width="24.21875" style="3192" customWidth="1"/>
    <col min="3847" max="3847" width="7.88671875" style="3192" customWidth="1"/>
    <col min="3848" max="3848" width="9" style="3192" customWidth="1"/>
    <col min="3849" max="3850" width="10.6640625" style="3192" customWidth="1"/>
    <col min="3851" max="3851" width="14.33203125" style="3192" customWidth="1"/>
    <col min="3852" max="3852" width="6.21875" style="3192" customWidth="1"/>
    <col min="3853" max="3853" width="39.21875" style="3192" customWidth="1"/>
    <col min="3854" max="3854" width="7.88671875" style="3192" customWidth="1"/>
    <col min="3855" max="4096" width="9" style="3192"/>
    <col min="4097" max="4097" width="55.88671875" style="3192" customWidth="1"/>
    <col min="4098" max="4098" width="6.21875" style="3192" customWidth="1"/>
    <col min="4099" max="4101" width="13.88671875" style="3192" customWidth="1"/>
    <col min="4102" max="4102" width="24.21875" style="3192" customWidth="1"/>
    <col min="4103" max="4103" width="7.88671875" style="3192" customWidth="1"/>
    <col min="4104" max="4104" width="9" style="3192" customWidth="1"/>
    <col min="4105" max="4106" width="10.6640625" style="3192" customWidth="1"/>
    <col min="4107" max="4107" width="14.33203125" style="3192" customWidth="1"/>
    <col min="4108" max="4108" width="6.21875" style="3192" customWidth="1"/>
    <col min="4109" max="4109" width="39.21875" style="3192" customWidth="1"/>
    <col min="4110" max="4110" width="7.88671875" style="3192" customWidth="1"/>
    <col min="4111" max="4352" width="9" style="3192"/>
    <col min="4353" max="4353" width="55.88671875" style="3192" customWidth="1"/>
    <col min="4354" max="4354" width="6.21875" style="3192" customWidth="1"/>
    <col min="4355" max="4357" width="13.88671875" style="3192" customWidth="1"/>
    <col min="4358" max="4358" width="24.21875" style="3192" customWidth="1"/>
    <col min="4359" max="4359" width="7.88671875" style="3192" customWidth="1"/>
    <col min="4360" max="4360" width="9" style="3192" customWidth="1"/>
    <col min="4361" max="4362" width="10.6640625" style="3192" customWidth="1"/>
    <col min="4363" max="4363" width="14.33203125" style="3192" customWidth="1"/>
    <col min="4364" max="4364" width="6.21875" style="3192" customWidth="1"/>
    <col min="4365" max="4365" width="39.21875" style="3192" customWidth="1"/>
    <col min="4366" max="4366" width="7.88671875" style="3192" customWidth="1"/>
    <col min="4367" max="4608" width="9" style="3192"/>
    <col min="4609" max="4609" width="55.88671875" style="3192" customWidth="1"/>
    <col min="4610" max="4610" width="6.21875" style="3192" customWidth="1"/>
    <col min="4611" max="4613" width="13.88671875" style="3192" customWidth="1"/>
    <col min="4614" max="4614" width="24.21875" style="3192" customWidth="1"/>
    <col min="4615" max="4615" width="7.88671875" style="3192" customWidth="1"/>
    <col min="4616" max="4616" width="9" style="3192" customWidth="1"/>
    <col min="4617" max="4618" width="10.6640625" style="3192" customWidth="1"/>
    <col min="4619" max="4619" width="14.33203125" style="3192" customWidth="1"/>
    <col min="4620" max="4620" width="6.21875" style="3192" customWidth="1"/>
    <col min="4621" max="4621" width="39.21875" style="3192" customWidth="1"/>
    <col min="4622" max="4622" width="7.88671875" style="3192" customWidth="1"/>
    <col min="4623" max="4864" width="9" style="3192"/>
    <col min="4865" max="4865" width="55.88671875" style="3192" customWidth="1"/>
    <col min="4866" max="4866" width="6.21875" style="3192" customWidth="1"/>
    <col min="4867" max="4869" width="13.88671875" style="3192" customWidth="1"/>
    <col min="4870" max="4870" width="24.21875" style="3192" customWidth="1"/>
    <col min="4871" max="4871" width="7.88671875" style="3192" customWidth="1"/>
    <col min="4872" max="4872" width="9" style="3192" customWidth="1"/>
    <col min="4873" max="4874" width="10.6640625" style="3192" customWidth="1"/>
    <col min="4875" max="4875" width="14.33203125" style="3192" customWidth="1"/>
    <col min="4876" max="4876" width="6.21875" style="3192" customWidth="1"/>
    <col min="4877" max="4877" width="39.21875" style="3192" customWidth="1"/>
    <col min="4878" max="4878" width="7.88671875" style="3192" customWidth="1"/>
    <col min="4879" max="5120" width="9" style="3192"/>
    <col min="5121" max="5121" width="55.88671875" style="3192" customWidth="1"/>
    <col min="5122" max="5122" width="6.21875" style="3192" customWidth="1"/>
    <col min="5123" max="5125" width="13.88671875" style="3192" customWidth="1"/>
    <col min="5126" max="5126" width="24.21875" style="3192" customWidth="1"/>
    <col min="5127" max="5127" width="7.88671875" style="3192" customWidth="1"/>
    <col min="5128" max="5128" width="9" style="3192" customWidth="1"/>
    <col min="5129" max="5130" width="10.6640625" style="3192" customWidth="1"/>
    <col min="5131" max="5131" width="14.33203125" style="3192" customWidth="1"/>
    <col min="5132" max="5132" width="6.21875" style="3192" customWidth="1"/>
    <col min="5133" max="5133" width="39.21875" style="3192" customWidth="1"/>
    <col min="5134" max="5134" width="7.88671875" style="3192" customWidth="1"/>
    <col min="5135" max="5376" width="9" style="3192"/>
    <col min="5377" max="5377" width="55.88671875" style="3192" customWidth="1"/>
    <col min="5378" max="5378" width="6.21875" style="3192" customWidth="1"/>
    <col min="5379" max="5381" width="13.88671875" style="3192" customWidth="1"/>
    <col min="5382" max="5382" width="24.21875" style="3192" customWidth="1"/>
    <col min="5383" max="5383" width="7.88671875" style="3192" customWidth="1"/>
    <col min="5384" max="5384" width="9" style="3192" customWidth="1"/>
    <col min="5385" max="5386" width="10.6640625" style="3192" customWidth="1"/>
    <col min="5387" max="5387" width="14.33203125" style="3192" customWidth="1"/>
    <col min="5388" max="5388" width="6.21875" style="3192" customWidth="1"/>
    <col min="5389" max="5389" width="39.21875" style="3192" customWidth="1"/>
    <col min="5390" max="5390" width="7.88671875" style="3192" customWidth="1"/>
    <col min="5391" max="5632" width="9" style="3192"/>
    <col min="5633" max="5633" width="55.88671875" style="3192" customWidth="1"/>
    <col min="5634" max="5634" width="6.21875" style="3192" customWidth="1"/>
    <col min="5635" max="5637" width="13.88671875" style="3192" customWidth="1"/>
    <col min="5638" max="5638" width="24.21875" style="3192" customWidth="1"/>
    <col min="5639" max="5639" width="7.88671875" style="3192" customWidth="1"/>
    <col min="5640" max="5640" width="9" style="3192" customWidth="1"/>
    <col min="5641" max="5642" width="10.6640625" style="3192" customWidth="1"/>
    <col min="5643" max="5643" width="14.33203125" style="3192" customWidth="1"/>
    <col min="5644" max="5644" width="6.21875" style="3192" customWidth="1"/>
    <col min="5645" max="5645" width="39.21875" style="3192" customWidth="1"/>
    <col min="5646" max="5646" width="7.88671875" style="3192" customWidth="1"/>
    <col min="5647" max="5888" width="9" style="3192"/>
    <col min="5889" max="5889" width="55.88671875" style="3192" customWidth="1"/>
    <col min="5890" max="5890" width="6.21875" style="3192" customWidth="1"/>
    <col min="5891" max="5893" width="13.88671875" style="3192" customWidth="1"/>
    <col min="5894" max="5894" width="24.21875" style="3192" customWidth="1"/>
    <col min="5895" max="5895" width="7.88671875" style="3192" customWidth="1"/>
    <col min="5896" max="5896" width="9" style="3192" customWidth="1"/>
    <col min="5897" max="5898" width="10.6640625" style="3192" customWidth="1"/>
    <col min="5899" max="5899" width="14.33203125" style="3192" customWidth="1"/>
    <col min="5900" max="5900" width="6.21875" style="3192" customWidth="1"/>
    <col min="5901" max="5901" width="39.21875" style="3192" customWidth="1"/>
    <col min="5902" max="5902" width="7.88671875" style="3192" customWidth="1"/>
    <col min="5903" max="6144" width="9" style="3192"/>
    <col min="6145" max="6145" width="55.88671875" style="3192" customWidth="1"/>
    <col min="6146" max="6146" width="6.21875" style="3192" customWidth="1"/>
    <col min="6147" max="6149" width="13.88671875" style="3192" customWidth="1"/>
    <col min="6150" max="6150" width="24.21875" style="3192" customWidth="1"/>
    <col min="6151" max="6151" width="7.88671875" style="3192" customWidth="1"/>
    <col min="6152" max="6152" width="9" style="3192" customWidth="1"/>
    <col min="6153" max="6154" width="10.6640625" style="3192" customWidth="1"/>
    <col min="6155" max="6155" width="14.33203125" style="3192" customWidth="1"/>
    <col min="6156" max="6156" width="6.21875" style="3192" customWidth="1"/>
    <col min="6157" max="6157" width="39.21875" style="3192" customWidth="1"/>
    <col min="6158" max="6158" width="7.88671875" style="3192" customWidth="1"/>
    <col min="6159" max="6400" width="9" style="3192"/>
    <col min="6401" max="6401" width="55.88671875" style="3192" customWidth="1"/>
    <col min="6402" max="6402" width="6.21875" style="3192" customWidth="1"/>
    <col min="6403" max="6405" width="13.88671875" style="3192" customWidth="1"/>
    <col min="6406" max="6406" width="24.21875" style="3192" customWidth="1"/>
    <col min="6407" max="6407" width="7.88671875" style="3192" customWidth="1"/>
    <col min="6408" max="6408" width="9" style="3192" customWidth="1"/>
    <col min="6409" max="6410" width="10.6640625" style="3192" customWidth="1"/>
    <col min="6411" max="6411" width="14.33203125" style="3192" customWidth="1"/>
    <col min="6412" max="6412" width="6.21875" style="3192" customWidth="1"/>
    <col min="6413" max="6413" width="39.21875" style="3192" customWidth="1"/>
    <col min="6414" max="6414" width="7.88671875" style="3192" customWidth="1"/>
    <col min="6415" max="6656" width="9" style="3192"/>
    <col min="6657" max="6657" width="55.88671875" style="3192" customWidth="1"/>
    <col min="6658" max="6658" width="6.21875" style="3192" customWidth="1"/>
    <col min="6659" max="6661" width="13.88671875" style="3192" customWidth="1"/>
    <col min="6662" max="6662" width="24.21875" style="3192" customWidth="1"/>
    <col min="6663" max="6663" width="7.88671875" style="3192" customWidth="1"/>
    <col min="6664" max="6664" width="9" style="3192" customWidth="1"/>
    <col min="6665" max="6666" width="10.6640625" style="3192" customWidth="1"/>
    <col min="6667" max="6667" width="14.33203125" style="3192" customWidth="1"/>
    <col min="6668" max="6668" width="6.21875" style="3192" customWidth="1"/>
    <col min="6669" max="6669" width="39.21875" style="3192" customWidth="1"/>
    <col min="6670" max="6670" width="7.88671875" style="3192" customWidth="1"/>
    <col min="6671" max="6912" width="9" style="3192"/>
    <col min="6913" max="6913" width="55.88671875" style="3192" customWidth="1"/>
    <col min="6914" max="6914" width="6.21875" style="3192" customWidth="1"/>
    <col min="6915" max="6917" width="13.88671875" style="3192" customWidth="1"/>
    <col min="6918" max="6918" width="24.21875" style="3192" customWidth="1"/>
    <col min="6919" max="6919" width="7.88671875" style="3192" customWidth="1"/>
    <col min="6920" max="6920" width="9" style="3192" customWidth="1"/>
    <col min="6921" max="6922" width="10.6640625" style="3192" customWidth="1"/>
    <col min="6923" max="6923" width="14.33203125" style="3192" customWidth="1"/>
    <col min="6924" max="6924" width="6.21875" style="3192" customWidth="1"/>
    <col min="6925" max="6925" width="39.21875" style="3192" customWidth="1"/>
    <col min="6926" max="6926" width="7.88671875" style="3192" customWidth="1"/>
    <col min="6927" max="7168" width="9" style="3192"/>
    <col min="7169" max="7169" width="55.88671875" style="3192" customWidth="1"/>
    <col min="7170" max="7170" width="6.21875" style="3192" customWidth="1"/>
    <col min="7171" max="7173" width="13.88671875" style="3192" customWidth="1"/>
    <col min="7174" max="7174" width="24.21875" style="3192" customWidth="1"/>
    <col min="7175" max="7175" width="7.88671875" style="3192" customWidth="1"/>
    <col min="7176" max="7176" width="9" style="3192" customWidth="1"/>
    <col min="7177" max="7178" width="10.6640625" style="3192" customWidth="1"/>
    <col min="7179" max="7179" width="14.33203125" style="3192" customWidth="1"/>
    <col min="7180" max="7180" width="6.21875" style="3192" customWidth="1"/>
    <col min="7181" max="7181" width="39.21875" style="3192" customWidth="1"/>
    <col min="7182" max="7182" width="7.88671875" style="3192" customWidth="1"/>
    <col min="7183" max="7424" width="9" style="3192"/>
    <col min="7425" max="7425" width="55.88671875" style="3192" customWidth="1"/>
    <col min="7426" max="7426" width="6.21875" style="3192" customWidth="1"/>
    <col min="7427" max="7429" width="13.88671875" style="3192" customWidth="1"/>
    <col min="7430" max="7430" width="24.21875" style="3192" customWidth="1"/>
    <col min="7431" max="7431" width="7.88671875" style="3192" customWidth="1"/>
    <col min="7432" max="7432" width="9" style="3192" customWidth="1"/>
    <col min="7433" max="7434" width="10.6640625" style="3192" customWidth="1"/>
    <col min="7435" max="7435" width="14.33203125" style="3192" customWidth="1"/>
    <col min="7436" max="7436" width="6.21875" style="3192" customWidth="1"/>
    <col min="7437" max="7437" width="39.21875" style="3192" customWidth="1"/>
    <col min="7438" max="7438" width="7.88671875" style="3192" customWidth="1"/>
    <col min="7439" max="7680" width="9" style="3192"/>
    <col min="7681" max="7681" width="55.88671875" style="3192" customWidth="1"/>
    <col min="7682" max="7682" width="6.21875" style="3192" customWidth="1"/>
    <col min="7683" max="7685" width="13.88671875" style="3192" customWidth="1"/>
    <col min="7686" max="7686" width="24.21875" style="3192" customWidth="1"/>
    <col min="7687" max="7687" width="7.88671875" style="3192" customWidth="1"/>
    <col min="7688" max="7688" width="9" style="3192" customWidth="1"/>
    <col min="7689" max="7690" width="10.6640625" style="3192" customWidth="1"/>
    <col min="7691" max="7691" width="14.33203125" style="3192" customWidth="1"/>
    <col min="7692" max="7692" width="6.21875" style="3192" customWidth="1"/>
    <col min="7693" max="7693" width="39.21875" style="3192" customWidth="1"/>
    <col min="7694" max="7694" width="7.88671875" style="3192" customWidth="1"/>
    <col min="7695" max="7936" width="9" style="3192"/>
    <col min="7937" max="7937" width="55.88671875" style="3192" customWidth="1"/>
    <col min="7938" max="7938" width="6.21875" style="3192" customWidth="1"/>
    <col min="7939" max="7941" width="13.88671875" style="3192" customWidth="1"/>
    <col min="7942" max="7942" width="24.21875" style="3192" customWidth="1"/>
    <col min="7943" max="7943" width="7.88671875" style="3192" customWidth="1"/>
    <col min="7944" max="7944" width="9" style="3192" customWidth="1"/>
    <col min="7945" max="7946" width="10.6640625" style="3192" customWidth="1"/>
    <col min="7947" max="7947" width="14.33203125" style="3192" customWidth="1"/>
    <col min="7948" max="7948" width="6.21875" style="3192" customWidth="1"/>
    <col min="7949" max="7949" width="39.21875" style="3192" customWidth="1"/>
    <col min="7950" max="7950" width="7.88671875" style="3192" customWidth="1"/>
    <col min="7951" max="8192" width="9" style="3192"/>
    <col min="8193" max="8193" width="55.88671875" style="3192" customWidth="1"/>
    <col min="8194" max="8194" width="6.21875" style="3192" customWidth="1"/>
    <col min="8195" max="8197" width="13.88671875" style="3192" customWidth="1"/>
    <col min="8198" max="8198" width="24.21875" style="3192" customWidth="1"/>
    <col min="8199" max="8199" width="7.88671875" style="3192" customWidth="1"/>
    <col min="8200" max="8200" width="9" style="3192" customWidth="1"/>
    <col min="8201" max="8202" width="10.6640625" style="3192" customWidth="1"/>
    <col min="8203" max="8203" width="14.33203125" style="3192" customWidth="1"/>
    <col min="8204" max="8204" width="6.21875" style="3192" customWidth="1"/>
    <col min="8205" max="8205" width="39.21875" style="3192" customWidth="1"/>
    <col min="8206" max="8206" width="7.88671875" style="3192" customWidth="1"/>
    <col min="8207" max="8448" width="9" style="3192"/>
    <col min="8449" max="8449" width="55.88671875" style="3192" customWidth="1"/>
    <col min="8450" max="8450" width="6.21875" style="3192" customWidth="1"/>
    <col min="8451" max="8453" width="13.88671875" style="3192" customWidth="1"/>
    <col min="8454" max="8454" width="24.21875" style="3192" customWidth="1"/>
    <col min="8455" max="8455" width="7.88671875" style="3192" customWidth="1"/>
    <col min="8456" max="8456" width="9" style="3192" customWidth="1"/>
    <col min="8457" max="8458" width="10.6640625" style="3192" customWidth="1"/>
    <col min="8459" max="8459" width="14.33203125" style="3192" customWidth="1"/>
    <col min="8460" max="8460" width="6.21875" style="3192" customWidth="1"/>
    <col min="8461" max="8461" width="39.21875" style="3192" customWidth="1"/>
    <col min="8462" max="8462" width="7.88671875" style="3192" customWidth="1"/>
    <col min="8463" max="8704" width="9" style="3192"/>
    <col min="8705" max="8705" width="55.88671875" style="3192" customWidth="1"/>
    <col min="8706" max="8706" width="6.21875" style="3192" customWidth="1"/>
    <col min="8707" max="8709" width="13.88671875" style="3192" customWidth="1"/>
    <col min="8710" max="8710" width="24.21875" style="3192" customWidth="1"/>
    <col min="8711" max="8711" width="7.88671875" style="3192" customWidth="1"/>
    <col min="8712" max="8712" width="9" style="3192" customWidth="1"/>
    <col min="8713" max="8714" width="10.6640625" style="3192" customWidth="1"/>
    <col min="8715" max="8715" width="14.33203125" style="3192" customWidth="1"/>
    <col min="8716" max="8716" width="6.21875" style="3192" customWidth="1"/>
    <col min="8717" max="8717" width="39.21875" style="3192" customWidth="1"/>
    <col min="8718" max="8718" width="7.88671875" style="3192" customWidth="1"/>
    <col min="8719" max="8960" width="9" style="3192"/>
    <col min="8961" max="8961" width="55.88671875" style="3192" customWidth="1"/>
    <col min="8962" max="8962" width="6.21875" style="3192" customWidth="1"/>
    <col min="8963" max="8965" width="13.88671875" style="3192" customWidth="1"/>
    <col min="8966" max="8966" width="24.21875" style="3192" customWidth="1"/>
    <col min="8967" max="8967" width="7.88671875" style="3192" customWidth="1"/>
    <col min="8968" max="8968" width="9" style="3192" customWidth="1"/>
    <col min="8969" max="8970" width="10.6640625" style="3192" customWidth="1"/>
    <col min="8971" max="8971" width="14.33203125" style="3192" customWidth="1"/>
    <col min="8972" max="8972" width="6.21875" style="3192" customWidth="1"/>
    <col min="8973" max="8973" width="39.21875" style="3192" customWidth="1"/>
    <col min="8974" max="8974" width="7.88671875" style="3192" customWidth="1"/>
    <col min="8975" max="9216" width="9" style="3192"/>
    <col min="9217" max="9217" width="55.88671875" style="3192" customWidth="1"/>
    <col min="9218" max="9218" width="6.21875" style="3192" customWidth="1"/>
    <col min="9219" max="9221" width="13.88671875" style="3192" customWidth="1"/>
    <col min="9222" max="9222" width="24.21875" style="3192" customWidth="1"/>
    <col min="9223" max="9223" width="7.88671875" style="3192" customWidth="1"/>
    <col min="9224" max="9224" width="9" style="3192" customWidth="1"/>
    <col min="9225" max="9226" width="10.6640625" style="3192" customWidth="1"/>
    <col min="9227" max="9227" width="14.33203125" style="3192" customWidth="1"/>
    <col min="9228" max="9228" width="6.21875" style="3192" customWidth="1"/>
    <col min="9229" max="9229" width="39.21875" style="3192" customWidth="1"/>
    <col min="9230" max="9230" width="7.88671875" style="3192" customWidth="1"/>
    <col min="9231" max="9472" width="9" style="3192"/>
    <col min="9473" max="9473" width="55.88671875" style="3192" customWidth="1"/>
    <col min="9474" max="9474" width="6.21875" style="3192" customWidth="1"/>
    <col min="9475" max="9477" width="13.88671875" style="3192" customWidth="1"/>
    <col min="9478" max="9478" width="24.21875" style="3192" customWidth="1"/>
    <col min="9479" max="9479" width="7.88671875" style="3192" customWidth="1"/>
    <col min="9480" max="9480" width="9" style="3192" customWidth="1"/>
    <col min="9481" max="9482" width="10.6640625" style="3192" customWidth="1"/>
    <col min="9483" max="9483" width="14.33203125" style="3192" customWidth="1"/>
    <col min="9484" max="9484" width="6.21875" style="3192" customWidth="1"/>
    <col min="9485" max="9485" width="39.21875" style="3192" customWidth="1"/>
    <col min="9486" max="9486" width="7.88671875" style="3192" customWidth="1"/>
    <col min="9487" max="9728" width="9" style="3192"/>
    <col min="9729" max="9729" width="55.88671875" style="3192" customWidth="1"/>
    <col min="9730" max="9730" width="6.21875" style="3192" customWidth="1"/>
    <col min="9731" max="9733" width="13.88671875" style="3192" customWidth="1"/>
    <col min="9734" max="9734" width="24.21875" style="3192" customWidth="1"/>
    <col min="9735" max="9735" width="7.88671875" style="3192" customWidth="1"/>
    <col min="9736" max="9736" width="9" style="3192" customWidth="1"/>
    <col min="9737" max="9738" width="10.6640625" style="3192" customWidth="1"/>
    <col min="9739" max="9739" width="14.33203125" style="3192" customWidth="1"/>
    <col min="9740" max="9740" width="6.21875" style="3192" customWidth="1"/>
    <col min="9741" max="9741" width="39.21875" style="3192" customWidth="1"/>
    <col min="9742" max="9742" width="7.88671875" style="3192" customWidth="1"/>
    <col min="9743" max="9984" width="9" style="3192"/>
    <col min="9985" max="9985" width="55.88671875" style="3192" customWidth="1"/>
    <col min="9986" max="9986" width="6.21875" style="3192" customWidth="1"/>
    <col min="9987" max="9989" width="13.88671875" style="3192" customWidth="1"/>
    <col min="9990" max="9990" width="24.21875" style="3192" customWidth="1"/>
    <col min="9991" max="9991" width="7.88671875" style="3192" customWidth="1"/>
    <col min="9992" max="9992" width="9" style="3192" customWidth="1"/>
    <col min="9993" max="9994" width="10.6640625" style="3192" customWidth="1"/>
    <col min="9995" max="9995" width="14.33203125" style="3192" customWidth="1"/>
    <col min="9996" max="9996" width="6.21875" style="3192" customWidth="1"/>
    <col min="9997" max="9997" width="39.21875" style="3192" customWidth="1"/>
    <col min="9998" max="9998" width="7.88671875" style="3192" customWidth="1"/>
    <col min="9999" max="10240" width="9" style="3192"/>
    <col min="10241" max="10241" width="55.88671875" style="3192" customWidth="1"/>
    <col min="10242" max="10242" width="6.21875" style="3192" customWidth="1"/>
    <col min="10243" max="10245" width="13.88671875" style="3192" customWidth="1"/>
    <col min="10246" max="10246" width="24.21875" style="3192" customWidth="1"/>
    <col min="10247" max="10247" width="7.88671875" style="3192" customWidth="1"/>
    <col min="10248" max="10248" width="9" style="3192" customWidth="1"/>
    <col min="10249" max="10250" width="10.6640625" style="3192" customWidth="1"/>
    <col min="10251" max="10251" width="14.33203125" style="3192" customWidth="1"/>
    <col min="10252" max="10252" width="6.21875" style="3192" customWidth="1"/>
    <col min="10253" max="10253" width="39.21875" style="3192" customWidth="1"/>
    <col min="10254" max="10254" width="7.88671875" style="3192" customWidth="1"/>
    <col min="10255" max="10496" width="9" style="3192"/>
    <col min="10497" max="10497" width="55.88671875" style="3192" customWidth="1"/>
    <col min="10498" max="10498" width="6.21875" style="3192" customWidth="1"/>
    <col min="10499" max="10501" width="13.88671875" style="3192" customWidth="1"/>
    <col min="10502" max="10502" width="24.21875" style="3192" customWidth="1"/>
    <col min="10503" max="10503" width="7.88671875" style="3192" customWidth="1"/>
    <col min="10504" max="10504" width="9" style="3192" customWidth="1"/>
    <col min="10505" max="10506" width="10.6640625" style="3192" customWidth="1"/>
    <col min="10507" max="10507" width="14.33203125" style="3192" customWidth="1"/>
    <col min="10508" max="10508" width="6.21875" style="3192" customWidth="1"/>
    <col min="10509" max="10509" width="39.21875" style="3192" customWidth="1"/>
    <col min="10510" max="10510" width="7.88671875" style="3192" customWidth="1"/>
    <col min="10511" max="10752" width="9" style="3192"/>
    <col min="10753" max="10753" width="55.88671875" style="3192" customWidth="1"/>
    <col min="10754" max="10754" width="6.21875" style="3192" customWidth="1"/>
    <col min="10755" max="10757" width="13.88671875" style="3192" customWidth="1"/>
    <col min="10758" max="10758" width="24.21875" style="3192" customWidth="1"/>
    <col min="10759" max="10759" width="7.88671875" style="3192" customWidth="1"/>
    <col min="10760" max="10760" width="9" style="3192" customWidth="1"/>
    <col min="10761" max="10762" width="10.6640625" style="3192" customWidth="1"/>
    <col min="10763" max="10763" width="14.33203125" style="3192" customWidth="1"/>
    <col min="10764" max="10764" width="6.21875" style="3192" customWidth="1"/>
    <col min="10765" max="10765" width="39.21875" style="3192" customWidth="1"/>
    <col min="10766" max="10766" width="7.88671875" style="3192" customWidth="1"/>
    <col min="10767" max="11008" width="9" style="3192"/>
    <col min="11009" max="11009" width="55.88671875" style="3192" customWidth="1"/>
    <col min="11010" max="11010" width="6.21875" style="3192" customWidth="1"/>
    <col min="11011" max="11013" width="13.88671875" style="3192" customWidth="1"/>
    <col min="11014" max="11014" width="24.21875" style="3192" customWidth="1"/>
    <col min="11015" max="11015" width="7.88671875" style="3192" customWidth="1"/>
    <col min="11016" max="11016" width="9" style="3192" customWidth="1"/>
    <col min="11017" max="11018" width="10.6640625" style="3192" customWidth="1"/>
    <col min="11019" max="11019" width="14.33203125" style="3192" customWidth="1"/>
    <col min="11020" max="11020" width="6.21875" style="3192" customWidth="1"/>
    <col min="11021" max="11021" width="39.21875" style="3192" customWidth="1"/>
    <col min="11022" max="11022" width="7.88671875" style="3192" customWidth="1"/>
    <col min="11023" max="11264" width="9" style="3192"/>
    <col min="11265" max="11265" width="55.88671875" style="3192" customWidth="1"/>
    <col min="11266" max="11266" width="6.21875" style="3192" customWidth="1"/>
    <col min="11267" max="11269" width="13.88671875" style="3192" customWidth="1"/>
    <col min="11270" max="11270" width="24.21875" style="3192" customWidth="1"/>
    <col min="11271" max="11271" width="7.88671875" style="3192" customWidth="1"/>
    <col min="11272" max="11272" width="9" style="3192" customWidth="1"/>
    <col min="11273" max="11274" width="10.6640625" style="3192" customWidth="1"/>
    <col min="11275" max="11275" width="14.33203125" style="3192" customWidth="1"/>
    <col min="11276" max="11276" width="6.21875" style="3192" customWidth="1"/>
    <col min="11277" max="11277" width="39.21875" style="3192" customWidth="1"/>
    <col min="11278" max="11278" width="7.88671875" style="3192" customWidth="1"/>
    <col min="11279" max="11520" width="9" style="3192"/>
    <col min="11521" max="11521" width="55.88671875" style="3192" customWidth="1"/>
    <col min="11522" max="11522" width="6.21875" style="3192" customWidth="1"/>
    <col min="11523" max="11525" width="13.88671875" style="3192" customWidth="1"/>
    <col min="11526" max="11526" width="24.21875" style="3192" customWidth="1"/>
    <col min="11527" max="11527" width="7.88671875" style="3192" customWidth="1"/>
    <col min="11528" max="11528" width="9" style="3192" customWidth="1"/>
    <col min="11529" max="11530" width="10.6640625" style="3192" customWidth="1"/>
    <col min="11531" max="11531" width="14.33203125" style="3192" customWidth="1"/>
    <col min="11532" max="11532" width="6.21875" style="3192" customWidth="1"/>
    <col min="11533" max="11533" width="39.21875" style="3192" customWidth="1"/>
    <col min="11534" max="11534" width="7.88671875" style="3192" customWidth="1"/>
    <col min="11535" max="11776" width="9" style="3192"/>
    <col min="11777" max="11777" width="55.88671875" style="3192" customWidth="1"/>
    <col min="11778" max="11778" width="6.21875" style="3192" customWidth="1"/>
    <col min="11779" max="11781" width="13.88671875" style="3192" customWidth="1"/>
    <col min="11782" max="11782" width="24.21875" style="3192" customWidth="1"/>
    <col min="11783" max="11783" width="7.88671875" style="3192" customWidth="1"/>
    <col min="11784" max="11784" width="9" style="3192" customWidth="1"/>
    <col min="11785" max="11786" width="10.6640625" style="3192" customWidth="1"/>
    <col min="11787" max="11787" width="14.33203125" style="3192" customWidth="1"/>
    <col min="11788" max="11788" width="6.21875" style="3192" customWidth="1"/>
    <col min="11789" max="11789" width="39.21875" style="3192" customWidth="1"/>
    <col min="11790" max="11790" width="7.88671875" style="3192" customWidth="1"/>
    <col min="11791" max="12032" width="9" style="3192"/>
    <col min="12033" max="12033" width="55.88671875" style="3192" customWidth="1"/>
    <col min="12034" max="12034" width="6.21875" style="3192" customWidth="1"/>
    <col min="12035" max="12037" width="13.88671875" style="3192" customWidth="1"/>
    <col min="12038" max="12038" width="24.21875" style="3192" customWidth="1"/>
    <col min="12039" max="12039" width="7.88671875" style="3192" customWidth="1"/>
    <col min="12040" max="12040" width="9" style="3192" customWidth="1"/>
    <col min="12041" max="12042" width="10.6640625" style="3192" customWidth="1"/>
    <col min="12043" max="12043" width="14.33203125" style="3192" customWidth="1"/>
    <col min="12044" max="12044" width="6.21875" style="3192" customWidth="1"/>
    <col min="12045" max="12045" width="39.21875" style="3192" customWidth="1"/>
    <col min="12046" max="12046" width="7.88671875" style="3192" customWidth="1"/>
    <col min="12047" max="12288" width="9" style="3192"/>
    <col min="12289" max="12289" width="55.88671875" style="3192" customWidth="1"/>
    <col min="12290" max="12290" width="6.21875" style="3192" customWidth="1"/>
    <col min="12291" max="12293" width="13.88671875" style="3192" customWidth="1"/>
    <col min="12294" max="12294" width="24.21875" style="3192" customWidth="1"/>
    <col min="12295" max="12295" width="7.88671875" style="3192" customWidth="1"/>
    <col min="12296" max="12296" width="9" style="3192" customWidth="1"/>
    <col min="12297" max="12298" width="10.6640625" style="3192" customWidth="1"/>
    <col min="12299" max="12299" width="14.33203125" style="3192" customWidth="1"/>
    <col min="12300" max="12300" width="6.21875" style="3192" customWidth="1"/>
    <col min="12301" max="12301" width="39.21875" style="3192" customWidth="1"/>
    <col min="12302" max="12302" width="7.88671875" style="3192" customWidth="1"/>
    <col min="12303" max="12544" width="9" style="3192"/>
    <col min="12545" max="12545" width="55.88671875" style="3192" customWidth="1"/>
    <col min="12546" max="12546" width="6.21875" style="3192" customWidth="1"/>
    <col min="12547" max="12549" width="13.88671875" style="3192" customWidth="1"/>
    <col min="12550" max="12550" width="24.21875" style="3192" customWidth="1"/>
    <col min="12551" max="12551" width="7.88671875" style="3192" customWidth="1"/>
    <col min="12552" max="12552" width="9" style="3192" customWidth="1"/>
    <col min="12553" max="12554" width="10.6640625" style="3192" customWidth="1"/>
    <col min="12555" max="12555" width="14.33203125" style="3192" customWidth="1"/>
    <col min="12556" max="12556" width="6.21875" style="3192" customWidth="1"/>
    <col min="12557" max="12557" width="39.21875" style="3192" customWidth="1"/>
    <col min="12558" max="12558" width="7.88671875" style="3192" customWidth="1"/>
    <col min="12559" max="12800" width="9" style="3192"/>
    <col min="12801" max="12801" width="55.88671875" style="3192" customWidth="1"/>
    <col min="12802" max="12802" width="6.21875" style="3192" customWidth="1"/>
    <col min="12803" max="12805" width="13.88671875" style="3192" customWidth="1"/>
    <col min="12806" max="12806" width="24.21875" style="3192" customWidth="1"/>
    <col min="12807" max="12807" width="7.88671875" style="3192" customWidth="1"/>
    <col min="12808" max="12808" width="9" style="3192" customWidth="1"/>
    <col min="12809" max="12810" width="10.6640625" style="3192" customWidth="1"/>
    <col min="12811" max="12811" width="14.33203125" style="3192" customWidth="1"/>
    <col min="12812" max="12812" width="6.21875" style="3192" customWidth="1"/>
    <col min="12813" max="12813" width="39.21875" style="3192" customWidth="1"/>
    <col min="12814" max="12814" width="7.88671875" style="3192" customWidth="1"/>
    <col min="12815" max="13056" width="9" style="3192"/>
    <col min="13057" max="13057" width="55.88671875" style="3192" customWidth="1"/>
    <col min="13058" max="13058" width="6.21875" style="3192" customWidth="1"/>
    <col min="13059" max="13061" width="13.88671875" style="3192" customWidth="1"/>
    <col min="13062" max="13062" width="24.21875" style="3192" customWidth="1"/>
    <col min="13063" max="13063" width="7.88671875" style="3192" customWidth="1"/>
    <col min="13064" max="13064" width="9" style="3192" customWidth="1"/>
    <col min="13065" max="13066" width="10.6640625" style="3192" customWidth="1"/>
    <col min="13067" max="13067" width="14.33203125" style="3192" customWidth="1"/>
    <col min="13068" max="13068" width="6.21875" style="3192" customWidth="1"/>
    <col min="13069" max="13069" width="39.21875" style="3192" customWidth="1"/>
    <col min="13070" max="13070" width="7.88671875" style="3192" customWidth="1"/>
    <col min="13071" max="13312" width="9" style="3192"/>
    <col min="13313" max="13313" width="55.88671875" style="3192" customWidth="1"/>
    <col min="13314" max="13314" width="6.21875" style="3192" customWidth="1"/>
    <col min="13315" max="13317" width="13.88671875" style="3192" customWidth="1"/>
    <col min="13318" max="13318" width="24.21875" style="3192" customWidth="1"/>
    <col min="13319" max="13319" width="7.88671875" style="3192" customWidth="1"/>
    <col min="13320" max="13320" width="9" style="3192" customWidth="1"/>
    <col min="13321" max="13322" width="10.6640625" style="3192" customWidth="1"/>
    <col min="13323" max="13323" width="14.33203125" style="3192" customWidth="1"/>
    <col min="13324" max="13324" width="6.21875" style="3192" customWidth="1"/>
    <col min="13325" max="13325" width="39.21875" style="3192" customWidth="1"/>
    <col min="13326" max="13326" width="7.88671875" style="3192" customWidth="1"/>
    <col min="13327" max="13568" width="9" style="3192"/>
    <col min="13569" max="13569" width="55.88671875" style="3192" customWidth="1"/>
    <col min="13570" max="13570" width="6.21875" style="3192" customWidth="1"/>
    <col min="13571" max="13573" width="13.88671875" style="3192" customWidth="1"/>
    <col min="13574" max="13574" width="24.21875" style="3192" customWidth="1"/>
    <col min="13575" max="13575" width="7.88671875" style="3192" customWidth="1"/>
    <col min="13576" max="13576" width="9" style="3192" customWidth="1"/>
    <col min="13577" max="13578" width="10.6640625" style="3192" customWidth="1"/>
    <col min="13579" max="13579" width="14.33203125" style="3192" customWidth="1"/>
    <col min="13580" max="13580" width="6.21875" style="3192" customWidth="1"/>
    <col min="13581" max="13581" width="39.21875" style="3192" customWidth="1"/>
    <col min="13582" max="13582" width="7.88671875" style="3192" customWidth="1"/>
    <col min="13583" max="13824" width="9" style="3192"/>
    <col min="13825" max="13825" width="55.88671875" style="3192" customWidth="1"/>
    <col min="13826" max="13826" width="6.21875" style="3192" customWidth="1"/>
    <col min="13827" max="13829" width="13.88671875" style="3192" customWidth="1"/>
    <col min="13830" max="13830" width="24.21875" style="3192" customWidth="1"/>
    <col min="13831" max="13831" width="7.88671875" style="3192" customWidth="1"/>
    <col min="13832" max="13832" width="9" style="3192" customWidth="1"/>
    <col min="13833" max="13834" width="10.6640625" style="3192" customWidth="1"/>
    <col min="13835" max="13835" width="14.33203125" style="3192" customWidth="1"/>
    <col min="13836" max="13836" width="6.21875" style="3192" customWidth="1"/>
    <col min="13837" max="13837" width="39.21875" style="3192" customWidth="1"/>
    <col min="13838" max="13838" width="7.88671875" style="3192" customWidth="1"/>
    <col min="13839" max="14080" width="9" style="3192"/>
    <col min="14081" max="14081" width="55.88671875" style="3192" customWidth="1"/>
    <col min="14082" max="14082" width="6.21875" style="3192" customWidth="1"/>
    <col min="14083" max="14085" width="13.88671875" style="3192" customWidth="1"/>
    <col min="14086" max="14086" width="24.21875" style="3192" customWidth="1"/>
    <col min="14087" max="14087" width="7.88671875" style="3192" customWidth="1"/>
    <col min="14088" max="14088" width="9" style="3192" customWidth="1"/>
    <col min="14089" max="14090" width="10.6640625" style="3192" customWidth="1"/>
    <col min="14091" max="14091" width="14.33203125" style="3192" customWidth="1"/>
    <col min="14092" max="14092" width="6.21875" style="3192" customWidth="1"/>
    <col min="14093" max="14093" width="39.21875" style="3192" customWidth="1"/>
    <col min="14094" max="14094" width="7.88671875" style="3192" customWidth="1"/>
    <col min="14095" max="14336" width="9" style="3192"/>
    <col min="14337" max="14337" width="55.88671875" style="3192" customWidth="1"/>
    <col min="14338" max="14338" width="6.21875" style="3192" customWidth="1"/>
    <col min="14339" max="14341" width="13.88671875" style="3192" customWidth="1"/>
    <col min="14342" max="14342" width="24.21875" style="3192" customWidth="1"/>
    <col min="14343" max="14343" width="7.88671875" style="3192" customWidth="1"/>
    <col min="14344" max="14344" width="9" style="3192" customWidth="1"/>
    <col min="14345" max="14346" width="10.6640625" style="3192" customWidth="1"/>
    <col min="14347" max="14347" width="14.33203125" style="3192" customWidth="1"/>
    <col min="14348" max="14348" width="6.21875" style="3192" customWidth="1"/>
    <col min="14349" max="14349" width="39.21875" style="3192" customWidth="1"/>
    <col min="14350" max="14350" width="7.88671875" style="3192" customWidth="1"/>
    <col min="14351" max="14592" width="9" style="3192"/>
    <col min="14593" max="14593" width="55.88671875" style="3192" customWidth="1"/>
    <col min="14594" max="14594" width="6.21875" style="3192" customWidth="1"/>
    <col min="14595" max="14597" width="13.88671875" style="3192" customWidth="1"/>
    <col min="14598" max="14598" width="24.21875" style="3192" customWidth="1"/>
    <col min="14599" max="14599" width="7.88671875" style="3192" customWidth="1"/>
    <col min="14600" max="14600" width="9" style="3192" customWidth="1"/>
    <col min="14601" max="14602" width="10.6640625" style="3192" customWidth="1"/>
    <col min="14603" max="14603" width="14.33203125" style="3192" customWidth="1"/>
    <col min="14604" max="14604" width="6.21875" style="3192" customWidth="1"/>
    <col min="14605" max="14605" width="39.21875" style="3192" customWidth="1"/>
    <col min="14606" max="14606" width="7.88671875" style="3192" customWidth="1"/>
    <col min="14607" max="14848" width="9" style="3192"/>
    <col min="14849" max="14849" width="55.88671875" style="3192" customWidth="1"/>
    <col min="14850" max="14850" width="6.21875" style="3192" customWidth="1"/>
    <col min="14851" max="14853" width="13.88671875" style="3192" customWidth="1"/>
    <col min="14854" max="14854" width="24.21875" style="3192" customWidth="1"/>
    <col min="14855" max="14855" width="7.88671875" style="3192" customWidth="1"/>
    <col min="14856" max="14856" width="9" style="3192" customWidth="1"/>
    <col min="14857" max="14858" width="10.6640625" style="3192" customWidth="1"/>
    <col min="14859" max="14859" width="14.33203125" style="3192" customWidth="1"/>
    <col min="14860" max="14860" width="6.21875" style="3192" customWidth="1"/>
    <col min="14861" max="14861" width="39.21875" style="3192" customWidth="1"/>
    <col min="14862" max="14862" width="7.88671875" style="3192" customWidth="1"/>
    <col min="14863" max="15104" width="9" style="3192"/>
    <col min="15105" max="15105" width="55.88671875" style="3192" customWidth="1"/>
    <col min="15106" max="15106" width="6.21875" style="3192" customWidth="1"/>
    <col min="15107" max="15109" width="13.88671875" style="3192" customWidth="1"/>
    <col min="15110" max="15110" width="24.21875" style="3192" customWidth="1"/>
    <col min="15111" max="15111" width="7.88671875" style="3192" customWidth="1"/>
    <col min="15112" max="15112" width="9" style="3192" customWidth="1"/>
    <col min="15113" max="15114" width="10.6640625" style="3192" customWidth="1"/>
    <col min="15115" max="15115" width="14.33203125" style="3192" customWidth="1"/>
    <col min="15116" max="15116" width="6.21875" style="3192" customWidth="1"/>
    <col min="15117" max="15117" width="39.21875" style="3192" customWidth="1"/>
    <col min="15118" max="15118" width="7.88671875" style="3192" customWidth="1"/>
    <col min="15119" max="15360" width="9" style="3192"/>
    <col min="15361" max="15361" width="55.88671875" style="3192" customWidth="1"/>
    <col min="15362" max="15362" width="6.21875" style="3192" customWidth="1"/>
    <col min="15363" max="15365" width="13.88671875" style="3192" customWidth="1"/>
    <col min="15366" max="15366" width="24.21875" style="3192" customWidth="1"/>
    <col min="15367" max="15367" width="7.88671875" style="3192" customWidth="1"/>
    <col min="15368" max="15368" width="9" style="3192" customWidth="1"/>
    <col min="15369" max="15370" width="10.6640625" style="3192" customWidth="1"/>
    <col min="15371" max="15371" width="14.33203125" style="3192" customWidth="1"/>
    <col min="15372" max="15372" width="6.21875" style="3192" customWidth="1"/>
    <col min="15373" max="15373" width="39.21875" style="3192" customWidth="1"/>
    <col min="15374" max="15374" width="7.88671875" style="3192" customWidth="1"/>
    <col min="15375" max="15616" width="9" style="3192"/>
    <col min="15617" max="15617" width="55.88671875" style="3192" customWidth="1"/>
    <col min="15618" max="15618" width="6.21875" style="3192" customWidth="1"/>
    <col min="15619" max="15621" width="13.88671875" style="3192" customWidth="1"/>
    <col min="15622" max="15622" width="24.21875" style="3192" customWidth="1"/>
    <col min="15623" max="15623" width="7.88671875" style="3192" customWidth="1"/>
    <col min="15624" max="15624" width="9" style="3192" customWidth="1"/>
    <col min="15625" max="15626" width="10.6640625" style="3192" customWidth="1"/>
    <col min="15627" max="15627" width="14.33203125" style="3192" customWidth="1"/>
    <col min="15628" max="15628" width="6.21875" style="3192" customWidth="1"/>
    <col min="15629" max="15629" width="39.21875" style="3192" customWidth="1"/>
    <col min="15630" max="15630" width="7.88671875" style="3192" customWidth="1"/>
    <col min="15631" max="15872" width="9" style="3192"/>
    <col min="15873" max="15873" width="55.88671875" style="3192" customWidth="1"/>
    <col min="15874" max="15874" width="6.21875" style="3192" customWidth="1"/>
    <col min="15875" max="15877" width="13.88671875" style="3192" customWidth="1"/>
    <col min="15878" max="15878" width="24.21875" style="3192" customWidth="1"/>
    <col min="15879" max="15879" width="7.88671875" style="3192" customWidth="1"/>
    <col min="15880" max="15880" width="9" style="3192" customWidth="1"/>
    <col min="15881" max="15882" width="10.6640625" style="3192" customWidth="1"/>
    <col min="15883" max="15883" width="14.33203125" style="3192" customWidth="1"/>
    <col min="15884" max="15884" width="6.21875" style="3192" customWidth="1"/>
    <col min="15885" max="15885" width="39.21875" style="3192" customWidth="1"/>
    <col min="15886" max="15886" width="7.88671875" style="3192" customWidth="1"/>
    <col min="15887" max="16128" width="9" style="3192"/>
    <col min="16129" max="16129" width="55.88671875" style="3192" customWidth="1"/>
    <col min="16130" max="16130" width="6.21875" style="3192" customWidth="1"/>
    <col min="16131" max="16133" width="13.88671875" style="3192" customWidth="1"/>
    <col min="16134" max="16134" width="24.21875" style="3192" customWidth="1"/>
    <col min="16135" max="16135" width="7.88671875" style="3192" customWidth="1"/>
    <col min="16136" max="16136" width="9" style="3192" customWidth="1"/>
    <col min="16137" max="16138" width="10.6640625" style="3192" customWidth="1"/>
    <col min="16139" max="16139" width="14.33203125" style="3192" customWidth="1"/>
    <col min="16140" max="16140" width="6.21875" style="3192" customWidth="1"/>
    <col min="16141" max="16141" width="39.21875" style="3192" customWidth="1"/>
    <col min="16142" max="16142" width="7.88671875" style="3192" customWidth="1"/>
    <col min="16143" max="16384" width="9" style="3192"/>
  </cols>
  <sheetData>
    <row r="1" spans="1:14">
      <c r="A1" s="3192" t="s">
        <v>3044</v>
      </c>
      <c r="B1" s="3192" t="s">
        <v>3045</v>
      </c>
      <c r="C1" s="3192" t="s">
        <v>3046</v>
      </c>
      <c r="D1" s="3192" t="s">
        <v>3047</v>
      </c>
      <c r="E1" s="3192" t="s">
        <v>3048</v>
      </c>
      <c r="F1" s="3192" t="s">
        <v>2030</v>
      </c>
      <c r="G1" s="3192" t="s">
        <v>3049</v>
      </c>
      <c r="H1" s="3192" t="s">
        <v>3050</v>
      </c>
      <c r="I1" s="3192" t="s">
        <v>3051</v>
      </c>
      <c r="J1" s="3192" t="s">
        <v>3052</v>
      </c>
      <c r="K1" s="3193" t="s">
        <v>3053</v>
      </c>
      <c r="L1" s="3192" t="s">
        <v>3054</v>
      </c>
      <c r="M1" s="3192" t="s">
        <v>3055</v>
      </c>
      <c r="N1" s="3192" t="s">
        <v>3056</v>
      </c>
    </row>
    <row r="2" spans="1:14">
      <c r="A2" s="3192" t="s">
        <v>3201</v>
      </c>
      <c r="B2" s="3192" t="s">
        <v>3202</v>
      </c>
      <c r="C2" s="3192" t="s">
        <v>3059</v>
      </c>
      <c r="D2" s="3192">
        <v>46410</v>
      </c>
      <c r="E2" s="3192">
        <v>148512</v>
      </c>
      <c r="F2" s="3192" t="s">
        <v>3203</v>
      </c>
      <c r="G2" s="3192" t="s">
        <v>3066</v>
      </c>
      <c r="H2" s="3192" t="s">
        <v>3204</v>
      </c>
      <c r="I2" s="3192">
        <v>13930</v>
      </c>
      <c r="J2" s="3192">
        <v>13930</v>
      </c>
      <c r="K2" s="3193">
        <v>937.97</v>
      </c>
      <c r="L2" s="3192">
        <v>0</v>
      </c>
      <c r="M2" s="3192" t="s">
        <v>3205</v>
      </c>
      <c r="N2" s="3192" t="s">
        <v>3063</v>
      </c>
    </row>
    <row r="3" spans="1:14">
      <c r="A3" s="3192" t="s">
        <v>3206</v>
      </c>
      <c r="B3" s="3192" t="s">
        <v>3202</v>
      </c>
      <c r="C3" s="3192" t="s">
        <v>3083</v>
      </c>
      <c r="D3" s="3192">
        <v>15413.76</v>
      </c>
      <c r="E3" s="3192">
        <v>53948.160000000003</v>
      </c>
      <c r="F3" s="3192" t="s">
        <v>3207</v>
      </c>
      <c r="G3" s="3192" t="s">
        <v>3066</v>
      </c>
      <c r="H3" s="3192" t="s">
        <v>3204</v>
      </c>
      <c r="I3" s="3192">
        <v>4625</v>
      </c>
      <c r="J3" s="3192">
        <v>4625</v>
      </c>
      <c r="K3" s="3193">
        <v>857.29</v>
      </c>
      <c r="L3" s="3192">
        <v>0</v>
      </c>
      <c r="M3" s="3192" t="s">
        <v>3208</v>
      </c>
      <c r="N3" s="3192" t="s">
        <v>3123</v>
      </c>
    </row>
    <row r="4" spans="1:14">
      <c r="A4" s="3192" t="s">
        <v>3209</v>
      </c>
      <c r="B4" s="3192" t="s">
        <v>3202</v>
      </c>
      <c r="C4" s="3192" t="s">
        <v>3083</v>
      </c>
      <c r="D4" s="3192">
        <v>51196.28</v>
      </c>
      <c r="E4" s="3192">
        <v>179186.98</v>
      </c>
      <c r="F4" s="3192" t="s">
        <v>3207</v>
      </c>
      <c r="G4" s="3192" t="s">
        <v>3066</v>
      </c>
      <c r="H4" s="3192" t="s">
        <v>3204</v>
      </c>
      <c r="I4" s="3192">
        <v>15359</v>
      </c>
      <c r="J4" s="3192">
        <v>15359</v>
      </c>
      <c r="K4" s="3193">
        <v>857.14</v>
      </c>
      <c r="L4" s="3192">
        <v>0</v>
      </c>
      <c r="M4" s="3192" t="s">
        <v>3208</v>
      </c>
      <c r="N4" s="3192" t="s">
        <v>3123</v>
      </c>
    </row>
    <row r="5" spans="1:14" s="3193" customFormat="1">
      <c r="A5" s="3193" t="s">
        <v>3210</v>
      </c>
      <c r="B5" s="3193" t="s">
        <v>3202</v>
      </c>
      <c r="C5" s="3193" t="s">
        <v>3083</v>
      </c>
      <c r="D5" s="3193">
        <v>93571.45</v>
      </c>
      <c r="E5" s="3193">
        <v>187142.9</v>
      </c>
      <c r="F5" s="3193" t="s">
        <v>3211</v>
      </c>
      <c r="G5" s="3193" t="s">
        <v>3066</v>
      </c>
      <c r="H5" s="3193" t="s">
        <v>3212</v>
      </c>
      <c r="I5" s="3193">
        <v>89200</v>
      </c>
      <c r="J5" s="3193">
        <v>89200</v>
      </c>
      <c r="K5" s="3193">
        <v>4766.3999999999996</v>
      </c>
      <c r="L5" s="3193">
        <v>0</v>
      </c>
      <c r="M5" s="3193" t="s">
        <v>3213</v>
      </c>
      <c r="N5" s="3193" t="s">
        <v>3072</v>
      </c>
    </row>
    <row r="6" spans="1:14" s="3193" customFormat="1">
      <c r="A6" s="3193" t="s">
        <v>3214</v>
      </c>
      <c r="B6" s="3193" t="s">
        <v>3202</v>
      </c>
      <c r="C6" s="3193" t="s">
        <v>3083</v>
      </c>
      <c r="D6" s="3193">
        <v>77203.399999999994</v>
      </c>
      <c r="E6" s="3193">
        <v>169847.48</v>
      </c>
      <c r="F6" s="3193" t="s">
        <v>3215</v>
      </c>
      <c r="G6" s="3193" t="s">
        <v>3061</v>
      </c>
      <c r="H6" s="3193" t="s">
        <v>3216</v>
      </c>
      <c r="I6" s="3193">
        <v>46323</v>
      </c>
      <c r="J6" s="3193">
        <v>97323</v>
      </c>
      <c r="K6" s="3193">
        <v>5730.02</v>
      </c>
      <c r="L6" s="3193">
        <v>110.1</v>
      </c>
      <c r="M6" s="3193" t="s">
        <v>3217</v>
      </c>
      <c r="N6" s="3193" t="s">
        <v>3063</v>
      </c>
    </row>
    <row r="7" spans="1:14">
      <c r="A7" s="3192" t="s">
        <v>3218</v>
      </c>
      <c r="B7" s="3192" t="s">
        <v>3202</v>
      </c>
      <c r="C7" s="3192" t="s">
        <v>3083</v>
      </c>
      <c r="D7" s="3192">
        <v>87224.55</v>
      </c>
      <c r="E7" s="3192">
        <v>148281.74</v>
      </c>
      <c r="F7" s="3192" t="s">
        <v>3219</v>
      </c>
      <c r="G7" s="3192" t="s">
        <v>3061</v>
      </c>
      <c r="H7" s="3192" t="s">
        <v>3220</v>
      </c>
      <c r="I7" s="3192">
        <v>13084</v>
      </c>
      <c r="J7" s="3192">
        <v>13084</v>
      </c>
      <c r="K7" s="3193">
        <v>882.37</v>
      </c>
      <c r="L7" s="3192">
        <v>0</v>
      </c>
      <c r="M7" s="3192" t="s">
        <v>3221</v>
      </c>
      <c r="N7" s="3192" t="s">
        <v>3123</v>
      </c>
    </row>
    <row r="8" spans="1:14">
      <c r="A8" s="3192" t="s">
        <v>3222</v>
      </c>
      <c r="B8" s="3192" t="s">
        <v>3202</v>
      </c>
      <c r="C8" s="3192" t="s">
        <v>3083</v>
      </c>
      <c r="D8" s="3192">
        <v>65782.38</v>
      </c>
      <c r="E8" s="3192">
        <v>111830.05</v>
      </c>
      <c r="F8" s="3192" t="s">
        <v>3219</v>
      </c>
      <c r="G8" s="3192" t="s">
        <v>3061</v>
      </c>
      <c r="H8" s="3192" t="s">
        <v>3220</v>
      </c>
      <c r="I8" s="3192">
        <v>9868</v>
      </c>
      <c r="J8" s="3192">
        <v>9868</v>
      </c>
      <c r="K8" s="3193">
        <v>882.4</v>
      </c>
      <c r="L8" s="3192">
        <v>0</v>
      </c>
      <c r="M8" s="3192" t="s">
        <v>3221</v>
      </c>
      <c r="N8" s="3192" t="s">
        <v>3063</v>
      </c>
    </row>
    <row r="9" spans="1:14">
      <c r="A9" s="3192" t="s">
        <v>3223</v>
      </c>
      <c r="B9" s="3192" t="s">
        <v>3202</v>
      </c>
      <c r="C9" s="3192" t="s">
        <v>3059</v>
      </c>
      <c r="D9" s="3192">
        <v>1451.88</v>
      </c>
      <c r="E9" s="3192">
        <v>2903.76</v>
      </c>
      <c r="F9" s="3192" t="s">
        <v>3224</v>
      </c>
      <c r="G9" s="3192" t="s">
        <v>3061</v>
      </c>
      <c r="H9" s="3192" t="s">
        <v>3220</v>
      </c>
      <c r="I9" s="3192">
        <v>450</v>
      </c>
      <c r="J9" s="3192">
        <v>450</v>
      </c>
      <c r="K9" s="3193">
        <v>1549.71</v>
      </c>
      <c r="L9" s="3192">
        <v>0</v>
      </c>
      <c r="M9" s="3192" t="s">
        <v>3225</v>
      </c>
      <c r="N9" s="3192" t="s">
        <v>3063</v>
      </c>
    </row>
    <row r="10" spans="1:14">
      <c r="A10" s="3192" t="s">
        <v>3226</v>
      </c>
      <c r="B10" s="3192" t="s">
        <v>3202</v>
      </c>
      <c r="C10" s="3192" t="s">
        <v>3083</v>
      </c>
      <c r="D10" s="3192">
        <v>60570.02</v>
      </c>
      <c r="E10" s="3192">
        <v>102969.03</v>
      </c>
      <c r="F10" s="3192" t="s">
        <v>3219</v>
      </c>
      <c r="G10" s="3192" t="s">
        <v>3061</v>
      </c>
      <c r="H10" s="3192" t="s">
        <v>3220</v>
      </c>
      <c r="I10" s="3192">
        <v>9086</v>
      </c>
      <c r="J10" s="3192">
        <v>9086</v>
      </c>
      <c r="K10" s="3193">
        <v>882.39</v>
      </c>
      <c r="L10" s="3192">
        <v>0</v>
      </c>
      <c r="M10" s="3192" t="s">
        <v>3221</v>
      </c>
      <c r="N10" s="3192" t="s">
        <v>3063</v>
      </c>
    </row>
    <row r="11" spans="1:14">
      <c r="A11" s="3192" t="s">
        <v>3227</v>
      </c>
      <c r="B11" s="3192" t="s">
        <v>3202</v>
      </c>
      <c r="C11" s="3192" t="s">
        <v>3083</v>
      </c>
      <c r="D11" s="3192">
        <v>3866.26</v>
      </c>
      <c r="E11" s="3192">
        <v>7732.52</v>
      </c>
      <c r="F11" s="3192" t="s">
        <v>3224</v>
      </c>
      <c r="G11" s="3192" t="s">
        <v>3061</v>
      </c>
      <c r="H11" s="3192" t="s">
        <v>3220</v>
      </c>
      <c r="I11" s="3192">
        <v>1172</v>
      </c>
      <c r="J11" s="3192">
        <v>1172</v>
      </c>
      <c r="K11" s="3193">
        <v>1515.68</v>
      </c>
      <c r="L11" s="3192">
        <v>0</v>
      </c>
      <c r="M11" s="3192" t="s">
        <v>3225</v>
      </c>
      <c r="N11" s="3192" t="s">
        <v>3063</v>
      </c>
    </row>
    <row r="12" spans="1:14">
      <c r="A12" s="3192" t="s">
        <v>3228</v>
      </c>
      <c r="B12" s="3192" t="s">
        <v>3202</v>
      </c>
      <c r="C12" s="3192" t="s">
        <v>3083</v>
      </c>
      <c r="D12" s="3192">
        <v>72607.03</v>
      </c>
      <c r="E12" s="3192">
        <v>123431.95</v>
      </c>
      <c r="F12" s="3192" t="s">
        <v>3219</v>
      </c>
      <c r="G12" s="3192" t="s">
        <v>3061</v>
      </c>
      <c r="H12" s="3192" t="s">
        <v>3220</v>
      </c>
      <c r="I12" s="3192">
        <v>10892</v>
      </c>
      <c r="J12" s="3192">
        <v>10892</v>
      </c>
      <c r="K12" s="3193">
        <v>882.42</v>
      </c>
      <c r="L12" s="3192">
        <v>0</v>
      </c>
      <c r="M12" s="3192" t="s">
        <v>3221</v>
      </c>
      <c r="N12" s="3192" t="s">
        <v>3063</v>
      </c>
    </row>
    <row r="13" spans="1:14">
      <c r="A13" s="3192" t="s">
        <v>3229</v>
      </c>
      <c r="B13" s="3192" t="s">
        <v>3202</v>
      </c>
      <c r="C13" s="3192" t="s">
        <v>3083</v>
      </c>
      <c r="D13" s="3192">
        <v>69655.789999999994</v>
      </c>
      <c r="E13" s="3192">
        <v>118414.84</v>
      </c>
      <c r="F13" s="3192" t="s">
        <v>3219</v>
      </c>
      <c r="G13" s="3192" t="s">
        <v>3061</v>
      </c>
      <c r="H13" s="3192" t="s">
        <v>3220</v>
      </c>
      <c r="I13" s="3192">
        <v>10449</v>
      </c>
      <c r="J13" s="3192">
        <v>10449</v>
      </c>
      <c r="K13" s="3193">
        <v>882.4</v>
      </c>
      <c r="L13" s="3192">
        <v>0</v>
      </c>
      <c r="M13" s="3192" t="s">
        <v>3221</v>
      </c>
      <c r="N13" s="3192" t="s">
        <v>3123</v>
      </c>
    </row>
    <row r="14" spans="1:14">
      <c r="A14" s="3192" t="s">
        <v>3230</v>
      </c>
      <c r="B14" s="3192" t="s">
        <v>3202</v>
      </c>
      <c r="C14" s="3192" t="s">
        <v>3083</v>
      </c>
      <c r="D14" s="3192">
        <v>84166.13</v>
      </c>
      <c r="E14" s="3192">
        <v>143082.42000000001</v>
      </c>
      <c r="F14" s="3192" t="s">
        <v>3219</v>
      </c>
      <c r="G14" s="3192" t="s">
        <v>3061</v>
      </c>
      <c r="H14" s="3192" t="s">
        <v>3220</v>
      </c>
      <c r="I14" s="3192">
        <v>12625</v>
      </c>
      <c r="J14" s="3192">
        <v>12625</v>
      </c>
      <c r="K14" s="3193">
        <v>882.36</v>
      </c>
      <c r="L14" s="3192">
        <v>0</v>
      </c>
      <c r="M14" s="3192" t="s">
        <v>3221</v>
      </c>
      <c r="N14" s="3192" t="s">
        <v>3063</v>
      </c>
    </row>
    <row r="15" spans="1:14">
      <c r="A15" s="3192" t="s">
        <v>3231</v>
      </c>
      <c r="B15" s="3192" t="s">
        <v>3202</v>
      </c>
      <c r="C15" s="3192" t="s">
        <v>3059</v>
      </c>
      <c r="D15" s="3192">
        <v>51554</v>
      </c>
      <c r="E15" s="3192">
        <v>164972.79999999999</v>
      </c>
      <c r="F15" s="3192" t="s">
        <v>3232</v>
      </c>
      <c r="G15" s="3192" t="s">
        <v>3061</v>
      </c>
      <c r="H15" s="3192" t="s">
        <v>3233</v>
      </c>
      <c r="I15" s="3192">
        <v>15470</v>
      </c>
      <c r="J15" s="3192">
        <v>15470</v>
      </c>
      <c r="K15" s="3193">
        <v>937.73</v>
      </c>
      <c r="L15" s="3192">
        <v>0</v>
      </c>
      <c r="M15" s="3192" t="s">
        <v>3205</v>
      </c>
      <c r="N15" s="3192" t="s">
        <v>3063</v>
      </c>
    </row>
    <row r="16" spans="1:14">
      <c r="A16" s="3192" t="s">
        <v>3234</v>
      </c>
      <c r="B16" s="3192" t="s">
        <v>3202</v>
      </c>
      <c r="C16" s="3192" t="s">
        <v>3059</v>
      </c>
      <c r="D16" s="3192">
        <v>28648</v>
      </c>
      <c r="E16" s="3192">
        <v>57296</v>
      </c>
      <c r="F16" s="3192" t="s">
        <v>3224</v>
      </c>
      <c r="G16" s="3192" t="s">
        <v>3061</v>
      </c>
      <c r="H16" s="3192" t="s">
        <v>3233</v>
      </c>
      <c r="I16" s="3192">
        <v>17190</v>
      </c>
      <c r="J16" s="3192">
        <v>22590</v>
      </c>
      <c r="K16" s="3193">
        <v>3942.67</v>
      </c>
      <c r="L16" s="3192">
        <v>31.41</v>
      </c>
      <c r="M16" s="3192" t="s">
        <v>3235</v>
      </c>
      <c r="N16" s="3192" t="s">
        <v>3063</v>
      </c>
    </row>
    <row r="17" spans="1:14">
      <c r="A17" s="3192" t="s">
        <v>3236</v>
      </c>
      <c r="B17" s="3192" t="s">
        <v>3202</v>
      </c>
      <c r="C17" s="3192" t="s">
        <v>3083</v>
      </c>
      <c r="D17" s="3192">
        <v>63208.11</v>
      </c>
      <c r="E17" s="3192">
        <v>126416.22</v>
      </c>
      <c r="F17" s="3192" t="s">
        <v>3224</v>
      </c>
      <c r="G17" s="3192" t="s">
        <v>3061</v>
      </c>
      <c r="H17" s="3192" t="s">
        <v>3233</v>
      </c>
      <c r="I17" s="3192">
        <v>24651.15</v>
      </c>
      <c r="J17" s="3192">
        <v>24651.15</v>
      </c>
      <c r="K17" s="3193">
        <v>1950</v>
      </c>
      <c r="L17" s="3192">
        <v>0</v>
      </c>
      <c r="M17" s="3192" t="s">
        <v>3237</v>
      </c>
      <c r="N17" s="3192" t="s">
        <v>3063</v>
      </c>
    </row>
    <row r="18" spans="1:14">
      <c r="A18" s="3192" t="s">
        <v>3238</v>
      </c>
      <c r="B18" s="3192" t="s">
        <v>3202</v>
      </c>
      <c r="C18" s="3192" t="s">
        <v>3059</v>
      </c>
      <c r="D18" s="3192">
        <v>50625</v>
      </c>
      <c r="E18" s="3192">
        <v>126562.5</v>
      </c>
      <c r="F18" s="3192" t="s">
        <v>3239</v>
      </c>
      <c r="G18" s="3192" t="s">
        <v>3061</v>
      </c>
      <c r="H18" s="3192" t="s">
        <v>3233</v>
      </c>
      <c r="I18" s="3192">
        <v>30380</v>
      </c>
      <c r="J18" s="3192">
        <v>39980</v>
      </c>
      <c r="K18" s="3193">
        <v>3158.9</v>
      </c>
      <c r="L18" s="3192">
        <v>31.6</v>
      </c>
      <c r="M18" s="3192" t="s">
        <v>3235</v>
      </c>
      <c r="N18" s="3192" t="s">
        <v>3063</v>
      </c>
    </row>
    <row r="19" spans="1:14">
      <c r="A19" s="3192" t="s">
        <v>3240</v>
      </c>
      <c r="B19" s="3192" t="s">
        <v>3202</v>
      </c>
      <c r="C19" s="3192" t="s">
        <v>3083</v>
      </c>
      <c r="D19" s="3192">
        <v>58217.19</v>
      </c>
      <c r="E19" s="3192">
        <v>116434.38</v>
      </c>
      <c r="F19" s="3192" t="s">
        <v>3224</v>
      </c>
      <c r="G19" s="3192" t="s">
        <v>3061</v>
      </c>
      <c r="H19" s="3192" t="s">
        <v>3233</v>
      </c>
      <c r="I19" s="3192">
        <v>22704.7</v>
      </c>
      <c r="J19" s="3192">
        <v>22704.7</v>
      </c>
      <c r="K19" s="3193">
        <v>1950</v>
      </c>
      <c r="L19" s="3192">
        <v>0</v>
      </c>
      <c r="M19" s="3192" t="s">
        <v>3241</v>
      </c>
      <c r="N19" s="3192" t="s">
        <v>3063</v>
      </c>
    </row>
    <row r="20" spans="1:14">
      <c r="A20" s="3192" t="s">
        <v>3242</v>
      </c>
      <c r="B20" s="3192" t="s">
        <v>3202</v>
      </c>
      <c r="C20" s="3192" t="s">
        <v>3083</v>
      </c>
      <c r="D20" s="3192">
        <v>3007.71</v>
      </c>
      <c r="E20" s="3192">
        <v>5113.1099999999997</v>
      </c>
      <c r="F20" s="3192" t="s">
        <v>3219</v>
      </c>
      <c r="G20" s="3192" t="s">
        <v>3061</v>
      </c>
      <c r="H20" s="3192" t="s">
        <v>3233</v>
      </c>
      <c r="I20" s="3192">
        <v>452</v>
      </c>
      <c r="J20" s="3192">
        <v>452</v>
      </c>
      <c r="K20" s="3193">
        <v>884</v>
      </c>
      <c r="L20" s="3192">
        <v>0</v>
      </c>
      <c r="M20" s="3192" t="s">
        <v>3243</v>
      </c>
      <c r="N20" s="3192" t="s">
        <v>3123</v>
      </c>
    </row>
    <row r="21" spans="1:14">
      <c r="A21" s="3192" t="s">
        <v>3244</v>
      </c>
      <c r="B21" s="3192" t="s">
        <v>3202</v>
      </c>
      <c r="C21" s="3192" t="s">
        <v>3059</v>
      </c>
      <c r="D21" s="3192">
        <v>48852</v>
      </c>
      <c r="E21" s="3192">
        <v>97704</v>
      </c>
      <c r="F21" s="3192" t="s">
        <v>3224</v>
      </c>
      <c r="G21" s="3192" t="s">
        <v>3061</v>
      </c>
      <c r="H21" s="3192" t="s">
        <v>3233</v>
      </c>
      <c r="I21" s="3192">
        <v>29320</v>
      </c>
      <c r="J21" s="3192">
        <v>38620</v>
      </c>
      <c r="K21" s="3193">
        <v>3952.76</v>
      </c>
      <c r="L21" s="3192">
        <v>31.72</v>
      </c>
      <c r="M21" s="3192" t="s">
        <v>3235</v>
      </c>
      <c r="N21" s="3192" t="s">
        <v>3063</v>
      </c>
    </row>
    <row r="22" spans="1:14">
      <c r="A22" s="3192" t="s">
        <v>3245</v>
      </c>
      <c r="B22" s="3192" t="s">
        <v>3202</v>
      </c>
      <c r="C22" s="3192" t="s">
        <v>3083</v>
      </c>
      <c r="D22" s="3192">
        <v>59095.98</v>
      </c>
      <c r="E22" s="3192">
        <v>118191.96</v>
      </c>
      <c r="F22" s="3192" t="s">
        <v>3224</v>
      </c>
      <c r="G22" s="3192" t="s">
        <v>3061</v>
      </c>
      <c r="H22" s="3192" t="s">
        <v>3233</v>
      </c>
      <c r="I22" s="3192">
        <v>23047.43</v>
      </c>
      <c r="J22" s="3192">
        <v>23047.43</v>
      </c>
      <c r="K22" s="3193">
        <v>1950</v>
      </c>
      <c r="L22" s="3192">
        <v>0</v>
      </c>
      <c r="M22" s="3192" t="s">
        <v>3241</v>
      </c>
      <c r="N22" s="3192" t="s">
        <v>3063</v>
      </c>
    </row>
    <row r="23" spans="1:14">
      <c r="A23" s="3192" t="s">
        <v>3246</v>
      </c>
      <c r="B23" s="3192" t="s">
        <v>3202</v>
      </c>
      <c r="C23" s="3192" t="s">
        <v>3059</v>
      </c>
      <c r="D23" s="3192">
        <v>29462.36</v>
      </c>
      <c r="E23" s="3192">
        <v>82494.509999999995</v>
      </c>
      <c r="F23" s="3192" t="s">
        <v>3247</v>
      </c>
      <c r="G23" s="3192" t="s">
        <v>3061</v>
      </c>
      <c r="H23" s="3192" t="s">
        <v>3248</v>
      </c>
      <c r="I23" s="3192" t="s">
        <v>2815</v>
      </c>
      <c r="J23" s="3192">
        <v>4420</v>
      </c>
      <c r="K23" s="3193">
        <v>535.78</v>
      </c>
      <c r="L23" s="3192" t="s">
        <v>2815</v>
      </c>
      <c r="M23" s="3192" t="s">
        <v>3249</v>
      </c>
      <c r="N23" s="3192" t="s">
        <v>3123</v>
      </c>
    </row>
    <row r="24" spans="1:14">
      <c r="A24" s="3192" t="s">
        <v>3250</v>
      </c>
      <c r="B24" s="3192" t="s">
        <v>3202</v>
      </c>
      <c r="C24" s="3192" t="s">
        <v>3083</v>
      </c>
      <c r="D24" s="3192">
        <v>30623.599999999999</v>
      </c>
      <c r="E24" s="3192">
        <v>91870.8</v>
      </c>
      <c r="F24" s="3192" t="s">
        <v>3251</v>
      </c>
      <c r="G24" s="3192" t="s">
        <v>3061</v>
      </c>
      <c r="H24" s="3192" t="s">
        <v>3252</v>
      </c>
      <c r="I24" s="3192">
        <v>9188</v>
      </c>
      <c r="J24" s="3192">
        <v>9188</v>
      </c>
      <c r="K24" s="3193">
        <v>1000.1</v>
      </c>
      <c r="L24" s="3192">
        <v>0</v>
      </c>
      <c r="M24" s="3192" t="s">
        <v>3208</v>
      </c>
      <c r="N24" s="3192" t="s">
        <v>3072</v>
      </c>
    </row>
    <row r="25" spans="1:14">
      <c r="A25" s="3192" t="s">
        <v>3253</v>
      </c>
      <c r="B25" s="3192" t="s">
        <v>3202</v>
      </c>
      <c r="C25" s="3192" t="s">
        <v>3059</v>
      </c>
      <c r="D25" s="3192">
        <v>28211.45</v>
      </c>
      <c r="E25" s="3192">
        <v>70528.63</v>
      </c>
      <c r="F25" s="3192" t="s">
        <v>3254</v>
      </c>
      <c r="G25" s="3192" t="s">
        <v>3061</v>
      </c>
      <c r="H25" s="3192" t="s">
        <v>3252</v>
      </c>
      <c r="I25" s="3192">
        <v>21500</v>
      </c>
      <c r="J25" s="3192">
        <v>21500</v>
      </c>
      <c r="K25" s="3193">
        <v>3048.4</v>
      </c>
      <c r="L25" s="3192">
        <v>0</v>
      </c>
      <c r="M25" s="3192" t="s">
        <v>3255</v>
      </c>
      <c r="N25" s="3192" t="s">
        <v>3063</v>
      </c>
    </row>
    <row r="26" spans="1:14">
      <c r="A26" s="3192" t="s">
        <v>3256</v>
      </c>
      <c r="B26" s="3192" t="s">
        <v>3202</v>
      </c>
      <c r="C26" s="3192" t="s">
        <v>3059</v>
      </c>
      <c r="D26" s="3192">
        <v>69976.2</v>
      </c>
      <c r="E26" s="3192">
        <v>174940.5</v>
      </c>
      <c r="F26" s="3192" t="s">
        <v>3257</v>
      </c>
      <c r="G26" s="3192" t="s">
        <v>3061</v>
      </c>
      <c r="H26" s="3192" t="s">
        <v>3252</v>
      </c>
      <c r="I26" s="3192">
        <v>8430</v>
      </c>
      <c r="J26" s="3192">
        <v>8430</v>
      </c>
      <c r="K26" s="3193">
        <v>481.87</v>
      </c>
      <c r="L26" s="3192">
        <v>0</v>
      </c>
      <c r="M26" s="3192" t="s">
        <v>3258</v>
      </c>
      <c r="N26" s="3192" t="s">
        <v>3123</v>
      </c>
    </row>
    <row r="27" spans="1:14">
      <c r="A27" s="3192" t="s">
        <v>3259</v>
      </c>
      <c r="B27" s="3192" t="s">
        <v>3202</v>
      </c>
      <c r="C27" s="3192" t="s">
        <v>3059</v>
      </c>
      <c r="D27" s="3192">
        <v>21361.66</v>
      </c>
      <c r="E27" s="3192">
        <v>53404.15</v>
      </c>
      <c r="F27" s="3192" t="s">
        <v>3257</v>
      </c>
      <c r="G27" s="3192" t="s">
        <v>3061</v>
      </c>
      <c r="H27" s="3192" t="s">
        <v>3252</v>
      </c>
      <c r="I27" s="3192">
        <v>16300</v>
      </c>
      <c r="J27" s="3192">
        <v>16300</v>
      </c>
      <c r="K27" s="3193">
        <v>3052.19</v>
      </c>
      <c r="L27" s="3192">
        <v>0</v>
      </c>
      <c r="M27" s="3192" t="s">
        <v>3260</v>
      </c>
      <c r="N27" s="3192" t="s">
        <v>3063</v>
      </c>
    </row>
    <row r="28" spans="1:14">
      <c r="A28" s="3192" t="s">
        <v>3261</v>
      </c>
      <c r="B28" s="3192" t="s">
        <v>3202</v>
      </c>
      <c r="C28" s="3192" t="s">
        <v>3059</v>
      </c>
      <c r="D28" s="3192">
        <v>14052.26</v>
      </c>
      <c r="E28" s="3192">
        <v>35130.65</v>
      </c>
      <c r="F28" s="3192" t="s">
        <v>3257</v>
      </c>
      <c r="G28" s="3192" t="s">
        <v>3061</v>
      </c>
      <c r="H28" s="3192" t="s">
        <v>3252</v>
      </c>
      <c r="I28" s="3192">
        <v>10700</v>
      </c>
      <c r="J28" s="3192">
        <v>10700</v>
      </c>
      <c r="K28" s="3193">
        <v>3045.76</v>
      </c>
      <c r="L28" s="3192">
        <v>0</v>
      </c>
      <c r="M28" s="3192" t="s">
        <v>3255</v>
      </c>
      <c r="N28" s="3192" t="s">
        <v>3063</v>
      </c>
    </row>
    <row r="29" spans="1:14">
      <c r="A29" s="3192" t="s">
        <v>3262</v>
      </c>
      <c r="B29" s="3192" t="s">
        <v>3202</v>
      </c>
      <c r="C29" s="3192" t="s">
        <v>3083</v>
      </c>
      <c r="D29" s="3192">
        <v>28951.71</v>
      </c>
      <c r="E29" s="3192">
        <v>86855.13</v>
      </c>
      <c r="F29" s="3192" t="s">
        <v>3251</v>
      </c>
      <c r="G29" s="3192" t="s">
        <v>3061</v>
      </c>
      <c r="H29" s="3192" t="s">
        <v>3252</v>
      </c>
      <c r="I29" s="3192">
        <v>8686</v>
      </c>
      <c r="J29" s="3192">
        <v>8686</v>
      </c>
      <c r="K29" s="3193">
        <v>1000.05</v>
      </c>
      <c r="L29" s="3192">
        <v>0</v>
      </c>
      <c r="M29" s="3192" t="s">
        <v>3208</v>
      </c>
      <c r="N29" s="3192" t="s">
        <v>3063</v>
      </c>
    </row>
    <row r="30" spans="1:14">
      <c r="A30" s="3192" t="s">
        <v>3263</v>
      </c>
      <c r="B30" s="3192" t="s">
        <v>3202</v>
      </c>
      <c r="C30" s="3192" t="s">
        <v>3059</v>
      </c>
      <c r="D30" s="3192">
        <v>54587.82</v>
      </c>
      <c r="E30" s="3192">
        <v>109175.64</v>
      </c>
      <c r="F30" s="3192" t="s">
        <v>3264</v>
      </c>
      <c r="G30" s="3192" t="s">
        <v>3061</v>
      </c>
      <c r="H30" s="3192" t="s">
        <v>3252</v>
      </c>
      <c r="I30" s="3192">
        <v>22927</v>
      </c>
      <c r="J30" s="3192">
        <v>22927</v>
      </c>
      <c r="K30" s="3193">
        <v>2100.0100000000002</v>
      </c>
      <c r="L30" s="3192">
        <v>0</v>
      </c>
      <c r="M30" s="3192" t="s">
        <v>3265</v>
      </c>
      <c r="N30" s="3192" t="s">
        <v>3063</v>
      </c>
    </row>
    <row r="31" spans="1:14">
      <c r="A31" s="3192" t="s">
        <v>3266</v>
      </c>
      <c r="B31" s="3192" t="s">
        <v>3202</v>
      </c>
      <c r="C31" s="3192" t="s">
        <v>3059</v>
      </c>
      <c r="D31" s="3192">
        <v>40082.730000000003</v>
      </c>
      <c r="E31" s="3192">
        <v>80165.460000000006</v>
      </c>
      <c r="F31" s="3192" t="s">
        <v>3264</v>
      </c>
      <c r="G31" s="3192" t="s">
        <v>3061</v>
      </c>
      <c r="H31" s="3192" t="s">
        <v>3252</v>
      </c>
      <c r="I31" s="3192">
        <v>16835</v>
      </c>
      <c r="J31" s="3192">
        <v>16835</v>
      </c>
      <c r="K31" s="3193">
        <v>2100.0300000000002</v>
      </c>
      <c r="L31" s="3192">
        <v>0</v>
      </c>
      <c r="M31" s="3192" t="s">
        <v>3265</v>
      </c>
      <c r="N31" s="3192" t="s">
        <v>3063</v>
      </c>
    </row>
    <row r="32" spans="1:14">
      <c r="A32" s="3192" t="s">
        <v>3267</v>
      </c>
      <c r="B32" s="3192" t="s">
        <v>3202</v>
      </c>
      <c r="C32" s="3192" t="s">
        <v>3083</v>
      </c>
      <c r="D32" s="3192">
        <v>37169.17</v>
      </c>
      <c r="E32" s="3192">
        <v>111507.51</v>
      </c>
      <c r="F32" s="3192" t="s">
        <v>3251</v>
      </c>
      <c r="G32" s="3192" t="s">
        <v>3061</v>
      </c>
      <c r="H32" s="3192" t="s">
        <v>3252</v>
      </c>
      <c r="I32" s="3192">
        <v>11151</v>
      </c>
      <c r="J32" s="3192">
        <v>11151</v>
      </c>
      <c r="K32" s="3193">
        <v>1000.01</v>
      </c>
      <c r="L32" s="3192">
        <v>0</v>
      </c>
      <c r="M32" s="3192" t="s">
        <v>3208</v>
      </c>
      <c r="N32" s="3192" t="s">
        <v>3063</v>
      </c>
    </row>
    <row r="33" spans="1:14" s="3196" customFormat="1">
      <c r="A33" s="3196" t="s">
        <v>3268</v>
      </c>
      <c r="B33" s="3196" t="s">
        <v>3202</v>
      </c>
      <c r="C33" s="3196" t="s">
        <v>3059</v>
      </c>
      <c r="D33" s="3196">
        <v>74530.13</v>
      </c>
      <c r="E33" s="3196">
        <v>149060.26</v>
      </c>
      <c r="F33" s="3196" t="s">
        <v>3264</v>
      </c>
      <c r="G33" s="3196" t="s">
        <v>3061</v>
      </c>
      <c r="H33" s="3196" t="s">
        <v>3252</v>
      </c>
      <c r="I33" s="3196">
        <v>44718</v>
      </c>
      <c r="J33" s="3196">
        <v>64718</v>
      </c>
      <c r="K33" s="3196">
        <v>4341.72</v>
      </c>
      <c r="L33" s="3196">
        <v>44.72</v>
      </c>
      <c r="M33" s="3196" t="s">
        <v>3269</v>
      </c>
      <c r="N33" s="3196" t="s">
        <v>3063</v>
      </c>
    </row>
    <row r="34" spans="1:14">
      <c r="A34" s="3192" t="s">
        <v>3268</v>
      </c>
      <c r="B34" s="3192" t="s">
        <v>3202</v>
      </c>
      <c r="C34" s="3192" t="s">
        <v>3059</v>
      </c>
      <c r="D34" s="3192">
        <v>87573.2</v>
      </c>
      <c r="E34" s="3192">
        <v>175146.4</v>
      </c>
      <c r="F34" s="3192" t="s">
        <v>3270</v>
      </c>
      <c r="G34" s="3192" t="s">
        <v>3061</v>
      </c>
      <c r="H34" s="3192" t="s">
        <v>3252</v>
      </c>
      <c r="I34" s="3192">
        <v>52544</v>
      </c>
      <c r="J34" s="3192">
        <v>66544</v>
      </c>
      <c r="K34" s="3193">
        <v>3799.34</v>
      </c>
      <c r="L34" s="3192">
        <v>26.64</v>
      </c>
      <c r="M34" s="3192" t="s">
        <v>3271</v>
      </c>
      <c r="N34" s="3192" t="s">
        <v>3063</v>
      </c>
    </row>
    <row r="35" spans="1:14">
      <c r="A35" s="3192" t="s">
        <v>3272</v>
      </c>
      <c r="B35" s="3192" t="s">
        <v>3202</v>
      </c>
      <c r="C35" s="3192" t="s">
        <v>3059</v>
      </c>
      <c r="D35" s="3192">
        <v>39375.019999999997</v>
      </c>
      <c r="E35" s="3192">
        <v>78750.039999999994</v>
      </c>
      <c r="F35" s="3192" t="s">
        <v>3270</v>
      </c>
      <c r="G35" s="3192" t="s">
        <v>3061</v>
      </c>
      <c r="H35" s="3192" t="s">
        <v>3273</v>
      </c>
      <c r="I35" s="3192">
        <v>16538</v>
      </c>
      <c r="J35" s="3192">
        <v>16538</v>
      </c>
      <c r="K35" s="3193">
        <v>2100.0500000000002</v>
      </c>
      <c r="L35" s="3192">
        <v>0</v>
      </c>
      <c r="M35" s="3192" t="s">
        <v>3274</v>
      </c>
      <c r="N35" s="3192" t="s">
        <v>3063</v>
      </c>
    </row>
    <row r="36" spans="1:14">
      <c r="A36" s="3192" t="s">
        <v>3275</v>
      </c>
      <c r="B36" s="3192" t="s">
        <v>3202</v>
      </c>
      <c r="C36" s="3192" t="s">
        <v>3059</v>
      </c>
      <c r="D36" s="3192">
        <v>20493.849999999999</v>
      </c>
      <c r="E36" s="3192">
        <v>51234.63</v>
      </c>
      <c r="F36" s="3192" t="s">
        <v>3257</v>
      </c>
      <c r="G36" s="3192" t="s">
        <v>3061</v>
      </c>
      <c r="H36" s="3192" t="s">
        <v>3273</v>
      </c>
      <c r="I36" s="3192">
        <v>15500</v>
      </c>
      <c r="J36" s="3192">
        <v>15500</v>
      </c>
      <c r="K36" s="3193">
        <v>3025.3</v>
      </c>
      <c r="L36" s="3192">
        <v>0</v>
      </c>
      <c r="M36" s="3192" t="s">
        <v>3276</v>
      </c>
      <c r="N36" s="3192" t="s">
        <v>3063</v>
      </c>
    </row>
    <row r="37" spans="1:14">
      <c r="A37" s="3192" t="s">
        <v>3277</v>
      </c>
      <c r="B37" s="3192" t="s">
        <v>3202</v>
      </c>
      <c r="C37" s="3192" t="s">
        <v>3059</v>
      </c>
      <c r="D37" s="3192">
        <v>139999.6</v>
      </c>
      <c r="E37" s="3192">
        <v>251999.3</v>
      </c>
      <c r="F37" s="3192" t="s">
        <v>3278</v>
      </c>
      <c r="G37" s="3192" t="s">
        <v>3061</v>
      </c>
      <c r="H37" s="3192" t="s">
        <v>3273</v>
      </c>
      <c r="I37" s="3192">
        <v>42000</v>
      </c>
      <c r="J37" s="3192">
        <v>42000</v>
      </c>
      <c r="K37" s="3193">
        <v>1666.67</v>
      </c>
      <c r="L37" s="3192">
        <v>0</v>
      </c>
      <c r="M37" s="3192" t="s">
        <v>3279</v>
      </c>
      <c r="N37" s="3192" t="s">
        <v>3123</v>
      </c>
    </row>
    <row r="38" spans="1:14">
      <c r="A38" s="3192" t="s">
        <v>3280</v>
      </c>
      <c r="B38" s="3192" t="s">
        <v>3202</v>
      </c>
      <c r="C38" s="3192" t="s">
        <v>3059</v>
      </c>
      <c r="D38" s="3192">
        <v>39681.83</v>
      </c>
      <c r="E38" s="3192">
        <v>67459.11</v>
      </c>
      <c r="F38" s="3192" t="s">
        <v>3281</v>
      </c>
      <c r="G38" s="3192" t="s">
        <v>3061</v>
      </c>
      <c r="H38" s="3192" t="s">
        <v>3273</v>
      </c>
      <c r="I38" s="3192">
        <v>16667</v>
      </c>
      <c r="J38" s="3192">
        <v>16667</v>
      </c>
      <c r="K38" s="3193">
        <v>2470.67</v>
      </c>
      <c r="L38" s="3192">
        <v>0</v>
      </c>
      <c r="M38" s="3192" t="s">
        <v>3276</v>
      </c>
      <c r="N38" s="3192" t="s">
        <v>3063</v>
      </c>
    </row>
    <row r="39" spans="1:14">
      <c r="A39" s="3192" t="s">
        <v>3282</v>
      </c>
      <c r="B39" s="3192" t="s">
        <v>3202</v>
      </c>
      <c r="C39" s="3192" t="s">
        <v>3059</v>
      </c>
      <c r="D39" s="3192">
        <v>79332.36</v>
      </c>
      <c r="E39" s="3192">
        <v>198330.9</v>
      </c>
      <c r="F39" s="3192" t="s">
        <v>3257</v>
      </c>
      <c r="G39" s="3192" t="s">
        <v>3061</v>
      </c>
      <c r="H39" s="3192" t="s">
        <v>3273</v>
      </c>
      <c r="I39" s="3192">
        <v>23800</v>
      </c>
      <c r="J39" s="3192">
        <v>23800</v>
      </c>
      <c r="K39" s="3193">
        <v>1200</v>
      </c>
      <c r="L39" s="3192">
        <v>0</v>
      </c>
      <c r="M39" s="3192" t="s">
        <v>3283</v>
      </c>
      <c r="N39" s="3192" t="s">
        <v>3123</v>
      </c>
    </row>
    <row r="40" spans="1:14">
      <c r="A40" s="3192" t="s">
        <v>3284</v>
      </c>
      <c r="B40" s="3192" t="s">
        <v>3202</v>
      </c>
      <c r="C40" s="3192" t="s">
        <v>3059</v>
      </c>
      <c r="D40" s="3192">
        <v>21455.63</v>
      </c>
      <c r="E40" s="3192">
        <v>53639.08</v>
      </c>
      <c r="F40" s="3192" t="s">
        <v>3257</v>
      </c>
      <c r="G40" s="3192" t="s">
        <v>3061</v>
      </c>
      <c r="H40" s="3192" t="s">
        <v>3273</v>
      </c>
      <c r="I40" s="3192">
        <v>16200</v>
      </c>
      <c r="J40" s="3192">
        <v>16200</v>
      </c>
      <c r="K40" s="3193">
        <v>3020.19</v>
      </c>
      <c r="L40" s="3192">
        <v>0</v>
      </c>
      <c r="M40" s="3192" t="s">
        <v>3285</v>
      </c>
      <c r="N40" s="3192" t="s">
        <v>3063</v>
      </c>
    </row>
    <row r="41" spans="1:14">
      <c r="A41" s="3192" t="s">
        <v>3286</v>
      </c>
      <c r="B41" s="3192" t="s">
        <v>3202</v>
      </c>
      <c r="C41" s="3192" t="s">
        <v>3059</v>
      </c>
      <c r="D41" s="3192">
        <v>38218</v>
      </c>
      <c r="E41" s="3192">
        <v>122297.60000000001</v>
      </c>
      <c r="F41" s="3192" t="s">
        <v>3287</v>
      </c>
      <c r="G41" s="3192" t="s">
        <v>3061</v>
      </c>
      <c r="H41" s="3192" t="s">
        <v>3273</v>
      </c>
      <c r="I41" s="3192">
        <v>11470</v>
      </c>
      <c r="J41" s="3192">
        <v>11470</v>
      </c>
      <c r="K41" s="3193">
        <v>937.87</v>
      </c>
      <c r="L41" s="3192">
        <v>0</v>
      </c>
      <c r="M41" s="3192" t="s">
        <v>3205</v>
      </c>
      <c r="N41" s="3192" t="s">
        <v>3063</v>
      </c>
    </row>
    <row r="42" spans="1:14">
      <c r="A42" s="3192" t="s">
        <v>3288</v>
      </c>
      <c r="B42" s="3192" t="s">
        <v>3202</v>
      </c>
      <c r="C42" s="3192" t="s">
        <v>3059</v>
      </c>
      <c r="D42" s="3192">
        <v>18804.27</v>
      </c>
      <c r="E42" s="3192">
        <v>52651.96</v>
      </c>
      <c r="F42" s="3192" t="s">
        <v>3289</v>
      </c>
      <c r="G42" s="3192" t="s">
        <v>3061</v>
      </c>
      <c r="H42" s="3192" t="s">
        <v>3273</v>
      </c>
      <c r="I42" s="3192">
        <v>14400</v>
      </c>
      <c r="J42" s="3192">
        <v>14400</v>
      </c>
      <c r="K42" s="3193">
        <v>2734.94</v>
      </c>
      <c r="L42" s="3192">
        <v>0</v>
      </c>
      <c r="M42" s="3192" t="s">
        <v>3276</v>
      </c>
      <c r="N42" s="3192" t="s">
        <v>3063</v>
      </c>
    </row>
    <row r="43" spans="1:14">
      <c r="A43" s="3192" t="s">
        <v>3290</v>
      </c>
      <c r="B43" s="3192" t="s">
        <v>3202</v>
      </c>
      <c r="C43" s="3192" t="s">
        <v>3059</v>
      </c>
      <c r="D43" s="3192">
        <v>28162</v>
      </c>
      <c r="E43" s="3192">
        <v>70405</v>
      </c>
      <c r="F43" s="3192" t="s">
        <v>3257</v>
      </c>
      <c r="G43" s="3192" t="s">
        <v>3061</v>
      </c>
      <c r="H43" s="3192" t="s">
        <v>3273</v>
      </c>
      <c r="I43" s="3192">
        <v>9300</v>
      </c>
      <c r="J43" s="3192">
        <v>26400</v>
      </c>
      <c r="K43" s="3193">
        <v>3749.73</v>
      </c>
      <c r="L43" s="3192">
        <v>183.87</v>
      </c>
      <c r="M43" s="3192" t="s">
        <v>3291</v>
      </c>
      <c r="N43" s="3192" t="s">
        <v>3123</v>
      </c>
    </row>
    <row r="44" spans="1:14">
      <c r="A44" s="3192" t="s">
        <v>3292</v>
      </c>
      <c r="B44" s="3192" t="s">
        <v>3202</v>
      </c>
      <c r="C44" s="3192" t="s">
        <v>3083</v>
      </c>
      <c r="D44" s="3192">
        <v>73370.52</v>
      </c>
      <c r="E44" s="3192">
        <v>166917.9</v>
      </c>
      <c r="F44" s="3192" t="s">
        <v>3293</v>
      </c>
      <c r="G44" s="3192" t="s">
        <v>3061</v>
      </c>
      <c r="H44" s="3192" t="s">
        <v>3273</v>
      </c>
      <c r="I44" s="3192">
        <v>30460</v>
      </c>
      <c r="J44" s="3192">
        <v>78460</v>
      </c>
      <c r="K44" s="3193">
        <v>4700.51</v>
      </c>
      <c r="L44" s="3192">
        <v>157.58000000000001</v>
      </c>
      <c r="M44" s="3192" t="s">
        <v>3294</v>
      </c>
      <c r="N44" s="3192" t="s">
        <v>3072</v>
      </c>
    </row>
    <row r="45" spans="1:14">
      <c r="A45" s="3192" t="s">
        <v>3295</v>
      </c>
      <c r="B45" s="3192" t="s">
        <v>3202</v>
      </c>
      <c r="C45" s="3192" t="s">
        <v>3059</v>
      </c>
      <c r="D45" s="3192">
        <v>87654.76</v>
      </c>
      <c r="E45" s="3192">
        <v>219136.9</v>
      </c>
      <c r="F45" s="3192" t="s">
        <v>3257</v>
      </c>
      <c r="G45" s="3192" t="s">
        <v>3061</v>
      </c>
      <c r="H45" s="3192" t="s">
        <v>3273</v>
      </c>
      <c r="I45" s="3192">
        <v>26297</v>
      </c>
      <c r="J45" s="3192">
        <v>26297</v>
      </c>
      <c r="K45" s="3193">
        <v>1200.02</v>
      </c>
      <c r="L45" s="3192">
        <v>0</v>
      </c>
      <c r="M45" s="3192" t="s">
        <v>3283</v>
      </c>
      <c r="N45" s="3192" t="s">
        <v>3123</v>
      </c>
    </row>
    <row r="46" spans="1:14">
      <c r="A46" s="3192" t="s">
        <v>3296</v>
      </c>
      <c r="B46" s="3192" t="s">
        <v>3202</v>
      </c>
      <c r="C46" s="3192" t="s">
        <v>3083</v>
      </c>
      <c r="D46" s="3192">
        <v>59957.25</v>
      </c>
      <c r="E46" s="3192">
        <v>77944.429999999993</v>
      </c>
      <c r="F46" s="3192" t="s">
        <v>3297</v>
      </c>
      <c r="G46" s="3192" t="s">
        <v>3061</v>
      </c>
      <c r="H46" s="3192" t="s">
        <v>3298</v>
      </c>
      <c r="I46" s="3192">
        <v>17988</v>
      </c>
      <c r="J46" s="3192">
        <v>17988</v>
      </c>
      <c r="K46" s="3193">
        <v>2307.8000000000002</v>
      </c>
      <c r="L46" s="3192">
        <v>0</v>
      </c>
      <c r="M46" s="3192" t="s">
        <v>3155</v>
      </c>
      <c r="N46" s="3192" t="s">
        <v>3063</v>
      </c>
    </row>
    <row r="47" spans="1:14">
      <c r="A47" s="3192" t="s">
        <v>3299</v>
      </c>
      <c r="B47" s="3192" t="s">
        <v>3202</v>
      </c>
      <c r="C47" s="3192" t="s">
        <v>3083</v>
      </c>
      <c r="D47" s="3192">
        <v>29872.69</v>
      </c>
      <c r="E47" s="3192">
        <v>71694.460000000006</v>
      </c>
      <c r="F47" s="3192" t="s">
        <v>3300</v>
      </c>
      <c r="G47" s="3192" t="s">
        <v>3061</v>
      </c>
      <c r="H47" s="3192" t="s">
        <v>3298</v>
      </c>
      <c r="I47" s="3192">
        <v>8962</v>
      </c>
      <c r="J47" s="3192">
        <v>8962</v>
      </c>
      <c r="K47" s="3193">
        <v>1250.02</v>
      </c>
      <c r="L47" s="3192">
        <v>0</v>
      </c>
      <c r="M47" s="3192" t="s">
        <v>3155</v>
      </c>
      <c r="N47" s="3192" t="s">
        <v>3063</v>
      </c>
    </row>
    <row r="48" spans="1:14">
      <c r="A48" s="3192" t="s">
        <v>3301</v>
      </c>
      <c r="B48" s="3192" t="s">
        <v>3202</v>
      </c>
      <c r="C48" s="3192" t="s">
        <v>3083</v>
      </c>
      <c r="D48" s="3192">
        <v>56665.39</v>
      </c>
      <c r="E48" s="3192">
        <v>141663.5</v>
      </c>
      <c r="F48" s="3192" t="s">
        <v>3257</v>
      </c>
      <c r="G48" s="3192" t="s">
        <v>3061</v>
      </c>
      <c r="H48" s="3192" t="s">
        <v>3298</v>
      </c>
      <c r="I48" s="3192">
        <v>17000</v>
      </c>
      <c r="J48" s="3192">
        <v>17000</v>
      </c>
      <c r="K48" s="3193">
        <v>1200.02</v>
      </c>
      <c r="L48" s="3192">
        <v>0</v>
      </c>
      <c r="M48" s="3192" t="s">
        <v>3155</v>
      </c>
      <c r="N48" s="3192" t="s">
        <v>3063</v>
      </c>
    </row>
    <row r="49" spans="1:14">
      <c r="A49" s="3192" t="s">
        <v>3302</v>
      </c>
      <c r="B49" s="3192" t="s">
        <v>3202</v>
      </c>
      <c r="C49" s="3192" t="s">
        <v>3083</v>
      </c>
      <c r="D49" s="3192">
        <v>57126.7</v>
      </c>
      <c r="E49" s="3192">
        <v>142816.79999999999</v>
      </c>
      <c r="F49" s="3192" t="s">
        <v>3257</v>
      </c>
      <c r="G49" s="3192" t="s">
        <v>3061</v>
      </c>
      <c r="H49" s="3192" t="s">
        <v>3298</v>
      </c>
      <c r="I49" s="3192">
        <v>25708</v>
      </c>
      <c r="J49" s="3192">
        <v>25708</v>
      </c>
      <c r="K49" s="3193">
        <v>1800.06</v>
      </c>
      <c r="L49" s="3192">
        <v>0</v>
      </c>
      <c r="M49" s="3192" t="s">
        <v>3303</v>
      </c>
      <c r="N49" s="3192" t="s">
        <v>3072</v>
      </c>
    </row>
    <row r="50" spans="1:14">
      <c r="A50" s="3192" t="s">
        <v>3304</v>
      </c>
      <c r="B50" s="3192" t="s">
        <v>3202</v>
      </c>
      <c r="C50" s="3192" t="s">
        <v>3083</v>
      </c>
      <c r="D50" s="3192">
        <v>17368.79</v>
      </c>
      <c r="E50" s="3192">
        <v>43421.98</v>
      </c>
      <c r="F50" s="3192" t="s">
        <v>3257</v>
      </c>
      <c r="G50" s="3192" t="s">
        <v>3061</v>
      </c>
      <c r="H50" s="3192" t="s">
        <v>3298</v>
      </c>
      <c r="I50" s="3192">
        <v>5211</v>
      </c>
      <c r="J50" s="3192">
        <v>5211</v>
      </c>
      <c r="K50" s="3193">
        <v>1200.07</v>
      </c>
      <c r="L50" s="3192">
        <v>0</v>
      </c>
      <c r="M50" s="3192" t="s">
        <v>3155</v>
      </c>
      <c r="N50" s="3192" t="s">
        <v>3063</v>
      </c>
    </row>
    <row r="51" spans="1:14">
      <c r="A51" s="3192" t="s">
        <v>3305</v>
      </c>
      <c r="B51" s="3192" t="s">
        <v>3202</v>
      </c>
      <c r="C51" s="3192" t="s">
        <v>3083</v>
      </c>
      <c r="D51" s="3192">
        <v>21482.81</v>
      </c>
      <c r="E51" s="3192">
        <v>51558.74</v>
      </c>
      <c r="F51" s="3192" t="s">
        <v>3300</v>
      </c>
      <c r="G51" s="3192" t="s">
        <v>3061</v>
      </c>
      <c r="H51" s="3192" t="s">
        <v>3298</v>
      </c>
      <c r="I51" s="3192">
        <v>6445</v>
      </c>
      <c r="J51" s="3192">
        <v>6445</v>
      </c>
      <c r="K51" s="3193">
        <v>1250.02</v>
      </c>
      <c r="L51" s="3192">
        <v>0</v>
      </c>
      <c r="M51" s="3192" t="s">
        <v>3155</v>
      </c>
      <c r="N51" s="3192" t="s">
        <v>3063</v>
      </c>
    </row>
    <row r="52" spans="1:14">
      <c r="A52" s="3192" t="s">
        <v>3306</v>
      </c>
      <c r="B52" s="3192" t="s">
        <v>3202</v>
      </c>
      <c r="C52" s="3192" t="s">
        <v>3059</v>
      </c>
      <c r="D52" s="3192">
        <v>46923.7</v>
      </c>
      <c r="E52" s="3192">
        <v>93847.4</v>
      </c>
      <c r="F52" s="3192" t="s">
        <v>3270</v>
      </c>
      <c r="G52" s="3192" t="s">
        <v>3061</v>
      </c>
      <c r="H52" s="3192" t="s">
        <v>3307</v>
      </c>
      <c r="I52" s="3192">
        <v>19708</v>
      </c>
      <c r="J52" s="3192">
        <v>19708</v>
      </c>
      <c r="K52" s="3193">
        <v>2100</v>
      </c>
      <c r="L52" s="3192">
        <v>0</v>
      </c>
      <c r="M52" s="3192" t="s">
        <v>3243</v>
      </c>
      <c r="N52" s="3192" t="s">
        <v>3063</v>
      </c>
    </row>
    <row r="53" spans="1:14">
      <c r="A53" s="3192" t="s">
        <v>3308</v>
      </c>
      <c r="B53" s="3192" t="s">
        <v>3202</v>
      </c>
      <c r="C53" s="3192" t="s">
        <v>3083</v>
      </c>
      <c r="D53" s="3192">
        <v>115896</v>
      </c>
      <c r="E53" s="3192">
        <v>231792</v>
      </c>
      <c r="F53" s="3192" t="s">
        <v>3270</v>
      </c>
      <c r="G53" s="3192" t="s">
        <v>3061</v>
      </c>
      <c r="H53" s="3192" t="s">
        <v>3307</v>
      </c>
      <c r="I53" s="3192">
        <v>26693</v>
      </c>
      <c r="J53" s="3192">
        <v>37493</v>
      </c>
      <c r="K53" s="3193">
        <v>1617.52</v>
      </c>
      <c r="L53" s="3192">
        <v>40.46</v>
      </c>
      <c r="M53" s="3192" t="s">
        <v>3309</v>
      </c>
      <c r="N53" s="3192" t="s">
        <v>3063</v>
      </c>
    </row>
    <row r="54" spans="1:14">
      <c r="A54" s="3192" t="s">
        <v>3310</v>
      </c>
      <c r="B54" s="3192" t="s">
        <v>3202</v>
      </c>
      <c r="C54" s="3192" t="s">
        <v>3083</v>
      </c>
      <c r="D54" s="3192">
        <v>91911.53</v>
      </c>
      <c r="E54" s="3192">
        <v>156249.60000000001</v>
      </c>
      <c r="F54" s="3192" t="s">
        <v>3281</v>
      </c>
      <c r="G54" s="3192" t="s">
        <v>3061</v>
      </c>
      <c r="H54" s="3192" t="s">
        <v>3311</v>
      </c>
      <c r="I54" s="3192">
        <v>13787</v>
      </c>
      <c r="J54" s="3192">
        <v>13787</v>
      </c>
      <c r="K54" s="3193">
        <v>882.37</v>
      </c>
      <c r="L54" s="3192">
        <v>0</v>
      </c>
      <c r="M54" s="3192" t="s">
        <v>3243</v>
      </c>
      <c r="N54" s="3192" t="s">
        <v>3123</v>
      </c>
    </row>
    <row r="55" spans="1:14">
      <c r="A55" s="3192" t="s">
        <v>3312</v>
      </c>
      <c r="B55" s="3192" t="s">
        <v>3202</v>
      </c>
      <c r="C55" s="3192" t="s">
        <v>3059</v>
      </c>
      <c r="D55" s="3192">
        <v>102329.8</v>
      </c>
      <c r="E55" s="3192">
        <v>173960.6</v>
      </c>
      <c r="F55" s="3192" t="s">
        <v>3281</v>
      </c>
      <c r="G55" s="3192" t="s">
        <v>3061</v>
      </c>
      <c r="H55" s="3192" t="s">
        <v>3311</v>
      </c>
      <c r="I55" s="3192">
        <v>43000</v>
      </c>
      <c r="J55" s="3192">
        <v>61000</v>
      </c>
      <c r="K55" s="3193">
        <v>3506.53</v>
      </c>
      <c r="L55" s="3192">
        <v>41.86</v>
      </c>
      <c r="M55" s="3192" t="s">
        <v>3313</v>
      </c>
      <c r="N55" s="3192" t="s">
        <v>3063</v>
      </c>
    </row>
    <row r="56" spans="1:14">
      <c r="A56" s="3192" t="s">
        <v>3314</v>
      </c>
      <c r="B56" s="3192" t="s">
        <v>3202</v>
      </c>
      <c r="C56" s="3192" t="s">
        <v>3083</v>
      </c>
      <c r="D56" s="3192">
        <v>88183.58</v>
      </c>
      <c r="E56" s="3192">
        <v>149912.1</v>
      </c>
      <c r="F56" s="3192" t="s">
        <v>3281</v>
      </c>
      <c r="G56" s="3192" t="s">
        <v>3061</v>
      </c>
      <c r="H56" s="3192" t="s">
        <v>3311</v>
      </c>
      <c r="I56" s="3192">
        <v>13228</v>
      </c>
      <c r="J56" s="3192">
        <v>13228</v>
      </c>
      <c r="K56" s="3193">
        <v>882.37</v>
      </c>
      <c r="L56" s="3192">
        <v>0</v>
      </c>
      <c r="M56" s="3192" t="s">
        <v>3243</v>
      </c>
      <c r="N56" s="3192" t="s">
        <v>3063</v>
      </c>
    </row>
    <row r="57" spans="1:14">
      <c r="A57" s="3192" t="s">
        <v>3315</v>
      </c>
      <c r="B57" s="3192" t="s">
        <v>3202</v>
      </c>
      <c r="C57" s="3192" t="s">
        <v>3083</v>
      </c>
      <c r="D57" s="3192">
        <v>9654.74</v>
      </c>
      <c r="E57" s="3192">
        <v>27033.27</v>
      </c>
      <c r="F57" s="3192" t="s">
        <v>3289</v>
      </c>
      <c r="G57" s="3192" t="s">
        <v>3066</v>
      </c>
      <c r="H57" s="3192" t="s">
        <v>3316</v>
      </c>
      <c r="I57" s="3192">
        <v>8280</v>
      </c>
      <c r="J57" s="3192">
        <v>8280</v>
      </c>
      <c r="K57" s="3193">
        <v>3062.88</v>
      </c>
      <c r="L57" s="3192">
        <v>0</v>
      </c>
      <c r="M57" s="3192" t="s">
        <v>3317</v>
      </c>
      <c r="N57" s="3192" t="s">
        <v>3063</v>
      </c>
    </row>
    <row r="58" spans="1:14" s="3201" customFormat="1">
      <c r="A58" s="3201" t="s">
        <v>3318</v>
      </c>
      <c r="B58" s="3201" t="s">
        <v>3202</v>
      </c>
      <c r="C58" s="3201" t="s">
        <v>3083</v>
      </c>
      <c r="D58" s="3201">
        <v>120890.5</v>
      </c>
      <c r="E58" s="3201">
        <v>181335.8</v>
      </c>
      <c r="F58" s="3201" t="s">
        <v>3319</v>
      </c>
      <c r="G58" s="3201" t="s">
        <v>3066</v>
      </c>
      <c r="H58" s="3201" t="s">
        <v>3316</v>
      </c>
      <c r="I58" s="3201">
        <v>109360</v>
      </c>
      <c r="J58" s="3201">
        <v>109360</v>
      </c>
      <c r="K58" s="3202">
        <v>6030.8</v>
      </c>
      <c r="L58" s="3201">
        <v>0</v>
      </c>
      <c r="M58" s="3201" t="s">
        <v>3320</v>
      </c>
      <c r="N58" s="3201" t="s">
        <v>3072</v>
      </c>
    </row>
    <row r="59" spans="1:14">
      <c r="A59" s="3192" t="s">
        <v>3321</v>
      </c>
      <c r="B59" s="3192" t="s">
        <v>3202</v>
      </c>
      <c r="C59" s="3192" t="s">
        <v>3083</v>
      </c>
      <c r="D59" s="3192">
        <v>123136.6</v>
      </c>
      <c r="E59" s="3192">
        <v>221645.9</v>
      </c>
      <c r="F59" s="3192" t="s">
        <v>3322</v>
      </c>
      <c r="G59" s="3192" t="s">
        <v>3066</v>
      </c>
      <c r="H59" s="3192" t="s">
        <v>3316</v>
      </c>
      <c r="I59" s="3192">
        <v>118540</v>
      </c>
      <c r="J59" s="3192">
        <v>118540</v>
      </c>
      <c r="K59" s="3193">
        <v>5348.17</v>
      </c>
      <c r="L59" s="3192">
        <v>0</v>
      </c>
      <c r="M59" s="3192" t="s">
        <v>3320</v>
      </c>
      <c r="N59" s="3192" t="s">
        <v>3072</v>
      </c>
    </row>
    <row r="60" spans="1:14">
      <c r="A60" s="3192" t="s">
        <v>3323</v>
      </c>
      <c r="B60" s="3192" t="s">
        <v>3202</v>
      </c>
      <c r="C60" s="3192" t="s">
        <v>3083</v>
      </c>
      <c r="D60" s="3192">
        <v>148223.4</v>
      </c>
      <c r="E60" s="3192">
        <v>296446.90000000002</v>
      </c>
      <c r="F60" s="3192" t="s">
        <v>3324</v>
      </c>
      <c r="G60" s="3192" t="s">
        <v>3066</v>
      </c>
      <c r="H60" s="3192" t="s">
        <v>3316</v>
      </c>
      <c r="I60" s="3192">
        <v>148600</v>
      </c>
      <c r="J60" s="3192">
        <v>148600</v>
      </c>
      <c r="K60" s="3193">
        <v>5012.6899999999996</v>
      </c>
      <c r="L60" s="3192">
        <v>0</v>
      </c>
      <c r="M60" s="3192" t="s">
        <v>3320</v>
      </c>
      <c r="N60" s="3192" t="s">
        <v>3072</v>
      </c>
    </row>
    <row r="61" spans="1:14">
      <c r="A61" s="3192" t="s">
        <v>3325</v>
      </c>
      <c r="B61" s="3192" t="s">
        <v>3202</v>
      </c>
      <c r="C61" s="3192" t="s">
        <v>3083</v>
      </c>
      <c r="D61" s="3192">
        <v>66432.59</v>
      </c>
      <c r="E61" s="3192">
        <v>166081.5</v>
      </c>
      <c r="F61" s="3192" t="s">
        <v>3257</v>
      </c>
      <c r="G61" s="3192" t="s">
        <v>3061</v>
      </c>
      <c r="H61" s="3192" t="s">
        <v>3326</v>
      </c>
      <c r="I61" s="3192">
        <v>63782</v>
      </c>
      <c r="J61" s="3192">
        <v>97782</v>
      </c>
      <c r="K61" s="3193">
        <v>5887.59</v>
      </c>
      <c r="L61" s="3192">
        <v>53.31</v>
      </c>
      <c r="M61" s="3192" t="s">
        <v>3327</v>
      </c>
      <c r="N61" s="3192" t="s">
        <v>3328</v>
      </c>
    </row>
    <row r="62" spans="1:14">
      <c r="A62" s="3192" t="s">
        <v>3329</v>
      </c>
      <c r="B62" s="3192" t="s">
        <v>3202</v>
      </c>
      <c r="C62" s="3192" t="s">
        <v>3059</v>
      </c>
      <c r="D62" s="3192">
        <v>9573.33</v>
      </c>
      <c r="E62" s="3192">
        <v>52078.92</v>
      </c>
      <c r="F62" s="3192">
        <v>5.44</v>
      </c>
      <c r="G62" s="3192" t="s">
        <v>3066</v>
      </c>
      <c r="H62" s="3192" t="s">
        <v>3330</v>
      </c>
      <c r="I62" s="3192">
        <v>4642</v>
      </c>
      <c r="J62" s="3192">
        <v>4642</v>
      </c>
      <c r="K62" s="3193">
        <v>891.34</v>
      </c>
      <c r="L62" s="3192">
        <v>0</v>
      </c>
      <c r="M62" s="3192" t="s">
        <v>3331</v>
      </c>
      <c r="N62" s="3192" t="s">
        <v>3063</v>
      </c>
    </row>
    <row r="63" spans="1:14">
      <c r="A63" s="3192" t="s">
        <v>3332</v>
      </c>
      <c r="B63" s="3192" t="s">
        <v>3202</v>
      </c>
      <c r="C63" s="3192" t="s">
        <v>3083</v>
      </c>
      <c r="D63" s="3192">
        <v>63614.71</v>
      </c>
      <c r="E63" s="3192">
        <v>152675.29999999999</v>
      </c>
      <c r="F63" s="3192" t="s">
        <v>3300</v>
      </c>
      <c r="G63" s="3192" t="s">
        <v>3061</v>
      </c>
      <c r="H63" s="3192" t="s">
        <v>3333</v>
      </c>
      <c r="I63" s="3192">
        <v>26719</v>
      </c>
      <c r="J63" s="3192">
        <v>26719</v>
      </c>
      <c r="K63" s="3193">
        <v>1750.04</v>
      </c>
      <c r="L63" s="3192">
        <v>0</v>
      </c>
      <c r="M63" s="3192" t="s">
        <v>3334</v>
      </c>
      <c r="N63" s="3192" t="s">
        <v>3072</v>
      </c>
    </row>
    <row r="64" spans="1:14">
      <c r="A64" s="3192" t="s">
        <v>3335</v>
      </c>
      <c r="B64" s="3192" t="s">
        <v>3202</v>
      </c>
      <c r="C64" s="3192" t="s">
        <v>3083</v>
      </c>
      <c r="D64" s="3192">
        <v>11593.64</v>
      </c>
      <c r="E64" s="3192">
        <v>37099.65</v>
      </c>
      <c r="F64" s="3192" t="s">
        <v>3287</v>
      </c>
      <c r="G64" s="3192" t="s">
        <v>3061</v>
      </c>
      <c r="H64" s="3192" t="s">
        <v>3333</v>
      </c>
      <c r="I64" s="3192">
        <v>3479</v>
      </c>
      <c r="J64" s="3192">
        <v>3479</v>
      </c>
      <c r="K64" s="3193">
        <v>937.74</v>
      </c>
      <c r="L64" s="3192">
        <v>0</v>
      </c>
      <c r="M64" s="3192" t="s">
        <v>3208</v>
      </c>
      <c r="N64" s="3192" t="s">
        <v>3072</v>
      </c>
    </row>
    <row r="65" spans="1:14">
      <c r="A65" s="3192" t="s">
        <v>3336</v>
      </c>
      <c r="B65" s="3192" t="s">
        <v>3202</v>
      </c>
      <c r="C65" s="3192" t="s">
        <v>3083</v>
      </c>
      <c r="D65" s="3192">
        <v>39827.86</v>
      </c>
      <c r="E65" s="3192">
        <v>99569.65</v>
      </c>
      <c r="F65" s="3192" t="s">
        <v>3257</v>
      </c>
      <c r="G65" s="3192" t="s">
        <v>3061</v>
      </c>
      <c r="H65" s="3192" t="s">
        <v>3333</v>
      </c>
      <c r="I65" s="3192">
        <v>17923</v>
      </c>
      <c r="J65" s="3192">
        <v>17923</v>
      </c>
      <c r="K65" s="3193">
        <v>1800.04</v>
      </c>
      <c r="L65" s="3192">
        <v>0</v>
      </c>
      <c r="M65" s="3192" t="s">
        <v>3337</v>
      </c>
      <c r="N65" s="3192" t="s">
        <v>3072</v>
      </c>
    </row>
    <row r="66" spans="1:14">
      <c r="A66" s="3192" t="s">
        <v>3338</v>
      </c>
      <c r="B66" s="3192" t="s">
        <v>3202</v>
      </c>
      <c r="C66" s="3192" t="s">
        <v>3059</v>
      </c>
      <c r="D66" s="3192">
        <v>34280.47</v>
      </c>
      <c r="E66" s="3192">
        <v>68560.94</v>
      </c>
      <c r="F66" s="3192" t="s">
        <v>3270</v>
      </c>
      <c r="G66" s="3192" t="s">
        <v>3061</v>
      </c>
      <c r="H66" s="3192" t="s">
        <v>3333</v>
      </c>
      <c r="I66" s="3192">
        <v>15427</v>
      </c>
      <c r="J66" s="3192">
        <v>15427</v>
      </c>
      <c r="K66" s="3193">
        <v>2250.11</v>
      </c>
      <c r="L66" s="3192">
        <v>0</v>
      </c>
      <c r="M66" s="3192" t="s">
        <v>3339</v>
      </c>
      <c r="N66" s="3192" t="s">
        <v>3063</v>
      </c>
    </row>
    <row r="67" spans="1:14">
      <c r="A67" s="3192" t="s">
        <v>3336</v>
      </c>
      <c r="B67" s="3192" t="s">
        <v>3202</v>
      </c>
      <c r="C67" s="3192" t="s">
        <v>3083</v>
      </c>
      <c r="D67" s="3192">
        <v>19503.54</v>
      </c>
      <c r="E67" s="3192">
        <v>62411.33</v>
      </c>
      <c r="F67" s="3192" t="s">
        <v>3287</v>
      </c>
      <c r="G67" s="3192" t="s">
        <v>3061</v>
      </c>
      <c r="H67" s="3192" t="s">
        <v>3333</v>
      </c>
      <c r="I67" s="3192">
        <v>5852</v>
      </c>
      <c r="J67" s="3192">
        <v>5852</v>
      </c>
      <c r="K67" s="3193">
        <v>937.64</v>
      </c>
      <c r="L67" s="3192">
        <v>0</v>
      </c>
      <c r="M67" s="3192" t="s">
        <v>3340</v>
      </c>
      <c r="N67" s="3192" t="s">
        <v>3072</v>
      </c>
    </row>
    <row r="68" spans="1:14">
      <c r="A68" s="3192" t="s">
        <v>3341</v>
      </c>
      <c r="B68" s="3192" t="s">
        <v>3202</v>
      </c>
      <c r="C68" s="3192" t="s">
        <v>3059</v>
      </c>
      <c r="D68" s="3192">
        <v>71995.600000000006</v>
      </c>
      <c r="E68" s="3192">
        <v>179989</v>
      </c>
      <c r="F68" s="3192" t="s">
        <v>3257</v>
      </c>
      <c r="G68" s="3192" t="s">
        <v>3061</v>
      </c>
      <c r="H68" s="3192" t="s">
        <v>3342</v>
      </c>
      <c r="I68" s="3192">
        <v>57730</v>
      </c>
      <c r="J68" s="3192">
        <v>84730</v>
      </c>
      <c r="K68" s="3193">
        <v>4707.51</v>
      </c>
      <c r="L68" s="3192">
        <v>46.77</v>
      </c>
      <c r="M68" s="3192" t="s">
        <v>3343</v>
      </c>
      <c r="N68" s="3192" t="s">
        <v>3063</v>
      </c>
    </row>
    <row r="69" spans="1:14">
      <c r="A69" s="3192" t="s">
        <v>3344</v>
      </c>
      <c r="B69" s="3192" t="s">
        <v>3202</v>
      </c>
      <c r="C69" s="3192" t="s">
        <v>3083</v>
      </c>
      <c r="D69" s="3192">
        <v>63650.52</v>
      </c>
      <c r="E69" s="3192">
        <v>178221.5</v>
      </c>
      <c r="F69" s="3192" t="s">
        <v>3289</v>
      </c>
      <c r="G69" s="3192" t="s">
        <v>3066</v>
      </c>
      <c r="H69" s="3192" t="s">
        <v>3345</v>
      </c>
      <c r="I69" s="3192">
        <v>62540</v>
      </c>
      <c r="J69" s="3192">
        <v>62540</v>
      </c>
      <c r="K69" s="3193">
        <v>3509.11</v>
      </c>
      <c r="L69" s="3192">
        <v>0</v>
      </c>
      <c r="M69" s="3192" t="s">
        <v>3346</v>
      </c>
      <c r="N69" s="3192" t="s">
        <v>3072</v>
      </c>
    </row>
    <row r="70" spans="1:14">
      <c r="A70" s="3192" t="s">
        <v>3347</v>
      </c>
      <c r="B70" s="3192" t="s">
        <v>3202</v>
      </c>
      <c r="C70" s="3192" t="s">
        <v>3059</v>
      </c>
      <c r="D70" s="3192">
        <v>994.48</v>
      </c>
      <c r="E70" s="3192">
        <v>1680</v>
      </c>
      <c r="F70" s="3192" t="s">
        <v>3281</v>
      </c>
      <c r="G70" s="3192" t="s">
        <v>3061</v>
      </c>
      <c r="H70" s="3192" t="s">
        <v>3348</v>
      </c>
      <c r="I70" s="3192">
        <v>298</v>
      </c>
      <c r="J70" s="3192">
        <v>298</v>
      </c>
      <c r="K70" s="3193">
        <v>1773.8</v>
      </c>
      <c r="L70" s="3192">
        <v>0</v>
      </c>
      <c r="M70" s="3192" t="s">
        <v>3349</v>
      </c>
      <c r="N70" s="3192" t="s">
        <v>3063</v>
      </c>
    </row>
    <row r="71" spans="1:14">
      <c r="A71" s="3192" t="s">
        <v>3350</v>
      </c>
      <c r="B71" s="3192" t="s">
        <v>3202</v>
      </c>
      <c r="C71" s="3192" t="s">
        <v>3083</v>
      </c>
      <c r="D71" s="3192">
        <v>88713.600000000006</v>
      </c>
      <c r="E71" s="3192">
        <v>245590</v>
      </c>
      <c r="F71" s="3192" t="s">
        <v>3351</v>
      </c>
      <c r="G71" s="3192" t="s">
        <v>3061</v>
      </c>
      <c r="H71" s="3192" t="s">
        <v>3348</v>
      </c>
      <c r="I71" s="3192">
        <v>43710</v>
      </c>
      <c r="J71" s="3192">
        <v>92710</v>
      </c>
      <c r="K71" s="3193">
        <v>3774.98</v>
      </c>
      <c r="L71" s="3192">
        <v>112.1</v>
      </c>
      <c r="M71" s="3192" t="s">
        <v>3352</v>
      </c>
      <c r="N71" s="3192" t="s">
        <v>3072</v>
      </c>
    </row>
    <row r="72" spans="1:14">
      <c r="A72" s="3192" t="s">
        <v>3353</v>
      </c>
      <c r="B72" s="3192" t="s">
        <v>3202</v>
      </c>
      <c r="C72" s="3192" t="s">
        <v>3059</v>
      </c>
      <c r="D72" s="3192">
        <v>13052.99</v>
      </c>
      <c r="E72" s="3192">
        <v>22301</v>
      </c>
      <c r="F72" s="3192" t="s">
        <v>3281</v>
      </c>
      <c r="G72" s="3192" t="s">
        <v>3061</v>
      </c>
      <c r="H72" s="3192" t="s">
        <v>3348</v>
      </c>
      <c r="I72" s="3192">
        <v>3916</v>
      </c>
      <c r="J72" s="3192">
        <v>3916</v>
      </c>
      <c r="K72" s="3193">
        <v>1755.98</v>
      </c>
      <c r="L72" s="3192">
        <v>0</v>
      </c>
      <c r="M72" s="3192" t="s">
        <v>3349</v>
      </c>
      <c r="N72" s="3192" t="s">
        <v>3123</v>
      </c>
    </row>
    <row r="73" spans="1:14">
      <c r="A73" s="3192" t="s">
        <v>3354</v>
      </c>
      <c r="B73" s="3192" t="s">
        <v>3202</v>
      </c>
      <c r="C73" s="3192" t="s">
        <v>3083</v>
      </c>
      <c r="D73" s="3192">
        <v>97277.87</v>
      </c>
      <c r="E73" s="3192">
        <v>197435</v>
      </c>
      <c r="F73" s="3192" t="s">
        <v>3270</v>
      </c>
      <c r="G73" s="3192" t="s">
        <v>3061</v>
      </c>
      <c r="H73" s="3192" t="s">
        <v>3348</v>
      </c>
      <c r="I73" s="3192">
        <v>56910</v>
      </c>
      <c r="J73" s="3192">
        <v>83910</v>
      </c>
      <c r="K73" s="3193">
        <v>4250.01</v>
      </c>
      <c r="L73" s="3192">
        <v>47.44</v>
      </c>
      <c r="M73" s="3192" t="s">
        <v>3355</v>
      </c>
      <c r="N73" s="3192" t="s">
        <v>3072</v>
      </c>
    </row>
    <row r="74" spans="1:14">
      <c r="A74" s="3192" t="s">
        <v>3356</v>
      </c>
      <c r="B74" s="3192" t="s">
        <v>3202</v>
      </c>
      <c r="C74" s="3192" t="s">
        <v>3059</v>
      </c>
      <c r="D74" s="3192">
        <v>43484</v>
      </c>
      <c r="E74" s="3192">
        <v>108710</v>
      </c>
      <c r="F74" s="3192" t="s">
        <v>3357</v>
      </c>
      <c r="G74" s="3192" t="s">
        <v>3061</v>
      </c>
      <c r="H74" s="3192" t="s">
        <v>3358</v>
      </c>
      <c r="I74" s="3192">
        <v>8350</v>
      </c>
      <c r="J74" s="3192">
        <v>8350</v>
      </c>
      <c r="K74" s="3193">
        <v>768.1</v>
      </c>
      <c r="L74" s="3192">
        <v>0</v>
      </c>
      <c r="M74" s="3192" t="s">
        <v>3359</v>
      </c>
      <c r="N74" s="3192" t="s">
        <v>3063</v>
      </c>
    </row>
    <row r="75" spans="1:14">
      <c r="A75" s="3192" t="s">
        <v>3360</v>
      </c>
      <c r="B75" s="3192" t="s">
        <v>3202</v>
      </c>
      <c r="C75" s="3192" t="s">
        <v>3083</v>
      </c>
      <c r="D75" s="3192">
        <v>202324.4</v>
      </c>
      <c r="E75" s="3192">
        <v>571813</v>
      </c>
      <c r="F75" s="3192" t="s">
        <v>3361</v>
      </c>
      <c r="G75" s="3192" t="s">
        <v>3066</v>
      </c>
      <c r="H75" s="3192" t="s">
        <v>3362</v>
      </c>
      <c r="I75" s="3192">
        <v>174060</v>
      </c>
      <c r="J75" s="3192">
        <v>174060</v>
      </c>
      <c r="K75" s="3193">
        <v>3044</v>
      </c>
      <c r="L75" s="3192">
        <v>0</v>
      </c>
      <c r="M75" s="3192" t="s">
        <v>3363</v>
      </c>
      <c r="N75" s="3192" t="s">
        <v>3063</v>
      </c>
    </row>
    <row r="76" spans="1:14">
      <c r="A76" s="3192" t="s">
        <v>3364</v>
      </c>
      <c r="B76" s="3192" t="s">
        <v>3202</v>
      </c>
      <c r="C76" s="3192" t="s">
        <v>3059</v>
      </c>
      <c r="D76" s="3192">
        <v>35886</v>
      </c>
      <c r="E76" s="3192">
        <v>114835.2</v>
      </c>
      <c r="F76" s="3192" t="s">
        <v>3365</v>
      </c>
      <c r="G76" s="3192" t="s">
        <v>3061</v>
      </c>
      <c r="H76" s="3192" t="s">
        <v>3366</v>
      </c>
      <c r="I76" s="3192">
        <v>8613</v>
      </c>
      <c r="J76" s="3192">
        <v>8613</v>
      </c>
      <c r="K76" s="3193">
        <v>750.02</v>
      </c>
      <c r="L76" s="3192">
        <v>0</v>
      </c>
      <c r="M76" s="3192" t="s">
        <v>3367</v>
      </c>
      <c r="N76" s="3192" t="s">
        <v>3328</v>
      </c>
    </row>
    <row r="77" spans="1:14">
      <c r="A77" s="3192" t="s">
        <v>3368</v>
      </c>
      <c r="B77" s="3192" t="s">
        <v>3202</v>
      </c>
      <c r="C77" s="3192" t="s">
        <v>3059</v>
      </c>
      <c r="D77" s="3192">
        <v>15022.2</v>
      </c>
      <c r="E77" s="3192">
        <v>37555.5</v>
      </c>
      <c r="F77" s="3192" t="s">
        <v>3357</v>
      </c>
      <c r="G77" s="3192" t="s">
        <v>3061</v>
      </c>
      <c r="H77" s="3192" t="s">
        <v>3366</v>
      </c>
      <c r="I77" s="3192">
        <v>3606</v>
      </c>
      <c r="J77" s="3192">
        <v>3606</v>
      </c>
      <c r="K77" s="3193">
        <v>960.17</v>
      </c>
      <c r="L77" s="3192">
        <v>0</v>
      </c>
      <c r="M77" s="3192" t="s">
        <v>3155</v>
      </c>
      <c r="N77" s="3192" t="s">
        <v>3123</v>
      </c>
    </row>
    <row r="78" spans="1:14">
      <c r="A78" s="3192" t="s">
        <v>3369</v>
      </c>
      <c r="B78" s="3192" t="s">
        <v>3202</v>
      </c>
      <c r="C78" s="3192" t="s">
        <v>3059</v>
      </c>
      <c r="D78" s="3192">
        <v>52656.7</v>
      </c>
      <c r="E78" s="3192">
        <v>168501.4</v>
      </c>
      <c r="F78" s="3192" t="s">
        <v>3365</v>
      </c>
      <c r="G78" s="3192" t="s">
        <v>3061</v>
      </c>
      <c r="H78" s="3192" t="s">
        <v>3366</v>
      </c>
      <c r="I78" s="3192">
        <v>12638</v>
      </c>
      <c r="J78" s="3192">
        <v>12638</v>
      </c>
      <c r="K78" s="3193">
        <v>750.01</v>
      </c>
      <c r="L78" s="3192">
        <v>0</v>
      </c>
      <c r="M78" s="3192" t="s">
        <v>3367</v>
      </c>
      <c r="N78" s="3192" t="s">
        <v>3328</v>
      </c>
    </row>
    <row r="79" spans="1:14">
      <c r="A79" s="3192" t="s">
        <v>3370</v>
      </c>
      <c r="B79" s="3192" t="s">
        <v>3202</v>
      </c>
      <c r="C79" s="3192" t="s">
        <v>3059</v>
      </c>
      <c r="D79" s="3192">
        <v>25890.799999999999</v>
      </c>
      <c r="E79" s="3192">
        <v>82850.559999999998</v>
      </c>
      <c r="F79" s="3192" t="s">
        <v>3365</v>
      </c>
      <c r="G79" s="3192" t="s">
        <v>3061</v>
      </c>
      <c r="H79" s="3192" t="s">
        <v>3366</v>
      </c>
      <c r="I79" s="3192">
        <v>6214</v>
      </c>
      <c r="J79" s="3192">
        <v>6214</v>
      </c>
      <c r="K79" s="3193">
        <v>750.02</v>
      </c>
      <c r="L79" s="3192">
        <v>0</v>
      </c>
      <c r="M79" s="3192" t="s">
        <v>3367</v>
      </c>
      <c r="N79" s="3192" t="s">
        <v>3328</v>
      </c>
    </row>
    <row r="80" spans="1:14">
      <c r="A80" s="3192" t="s">
        <v>3371</v>
      </c>
      <c r="B80" s="3192" t="s">
        <v>3202</v>
      </c>
      <c r="C80" s="3192" t="s">
        <v>3059</v>
      </c>
      <c r="D80" s="3192">
        <v>4387.1000000000004</v>
      </c>
      <c r="E80" s="3192">
        <v>10967.75</v>
      </c>
      <c r="F80" s="3192" t="s">
        <v>3357</v>
      </c>
      <c r="G80" s="3192" t="s">
        <v>3061</v>
      </c>
      <c r="H80" s="3192" t="s">
        <v>3366</v>
      </c>
      <c r="I80" s="3192">
        <v>1053</v>
      </c>
      <c r="J80" s="3192">
        <v>1053</v>
      </c>
      <c r="K80" s="3193">
        <v>960.09</v>
      </c>
      <c r="L80" s="3192">
        <v>0</v>
      </c>
      <c r="M80" s="3192" t="s">
        <v>3367</v>
      </c>
      <c r="N80" s="3192" t="s">
        <v>3123</v>
      </c>
    </row>
    <row r="81" spans="1:14">
      <c r="A81" s="3192" t="s">
        <v>3372</v>
      </c>
      <c r="B81" s="3192" t="s">
        <v>3202</v>
      </c>
      <c r="C81" s="3192" t="s">
        <v>3059</v>
      </c>
      <c r="D81" s="3192">
        <v>46348.6</v>
      </c>
      <c r="E81" s="3192">
        <v>148315.5</v>
      </c>
      <c r="F81" s="3192" t="s">
        <v>3365</v>
      </c>
      <c r="G81" s="3192" t="s">
        <v>3061</v>
      </c>
      <c r="H81" s="3192" t="s">
        <v>3366</v>
      </c>
      <c r="I81" s="3192">
        <v>11124</v>
      </c>
      <c r="J81" s="3192">
        <v>11124</v>
      </c>
      <c r="K81" s="3193">
        <v>750.01</v>
      </c>
      <c r="L81" s="3192">
        <v>0</v>
      </c>
      <c r="M81" s="3192" t="s">
        <v>3367</v>
      </c>
      <c r="N81" s="3192" t="s">
        <v>3328</v>
      </c>
    </row>
    <row r="82" spans="1:14">
      <c r="A82" s="3192" t="s">
        <v>3373</v>
      </c>
      <c r="B82" s="3192" t="s">
        <v>3202</v>
      </c>
      <c r="C82" s="3192" t="s">
        <v>3083</v>
      </c>
      <c r="D82" s="3192">
        <v>107907</v>
      </c>
      <c r="E82" s="3192">
        <v>215814</v>
      </c>
      <c r="F82" s="3192" t="s">
        <v>3270</v>
      </c>
      <c r="G82" s="3192" t="s">
        <v>3061</v>
      </c>
      <c r="H82" s="3192" t="s">
        <v>3374</v>
      </c>
      <c r="I82" s="3192">
        <v>32696</v>
      </c>
      <c r="J82" s="3192">
        <v>32696</v>
      </c>
      <c r="K82" s="3193">
        <v>1515</v>
      </c>
      <c r="L82" s="3192">
        <v>0</v>
      </c>
      <c r="M82" s="3192" t="s">
        <v>3225</v>
      </c>
      <c r="N82" s="3192" t="s">
        <v>3123</v>
      </c>
    </row>
    <row r="83" spans="1:14">
      <c r="A83" s="3192" t="s">
        <v>3223</v>
      </c>
      <c r="B83" s="3192" t="s">
        <v>3202</v>
      </c>
      <c r="C83" s="3192" t="s">
        <v>3059</v>
      </c>
      <c r="D83" s="3192">
        <v>107077.5</v>
      </c>
      <c r="E83" s="3192">
        <v>214155.1</v>
      </c>
      <c r="F83" s="3192" t="s">
        <v>3270</v>
      </c>
      <c r="G83" s="3192" t="s">
        <v>3061</v>
      </c>
      <c r="H83" s="3192" t="s">
        <v>3374</v>
      </c>
      <c r="I83" s="3192">
        <v>33087</v>
      </c>
      <c r="J83" s="3192">
        <v>33087</v>
      </c>
      <c r="K83" s="3193">
        <v>1545</v>
      </c>
      <c r="L83" s="3192">
        <v>0</v>
      </c>
      <c r="M83" s="3192" t="s">
        <v>3225</v>
      </c>
      <c r="N83" s="3192" t="s">
        <v>3123</v>
      </c>
    </row>
    <row r="84" spans="1:14">
      <c r="A84" s="3192" t="s">
        <v>3375</v>
      </c>
      <c r="B84" s="3192" t="s">
        <v>3202</v>
      </c>
      <c r="C84" s="3192" t="s">
        <v>3059</v>
      </c>
      <c r="D84" s="3192">
        <v>48902</v>
      </c>
      <c r="E84" s="3192">
        <v>122255</v>
      </c>
      <c r="F84" s="3192" t="s">
        <v>3257</v>
      </c>
      <c r="G84" s="3192" t="s">
        <v>3061</v>
      </c>
      <c r="H84" s="3192" t="s">
        <v>3376</v>
      </c>
      <c r="I84" s="3192">
        <v>14680</v>
      </c>
      <c r="J84" s="3192">
        <v>29780</v>
      </c>
      <c r="K84" s="3193">
        <v>2435.88</v>
      </c>
      <c r="L84" s="3192">
        <v>102.86</v>
      </c>
      <c r="M84" s="3192" t="s">
        <v>3377</v>
      </c>
      <c r="N84" s="3192" t="s">
        <v>3151</v>
      </c>
    </row>
    <row r="85" spans="1:14">
      <c r="A85" s="3192" t="s">
        <v>3378</v>
      </c>
      <c r="B85" s="3192" t="s">
        <v>3202</v>
      </c>
      <c r="C85" s="3192" t="s">
        <v>3059</v>
      </c>
      <c r="D85" s="3192">
        <v>55340</v>
      </c>
      <c r="E85" s="3192">
        <v>99612</v>
      </c>
      <c r="F85" s="3192" t="s">
        <v>3379</v>
      </c>
      <c r="G85" s="3192" t="s">
        <v>3061</v>
      </c>
      <c r="H85" s="3192" t="s">
        <v>3376</v>
      </c>
      <c r="I85" s="3192">
        <v>16610</v>
      </c>
      <c r="J85" s="3192">
        <v>38910</v>
      </c>
      <c r="K85" s="3193">
        <v>3906.15</v>
      </c>
      <c r="L85" s="3192">
        <v>134.26</v>
      </c>
      <c r="M85" s="3192" t="s">
        <v>3377</v>
      </c>
      <c r="N85" s="3192" t="s">
        <v>3063</v>
      </c>
    </row>
    <row r="86" spans="1:14">
      <c r="A86" s="3192" t="s">
        <v>3375</v>
      </c>
      <c r="B86" s="3192" t="s">
        <v>3202</v>
      </c>
      <c r="C86" s="3192" t="s">
        <v>3059</v>
      </c>
      <c r="D86" s="3192">
        <v>45283</v>
      </c>
      <c r="E86" s="3192">
        <v>113207.5</v>
      </c>
      <c r="F86" s="3192" t="s">
        <v>3257</v>
      </c>
      <c r="G86" s="3192" t="s">
        <v>3061</v>
      </c>
      <c r="H86" s="3192" t="s">
        <v>3376</v>
      </c>
      <c r="I86" s="3192">
        <v>13590</v>
      </c>
      <c r="J86" s="3192">
        <v>27390</v>
      </c>
      <c r="K86" s="3193">
        <v>2419.44</v>
      </c>
      <c r="L86" s="3192">
        <v>101.55</v>
      </c>
      <c r="M86" s="3192" t="s">
        <v>3377</v>
      </c>
      <c r="N86" s="3192" t="s">
        <v>3151</v>
      </c>
    </row>
    <row r="87" spans="1:14">
      <c r="A87" s="3192" t="s">
        <v>3375</v>
      </c>
      <c r="B87" s="3192" t="s">
        <v>3202</v>
      </c>
      <c r="C87" s="3192" t="s">
        <v>3059</v>
      </c>
      <c r="D87" s="3192">
        <v>49983</v>
      </c>
      <c r="E87" s="3192">
        <v>124957.5</v>
      </c>
      <c r="F87" s="3192" t="s">
        <v>3257</v>
      </c>
      <c r="G87" s="3192" t="s">
        <v>3061</v>
      </c>
      <c r="H87" s="3192" t="s">
        <v>3376</v>
      </c>
      <c r="I87" s="3192">
        <v>15000</v>
      </c>
      <c r="J87" s="3192">
        <v>31700</v>
      </c>
      <c r="K87" s="3193">
        <v>2536.86</v>
      </c>
      <c r="L87" s="3192">
        <v>111.33</v>
      </c>
      <c r="M87" s="3192" t="s">
        <v>3380</v>
      </c>
      <c r="N87" s="3192" t="s">
        <v>3151</v>
      </c>
    </row>
    <row r="88" spans="1:14">
      <c r="A88" s="3192" t="s">
        <v>3378</v>
      </c>
      <c r="B88" s="3192" t="s">
        <v>3202</v>
      </c>
      <c r="C88" s="3192" t="s">
        <v>3059</v>
      </c>
      <c r="D88" s="3192">
        <v>38110</v>
      </c>
      <c r="E88" s="3192">
        <v>68598</v>
      </c>
      <c r="F88" s="3192" t="s">
        <v>3381</v>
      </c>
      <c r="G88" s="3192" t="s">
        <v>3061</v>
      </c>
      <c r="H88" s="3192" t="s">
        <v>3376</v>
      </c>
      <c r="I88" s="3192">
        <v>11440</v>
      </c>
      <c r="J88" s="3192">
        <v>26540</v>
      </c>
      <c r="K88" s="3193">
        <v>3868.92</v>
      </c>
      <c r="L88" s="3192">
        <v>131.99</v>
      </c>
      <c r="M88" s="3192" t="s">
        <v>3377</v>
      </c>
      <c r="N88" s="3192" t="s">
        <v>3063</v>
      </c>
    </row>
    <row r="89" spans="1:14">
      <c r="A89" s="3192" t="s">
        <v>3378</v>
      </c>
      <c r="B89" s="3192" t="s">
        <v>3202</v>
      </c>
      <c r="C89" s="3192" t="s">
        <v>3059</v>
      </c>
      <c r="D89" s="3192">
        <v>46649</v>
      </c>
      <c r="E89" s="3192">
        <v>83968.2</v>
      </c>
      <c r="F89" s="3192" t="s">
        <v>3381</v>
      </c>
      <c r="G89" s="3192" t="s">
        <v>3061</v>
      </c>
      <c r="H89" s="3192" t="s">
        <v>3376</v>
      </c>
      <c r="I89" s="3192">
        <v>14000</v>
      </c>
      <c r="J89" s="3192">
        <v>25300</v>
      </c>
      <c r="K89" s="3193">
        <v>3013.05</v>
      </c>
      <c r="L89" s="3192">
        <v>80.709999999999994</v>
      </c>
      <c r="M89" s="3192" t="s">
        <v>3382</v>
      </c>
      <c r="N89" s="3192" t="s">
        <v>3063</v>
      </c>
    </row>
    <row r="90" spans="1:14">
      <c r="A90" s="3192" t="s">
        <v>3383</v>
      </c>
      <c r="B90" s="3192" t="s">
        <v>3202</v>
      </c>
      <c r="C90" s="3192" t="s">
        <v>3059</v>
      </c>
      <c r="D90" s="3192">
        <v>73841.63</v>
      </c>
      <c r="E90" s="3192">
        <v>162451.6</v>
      </c>
      <c r="F90" s="3192" t="s">
        <v>3384</v>
      </c>
      <c r="G90" s="3192" t="s">
        <v>3066</v>
      </c>
      <c r="H90" s="3192" t="s">
        <v>3134</v>
      </c>
      <c r="I90" s="3192">
        <v>62000</v>
      </c>
      <c r="J90" s="3192">
        <v>104000</v>
      </c>
      <c r="K90" s="3193">
        <v>6401.9</v>
      </c>
      <c r="L90" s="3192">
        <v>67.739999999999995</v>
      </c>
      <c r="M90" s="3192" t="s">
        <v>3385</v>
      </c>
      <c r="N90" s="3192" t="s">
        <v>3072</v>
      </c>
    </row>
    <row r="91" spans="1:14" s="3193" customFormat="1">
      <c r="A91" s="3193" t="s">
        <v>3386</v>
      </c>
      <c r="B91" s="3193" t="s">
        <v>3202</v>
      </c>
      <c r="C91" s="3193" t="s">
        <v>3059</v>
      </c>
      <c r="D91" s="3193">
        <v>45889.54</v>
      </c>
      <c r="E91" s="3193">
        <v>100957</v>
      </c>
      <c r="F91" s="3193" t="s">
        <v>3384</v>
      </c>
      <c r="G91" s="3193" t="s">
        <v>3066</v>
      </c>
      <c r="H91" s="3193" t="s">
        <v>3134</v>
      </c>
      <c r="I91" s="3193">
        <v>39000</v>
      </c>
      <c r="J91" s="3193">
        <v>63000</v>
      </c>
      <c r="K91" s="3193">
        <v>6240.27</v>
      </c>
      <c r="L91" s="3193">
        <v>61.54</v>
      </c>
      <c r="M91" s="3193" t="s">
        <v>3387</v>
      </c>
      <c r="N91" s="3193" t="s">
        <v>3072</v>
      </c>
    </row>
    <row r="92" spans="1:14">
      <c r="A92" s="3192" t="s">
        <v>3388</v>
      </c>
      <c r="B92" s="3192" t="s">
        <v>3202</v>
      </c>
      <c r="C92" s="3192" t="s">
        <v>3059</v>
      </c>
      <c r="D92" s="3192">
        <v>5466.8</v>
      </c>
      <c r="E92" s="3192">
        <v>9293.56</v>
      </c>
      <c r="F92" s="3192" t="s">
        <v>3389</v>
      </c>
      <c r="G92" s="3192" t="s">
        <v>3066</v>
      </c>
      <c r="H92" s="3192" t="s">
        <v>3390</v>
      </c>
      <c r="I92" s="3192">
        <v>1313</v>
      </c>
      <c r="J92" s="3192">
        <v>1313</v>
      </c>
      <c r="K92" s="3193">
        <v>1412.8</v>
      </c>
      <c r="L92" s="3192">
        <v>0</v>
      </c>
      <c r="M92" s="3192" t="s">
        <v>3155</v>
      </c>
      <c r="N92" s="3192" t="s">
        <v>3063</v>
      </c>
    </row>
    <row r="93" spans="1:14">
      <c r="A93" s="3192" t="s">
        <v>3391</v>
      </c>
      <c r="B93" s="3192" t="s">
        <v>3202</v>
      </c>
      <c r="C93" s="3192" t="s">
        <v>3059</v>
      </c>
      <c r="D93" s="3192">
        <v>19585</v>
      </c>
      <c r="E93" s="3192">
        <v>58755</v>
      </c>
      <c r="F93" s="3192" t="s">
        <v>3200</v>
      </c>
      <c r="G93" s="3192" t="s">
        <v>3066</v>
      </c>
      <c r="H93" s="3192" t="s">
        <v>3390</v>
      </c>
      <c r="I93" s="3192">
        <v>4701</v>
      </c>
      <c r="J93" s="3192">
        <v>4701</v>
      </c>
      <c r="K93" s="3193">
        <v>800.1</v>
      </c>
      <c r="L93" s="3192">
        <v>0</v>
      </c>
      <c r="M93" s="3192" t="s">
        <v>3208</v>
      </c>
      <c r="N93" s="3192" t="s">
        <v>3123</v>
      </c>
    </row>
    <row r="94" spans="1:14">
      <c r="A94" s="3192" t="s">
        <v>3392</v>
      </c>
      <c r="B94" s="3192" t="s">
        <v>3202</v>
      </c>
      <c r="C94" s="3192" t="s">
        <v>3059</v>
      </c>
      <c r="D94" s="3192">
        <v>9898.99</v>
      </c>
      <c r="E94" s="3192">
        <v>29696.97</v>
      </c>
      <c r="F94" s="3192" t="s">
        <v>3200</v>
      </c>
      <c r="G94" s="3192" t="s">
        <v>3066</v>
      </c>
      <c r="H94" s="3192" t="s">
        <v>3390</v>
      </c>
      <c r="I94" s="3192">
        <v>2376</v>
      </c>
      <c r="J94" s="3192">
        <v>2376</v>
      </c>
      <c r="K94" s="3193">
        <v>800.08</v>
      </c>
      <c r="L94" s="3192">
        <v>0</v>
      </c>
      <c r="M94" s="3192" t="s">
        <v>3208</v>
      </c>
      <c r="N94" s="3192" t="s">
        <v>3123</v>
      </c>
    </row>
    <row r="95" spans="1:14">
      <c r="A95" s="3192" t="s">
        <v>3393</v>
      </c>
      <c r="B95" s="3192" t="s">
        <v>3202</v>
      </c>
      <c r="C95" s="3192" t="s">
        <v>3083</v>
      </c>
      <c r="D95" s="3192">
        <v>123052.2</v>
      </c>
      <c r="E95" s="3192">
        <v>386383.8</v>
      </c>
      <c r="F95" s="3192" t="s">
        <v>3394</v>
      </c>
      <c r="G95" s="3192" t="s">
        <v>3066</v>
      </c>
      <c r="H95" s="3192" t="s">
        <v>3395</v>
      </c>
      <c r="I95" s="3192">
        <v>84910</v>
      </c>
      <c r="J95" s="3192">
        <v>84910</v>
      </c>
      <c r="K95" s="3193">
        <v>2197.5500000000002</v>
      </c>
      <c r="L95" s="3192">
        <v>0</v>
      </c>
      <c r="M95" s="3192" t="s">
        <v>3396</v>
      </c>
      <c r="N95" s="3192" t="s">
        <v>3063</v>
      </c>
    </row>
    <row r="96" spans="1:14">
      <c r="A96" s="3192" t="s">
        <v>3397</v>
      </c>
      <c r="B96" s="3192" t="s">
        <v>3202</v>
      </c>
      <c r="C96" s="3192" t="s">
        <v>3083</v>
      </c>
      <c r="D96" s="3192">
        <v>182645.6</v>
      </c>
      <c r="E96" s="3192">
        <v>418258.4</v>
      </c>
      <c r="F96" s="3192" t="s">
        <v>3398</v>
      </c>
      <c r="G96" s="3192" t="s">
        <v>3066</v>
      </c>
      <c r="H96" s="3192" t="s">
        <v>3399</v>
      </c>
      <c r="I96" s="3192">
        <v>113620</v>
      </c>
      <c r="J96" s="3192">
        <v>113620</v>
      </c>
      <c r="K96" s="3193">
        <v>2716.5</v>
      </c>
      <c r="L96" s="3192">
        <v>0</v>
      </c>
      <c r="M96" s="3192" t="s">
        <v>3400</v>
      </c>
      <c r="N96" s="3192" t="s">
        <v>3072</v>
      </c>
    </row>
    <row r="97" spans="1:14">
      <c r="A97" s="3192" t="s">
        <v>3401</v>
      </c>
      <c r="B97" s="3192" t="s">
        <v>3202</v>
      </c>
      <c r="C97" s="3192" t="s">
        <v>3059</v>
      </c>
      <c r="D97" s="3192">
        <v>11228</v>
      </c>
      <c r="E97" s="3192">
        <v>14596.4</v>
      </c>
      <c r="F97" s="3192" t="s">
        <v>3402</v>
      </c>
      <c r="G97" s="3192" t="s">
        <v>3061</v>
      </c>
      <c r="H97" s="3192" t="s">
        <v>3403</v>
      </c>
      <c r="I97" s="3192">
        <v>4100</v>
      </c>
      <c r="J97" s="3192">
        <v>4300</v>
      </c>
      <c r="K97" s="3193">
        <v>2945.92</v>
      </c>
      <c r="L97" s="3192">
        <v>4.88</v>
      </c>
      <c r="M97" s="3192" t="s">
        <v>3404</v>
      </c>
      <c r="N97" s="3192" t="s">
        <v>3072</v>
      </c>
    </row>
    <row r="98" spans="1:14">
      <c r="A98" s="3192" t="s">
        <v>3405</v>
      </c>
      <c r="B98" s="3192" t="s">
        <v>3202</v>
      </c>
      <c r="C98" s="3192" t="s">
        <v>3059</v>
      </c>
      <c r="D98" s="3192">
        <v>54312.91</v>
      </c>
      <c r="E98" s="3192">
        <v>152076.20000000001</v>
      </c>
      <c r="F98" s="3192" t="s">
        <v>3177</v>
      </c>
      <c r="G98" s="3192" t="s">
        <v>3061</v>
      </c>
      <c r="H98" s="3192" t="s">
        <v>3403</v>
      </c>
      <c r="I98" s="3192">
        <v>16300</v>
      </c>
      <c r="J98" s="3192">
        <v>16300</v>
      </c>
      <c r="K98" s="3193">
        <v>1071.82</v>
      </c>
      <c r="L98" s="3192">
        <v>0</v>
      </c>
      <c r="M98" s="3192" t="s">
        <v>3406</v>
      </c>
      <c r="N98" s="3192" t="s">
        <v>3072</v>
      </c>
    </row>
    <row r="99" spans="1:14">
      <c r="A99" s="3192" t="s">
        <v>3407</v>
      </c>
      <c r="B99" s="3192" t="s">
        <v>3202</v>
      </c>
      <c r="C99" s="3192" t="s">
        <v>3059</v>
      </c>
      <c r="D99" s="3192">
        <v>14259</v>
      </c>
      <c r="E99" s="3192">
        <v>25666.2</v>
      </c>
      <c r="F99" s="3192" t="s">
        <v>3408</v>
      </c>
      <c r="G99" s="3192" t="s">
        <v>3061</v>
      </c>
      <c r="H99" s="3192" t="s">
        <v>3403</v>
      </c>
      <c r="I99" s="3192">
        <v>5135</v>
      </c>
      <c r="J99" s="3192">
        <v>5335</v>
      </c>
      <c r="K99" s="3193">
        <v>2078.61</v>
      </c>
      <c r="L99" s="3192">
        <v>3.89</v>
      </c>
      <c r="M99" s="3192" t="s">
        <v>3409</v>
      </c>
      <c r="N99" s="3192" t="s">
        <v>3123</v>
      </c>
    </row>
    <row r="100" spans="1:14">
      <c r="A100" s="3192" t="s">
        <v>3410</v>
      </c>
      <c r="B100" s="3192" t="s">
        <v>3202</v>
      </c>
      <c r="C100" s="3192" t="s">
        <v>3059</v>
      </c>
      <c r="D100" s="3192">
        <v>6585</v>
      </c>
      <c r="E100" s="3192">
        <v>9877.5</v>
      </c>
      <c r="F100" s="3192" t="s">
        <v>3411</v>
      </c>
      <c r="G100" s="3192" t="s">
        <v>3061</v>
      </c>
      <c r="H100" s="3192" t="s">
        <v>3403</v>
      </c>
      <c r="I100" s="3192">
        <v>2595</v>
      </c>
      <c r="J100" s="3192">
        <v>2595</v>
      </c>
      <c r="K100" s="3193">
        <v>2627.17</v>
      </c>
      <c r="L100" s="3192">
        <v>0</v>
      </c>
      <c r="M100" s="3192" t="s">
        <v>3412</v>
      </c>
      <c r="N100" s="3192" t="s">
        <v>3072</v>
      </c>
    </row>
    <row r="101" spans="1:14">
      <c r="A101" s="3192" t="s">
        <v>3413</v>
      </c>
      <c r="B101" s="3192" t="s">
        <v>3202</v>
      </c>
      <c r="C101" s="3192" t="s">
        <v>3059</v>
      </c>
      <c r="D101" s="3192">
        <v>40069</v>
      </c>
      <c r="E101" s="3192">
        <v>68117.3</v>
      </c>
      <c r="F101" s="3192" t="s">
        <v>3389</v>
      </c>
      <c r="G101" s="3192" t="s">
        <v>3061</v>
      </c>
      <c r="H101" s="3192" t="s">
        <v>3403</v>
      </c>
      <c r="I101" s="3192">
        <v>10098</v>
      </c>
      <c r="J101" s="3192">
        <v>10098</v>
      </c>
      <c r="K101" s="3193">
        <v>1482.44</v>
      </c>
      <c r="L101" s="3192">
        <v>0</v>
      </c>
      <c r="M101" s="3192" t="s">
        <v>3414</v>
      </c>
      <c r="N101" s="3192" t="s">
        <v>3063</v>
      </c>
    </row>
  </sheetData>
  <phoneticPr fontId="228" type="noConversion"/>
  <pageMargins left="0.75" right="0.75" top="1" bottom="1" header="0.5" footer="0.5"/>
  <pageSetup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51"/>
  <sheetViews>
    <sheetView topLeftCell="B1" workbookViewId="0">
      <selection activeCell="B5" sqref="A5:XFD5"/>
    </sheetView>
  </sheetViews>
  <sheetFormatPr defaultRowHeight="13.2"/>
  <cols>
    <col min="1" max="1" width="52.21875" style="3192" customWidth="1"/>
    <col min="2" max="2" width="6.21875" style="3192" customWidth="1"/>
    <col min="3" max="4" width="8.88671875" style="3192" customWidth="1"/>
    <col min="5" max="5" width="8.44140625" style="3192" customWidth="1"/>
    <col min="6" max="6" width="25.109375" style="3591" customWidth="1"/>
    <col min="7" max="7" width="7.88671875" style="3192" customWidth="1"/>
    <col min="8" max="8" width="9" style="3192" customWidth="1"/>
    <col min="9" max="9" width="7.33203125" style="3192" customWidth="1"/>
    <col min="10" max="10" width="8.6640625" style="3192" customWidth="1"/>
    <col min="11" max="11" width="9" style="3193" customWidth="1"/>
    <col min="12" max="12" width="4.44140625" style="3192" customWidth="1"/>
    <col min="13" max="13" width="64.109375" style="3192" customWidth="1"/>
    <col min="14" max="14" width="7.88671875" style="3192" customWidth="1"/>
    <col min="15" max="15" width="9" style="3192"/>
    <col min="16" max="16" width="9" style="3587"/>
    <col min="17" max="256" width="9" style="3192"/>
    <col min="257" max="257" width="87.109375" style="3192" customWidth="1"/>
    <col min="258" max="258" width="6.21875" style="3192" customWidth="1"/>
    <col min="259" max="261" width="13.88671875" style="3192" customWidth="1"/>
    <col min="262" max="262" width="25.33203125" style="3192" customWidth="1"/>
    <col min="263" max="263" width="7.88671875" style="3192" customWidth="1"/>
    <col min="264" max="264" width="9" style="3192" customWidth="1"/>
    <col min="265" max="266" width="10.6640625" style="3192" customWidth="1"/>
    <col min="267" max="267" width="14.33203125" style="3192" customWidth="1"/>
    <col min="268" max="268" width="6.21875" style="3192" customWidth="1"/>
    <col min="269" max="269" width="64.109375" style="3192" customWidth="1"/>
    <col min="270" max="270" width="7.88671875" style="3192" customWidth="1"/>
    <col min="271" max="512" width="9" style="3192"/>
    <col min="513" max="513" width="87.109375" style="3192" customWidth="1"/>
    <col min="514" max="514" width="6.21875" style="3192" customWidth="1"/>
    <col min="515" max="517" width="13.88671875" style="3192" customWidth="1"/>
    <col min="518" max="518" width="25.33203125" style="3192" customWidth="1"/>
    <col min="519" max="519" width="7.88671875" style="3192" customWidth="1"/>
    <col min="520" max="520" width="9" style="3192" customWidth="1"/>
    <col min="521" max="522" width="10.6640625" style="3192" customWidth="1"/>
    <col min="523" max="523" width="14.33203125" style="3192" customWidth="1"/>
    <col min="524" max="524" width="6.21875" style="3192" customWidth="1"/>
    <col min="525" max="525" width="64.109375" style="3192" customWidth="1"/>
    <col min="526" max="526" width="7.88671875" style="3192" customWidth="1"/>
    <col min="527" max="768" width="9" style="3192"/>
    <col min="769" max="769" width="87.109375" style="3192" customWidth="1"/>
    <col min="770" max="770" width="6.21875" style="3192" customWidth="1"/>
    <col min="771" max="773" width="13.88671875" style="3192" customWidth="1"/>
    <col min="774" max="774" width="25.33203125" style="3192" customWidth="1"/>
    <col min="775" max="775" width="7.88671875" style="3192" customWidth="1"/>
    <col min="776" max="776" width="9" style="3192" customWidth="1"/>
    <col min="777" max="778" width="10.6640625" style="3192" customWidth="1"/>
    <col min="779" max="779" width="14.33203125" style="3192" customWidth="1"/>
    <col min="780" max="780" width="6.21875" style="3192" customWidth="1"/>
    <col min="781" max="781" width="64.109375" style="3192" customWidth="1"/>
    <col min="782" max="782" width="7.88671875" style="3192" customWidth="1"/>
    <col min="783" max="1024" width="9" style="3192"/>
    <col min="1025" max="1025" width="87.109375" style="3192" customWidth="1"/>
    <col min="1026" max="1026" width="6.21875" style="3192" customWidth="1"/>
    <col min="1027" max="1029" width="13.88671875" style="3192" customWidth="1"/>
    <col min="1030" max="1030" width="25.33203125" style="3192" customWidth="1"/>
    <col min="1031" max="1031" width="7.88671875" style="3192" customWidth="1"/>
    <col min="1032" max="1032" width="9" style="3192" customWidth="1"/>
    <col min="1033" max="1034" width="10.6640625" style="3192" customWidth="1"/>
    <col min="1035" max="1035" width="14.33203125" style="3192" customWidth="1"/>
    <col min="1036" max="1036" width="6.21875" style="3192" customWidth="1"/>
    <col min="1037" max="1037" width="64.109375" style="3192" customWidth="1"/>
    <col min="1038" max="1038" width="7.88671875" style="3192" customWidth="1"/>
    <col min="1039" max="1280" width="9" style="3192"/>
    <col min="1281" max="1281" width="87.109375" style="3192" customWidth="1"/>
    <col min="1282" max="1282" width="6.21875" style="3192" customWidth="1"/>
    <col min="1283" max="1285" width="13.88671875" style="3192" customWidth="1"/>
    <col min="1286" max="1286" width="25.33203125" style="3192" customWidth="1"/>
    <col min="1287" max="1287" width="7.88671875" style="3192" customWidth="1"/>
    <col min="1288" max="1288" width="9" style="3192" customWidth="1"/>
    <col min="1289" max="1290" width="10.6640625" style="3192" customWidth="1"/>
    <col min="1291" max="1291" width="14.33203125" style="3192" customWidth="1"/>
    <col min="1292" max="1292" width="6.21875" style="3192" customWidth="1"/>
    <col min="1293" max="1293" width="64.109375" style="3192" customWidth="1"/>
    <col min="1294" max="1294" width="7.88671875" style="3192" customWidth="1"/>
    <col min="1295" max="1536" width="9" style="3192"/>
    <col min="1537" max="1537" width="87.109375" style="3192" customWidth="1"/>
    <col min="1538" max="1538" width="6.21875" style="3192" customWidth="1"/>
    <col min="1539" max="1541" width="13.88671875" style="3192" customWidth="1"/>
    <col min="1542" max="1542" width="25.33203125" style="3192" customWidth="1"/>
    <col min="1543" max="1543" width="7.88671875" style="3192" customWidth="1"/>
    <col min="1544" max="1544" width="9" style="3192" customWidth="1"/>
    <col min="1545" max="1546" width="10.6640625" style="3192" customWidth="1"/>
    <col min="1547" max="1547" width="14.33203125" style="3192" customWidth="1"/>
    <col min="1548" max="1548" width="6.21875" style="3192" customWidth="1"/>
    <col min="1549" max="1549" width="64.109375" style="3192" customWidth="1"/>
    <col min="1550" max="1550" width="7.88671875" style="3192" customWidth="1"/>
    <col min="1551" max="1792" width="9" style="3192"/>
    <col min="1793" max="1793" width="87.109375" style="3192" customWidth="1"/>
    <col min="1794" max="1794" width="6.21875" style="3192" customWidth="1"/>
    <col min="1795" max="1797" width="13.88671875" style="3192" customWidth="1"/>
    <col min="1798" max="1798" width="25.33203125" style="3192" customWidth="1"/>
    <col min="1799" max="1799" width="7.88671875" style="3192" customWidth="1"/>
    <col min="1800" max="1800" width="9" style="3192" customWidth="1"/>
    <col min="1801" max="1802" width="10.6640625" style="3192" customWidth="1"/>
    <col min="1803" max="1803" width="14.33203125" style="3192" customWidth="1"/>
    <col min="1804" max="1804" width="6.21875" style="3192" customWidth="1"/>
    <col min="1805" max="1805" width="64.109375" style="3192" customWidth="1"/>
    <col min="1806" max="1806" width="7.88671875" style="3192" customWidth="1"/>
    <col min="1807" max="2048" width="9" style="3192"/>
    <col min="2049" max="2049" width="87.109375" style="3192" customWidth="1"/>
    <col min="2050" max="2050" width="6.21875" style="3192" customWidth="1"/>
    <col min="2051" max="2053" width="13.88671875" style="3192" customWidth="1"/>
    <col min="2054" max="2054" width="25.33203125" style="3192" customWidth="1"/>
    <col min="2055" max="2055" width="7.88671875" style="3192" customWidth="1"/>
    <col min="2056" max="2056" width="9" style="3192" customWidth="1"/>
    <col min="2057" max="2058" width="10.6640625" style="3192" customWidth="1"/>
    <col min="2059" max="2059" width="14.33203125" style="3192" customWidth="1"/>
    <col min="2060" max="2060" width="6.21875" style="3192" customWidth="1"/>
    <col min="2061" max="2061" width="64.109375" style="3192" customWidth="1"/>
    <col min="2062" max="2062" width="7.88671875" style="3192" customWidth="1"/>
    <col min="2063" max="2304" width="9" style="3192"/>
    <col min="2305" max="2305" width="87.109375" style="3192" customWidth="1"/>
    <col min="2306" max="2306" width="6.21875" style="3192" customWidth="1"/>
    <col min="2307" max="2309" width="13.88671875" style="3192" customWidth="1"/>
    <col min="2310" max="2310" width="25.33203125" style="3192" customWidth="1"/>
    <col min="2311" max="2311" width="7.88671875" style="3192" customWidth="1"/>
    <col min="2312" max="2312" width="9" style="3192" customWidth="1"/>
    <col min="2313" max="2314" width="10.6640625" style="3192" customWidth="1"/>
    <col min="2315" max="2315" width="14.33203125" style="3192" customWidth="1"/>
    <col min="2316" max="2316" width="6.21875" style="3192" customWidth="1"/>
    <col min="2317" max="2317" width="64.109375" style="3192" customWidth="1"/>
    <col min="2318" max="2318" width="7.88671875" style="3192" customWidth="1"/>
    <col min="2319" max="2560" width="9" style="3192"/>
    <col min="2561" max="2561" width="87.109375" style="3192" customWidth="1"/>
    <col min="2562" max="2562" width="6.21875" style="3192" customWidth="1"/>
    <col min="2563" max="2565" width="13.88671875" style="3192" customWidth="1"/>
    <col min="2566" max="2566" width="25.33203125" style="3192" customWidth="1"/>
    <col min="2567" max="2567" width="7.88671875" style="3192" customWidth="1"/>
    <col min="2568" max="2568" width="9" style="3192" customWidth="1"/>
    <col min="2569" max="2570" width="10.6640625" style="3192" customWidth="1"/>
    <col min="2571" max="2571" width="14.33203125" style="3192" customWidth="1"/>
    <col min="2572" max="2572" width="6.21875" style="3192" customWidth="1"/>
    <col min="2573" max="2573" width="64.109375" style="3192" customWidth="1"/>
    <col min="2574" max="2574" width="7.88671875" style="3192" customWidth="1"/>
    <col min="2575" max="2816" width="9" style="3192"/>
    <col min="2817" max="2817" width="87.109375" style="3192" customWidth="1"/>
    <col min="2818" max="2818" width="6.21875" style="3192" customWidth="1"/>
    <col min="2819" max="2821" width="13.88671875" style="3192" customWidth="1"/>
    <col min="2822" max="2822" width="25.33203125" style="3192" customWidth="1"/>
    <col min="2823" max="2823" width="7.88671875" style="3192" customWidth="1"/>
    <col min="2824" max="2824" width="9" style="3192" customWidth="1"/>
    <col min="2825" max="2826" width="10.6640625" style="3192" customWidth="1"/>
    <col min="2827" max="2827" width="14.33203125" style="3192" customWidth="1"/>
    <col min="2828" max="2828" width="6.21875" style="3192" customWidth="1"/>
    <col min="2829" max="2829" width="64.109375" style="3192" customWidth="1"/>
    <col min="2830" max="2830" width="7.88671875" style="3192" customWidth="1"/>
    <col min="2831" max="3072" width="9" style="3192"/>
    <col min="3073" max="3073" width="87.109375" style="3192" customWidth="1"/>
    <col min="3074" max="3074" width="6.21875" style="3192" customWidth="1"/>
    <col min="3075" max="3077" width="13.88671875" style="3192" customWidth="1"/>
    <col min="3078" max="3078" width="25.33203125" style="3192" customWidth="1"/>
    <col min="3079" max="3079" width="7.88671875" style="3192" customWidth="1"/>
    <col min="3080" max="3080" width="9" style="3192" customWidth="1"/>
    <col min="3081" max="3082" width="10.6640625" style="3192" customWidth="1"/>
    <col min="3083" max="3083" width="14.33203125" style="3192" customWidth="1"/>
    <col min="3084" max="3084" width="6.21875" style="3192" customWidth="1"/>
    <col min="3085" max="3085" width="64.109375" style="3192" customWidth="1"/>
    <col min="3086" max="3086" width="7.88671875" style="3192" customWidth="1"/>
    <col min="3087" max="3328" width="9" style="3192"/>
    <col min="3329" max="3329" width="87.109375" style="3192" customWidth="1"/>
    <col min="3330" max="3330" width="6.21875" style="3192" customWidth="1"/>
    <col min="3331" max="3333" width="13.88671875" style="3192" customWidth="1"/>
    <col min="3334" max="3334" width="25.33203125" style="3192" customWidth="1"/>
    <col min="3335" max="3335" width="7.88671875" style="3192" customWidth="1"/>
    <col min="3336" max="3336" width="9" style="3192" customWidth="1"/>
    <col min="3337" max="3338" width="10.6640625" style="3192" customWidth="1"/>
    <col min="3339" max="3339" width="14.33203125" style="3192" customWidth="1"/>
    <col min="3340" max="3340" width="6.21875" style="3192" customWidth="1"/>
    <col min="3341" max="3341" width="64.109375" style="3192" customWidth="1"/>
    <col min="3342" max="3342" width="7.88671875" style="3192" customWidth="1"/>
    <col min="3343" max="3584" width="9" style="3192"/>
    <col min="3585" max="3585" width="87.109375" style="3192" customWidth="1"/>
    <col min="3586" max="3586" width="6.21875" style="3192" customWidth="1"/>
    <col min="3587" max="3589" width="13.88671875" style="3192" customWidth="1"/>
    <col min="3590" max="3590" width="25.33203125" style="3192" customWidth="1"/>
    <col min="3591" max="3591" width="7.88671875" style="3192" customWidth="1"/>
    <col min="3592" max="3592" width="9" style="3192" customWidth="1"/>
    <col min="3593" max="3594" width="10.6640625" style="3192" customWidth="1"/>
    <col min="3595" max="3595" width="14.33203125" style="3192" customWidth="1"/>
    <col min="3596" max="3596" width="6.21875" style="3192" customWidth="1"/>
    <col min="3597" max="3597" width="64.109375" style="3192" customWidth="1"/>
    <col min="3598" max="3598" width="7.88671875" style="3192" customWidth="1"/>
    <col min="3599" max="3840" width="9" style="3192"/>
    <col min="3841" max="3841" width="87.109375" style="3192" customWidth="1"/>
    <col min="3842" max="3842" width="6.21875" style="3192" customWidth="1"/>
    <col min="3843" max="3845" width="13.88671875" style="3192" customWidth="1"/>
    <col min="3846" max="3846" width="25.33203125" style="3192" customWidth="1"/>
    <col min="3847" max="3847" width="7.88671875" style="3192" customWidth="1"/>
    <col min="3848" max="3848" width="9" style="3192" customWidth="1"/>
    <col min="3849" max="3850" width="10.6640625" style="3192" customWidth="1"/>
    <col min="3851" max="3851" width="14.33203125" style="3192" customWidth="1"/>
    <col min="3852" max="3852" width="6.21875" style="3192" customWidth="1"/>
    <col min="3853" max="3853" width="64.109375" style="3192" customWidth="1"/>
    <col min="3854" max="3854" width="7.88671875" style="3192" customWidth="1"/>
    <col min="3855" max="4096" width="9" style="3192"/>
    <col min="4097" max="4097" width="87.109375" style="3192" customWidth="1"/>
    <col min="4098" max="4098" width="6.21875" style="3192" customWidth="1"/>
    <col min="4099" max="4101" width="13.88671875" style="3192" customWidth="1"/>
    <col min="4102" max="4102" width="25.33203125" style="3192" customWidth="1"/>
    <col min="4103" max="4103" width="7.88671875" style="3192" customWidth="1"/>
    <col min="4104" max="4104" width="9" style="3192" customWidth="1"/>
    <col min="4105" max="4106" width="10.6640625" style="3192" customWidth="1"/>
    <col min="4107" max="4107" width="14.33203125" style="3192" customWidth="1"/>
    <col min="4108" max="4108" width="6.21875" style="3192" customWidth="1"/>
    <col min="4109" max="4109" width="64.109375" style="3192" customWidth="1"/>
    <col min="4110" max="4110" width="7.88671875" style="3192" customWidth="1"/>
    <col min="4111" max="4352" width="9" style="3192"/>
    <col min="4353" max="4353" width="87.109375" style="3192" customWidth="1"/>
    <col min="4354" max="4354" width="6.21875" style="3192" customWidth="1"/>
    <col min="4355" max="4357" width="13.88671875" style="3192" customWidth="1"/>
    <col min="4358" max="4358" width="25.33203125" style="3192" customWidth="1"/>
    <col min="4359" max="4359" width="7.88671875" style="3192" customWidth="1"/>
    <col min="4360" max="4360" width="9" style="3192" customWidth="1"/>
    <col min="4361" max="4362" width="10.6640625" style="3192" customWidth="1"/>
    <col min="4363" max="4363" width="14.33203125" style="3192" customWidth="1"/>
    <col min="4364" max="4364" width="6.21875" style="3192" customWidth="1"/>
    <col min="4365" max="4365" width="64.109375" style="3192" customWidth="1"/>
    <col min="4366" max="4366" width="7.88671875" style="3192" customWidth="1"/>
    <col min="4367" max="4608" width="9" style="3192"/>
    <col min="4609" max="4609" width="87.109375" style="3192" customWidth="1"/>
    <col min="4610" max="4610" width="6.21875" style="3192" customWidth="1"/>
    <col min="4611" max="4613" width="13.88671875" style="3192" customWidth="1"/>
    <col min="4614" max="4614" width="25.33203125" style="3192" customWidth="1"/>
    <col min="4615" max="4615" width="7.88671875" style="3192" customWidth="1"/>
    <col min="4616" max="4616" width="9" style="3192" customWidth="1"/>
    <col min="4617" max="4618" width="10.6640625" style="3192" customWidth="1"/>
    <col min="4619" max="4619" width="14.33203125" style="3192" customWidth="1"/>
    <col min="4620" max="4620" width="6.21875" style="3192" customWidth="1"/>
    <col min="4621" max="4621" width="64.109375" style="3192" customWidth="1"/>
    <col min="4622" max="4622" width="7.88671875" style="3192" customWidth="1"/>
    <col min="4623" max="4864" width="9" style="3192"/>
    <col min="4865" max="4865" width="87.109375" style="3192" customWidth="1"/>
    <col min="4866" max="4866" width="6.21875" style="3192" customWidth="1"/>
    <col min="4867" max="4869" width="13.88671875" style="3192" customWidth="1"/>
    <col min="4870" max="4870" width="25.33203125" style="3192" customWidth="1"/>
    <col min="4871" max="4871" width="7.88671875" style="3192" customWidth="1"/>
    <col min="4872" max="4872" width="9" style="3192" customWidth="1"/>
    <col min="4873" max="4874" width="10.6640625" style="3192" customWidth="1"/>
    <col min="4875" max="4875" width="14.33203125" style="3192" customWidth="1"/>
    <col min="4876" max="4876" width="6.21875" style="3192" customWidth="1"/>
    <col min="4877" max="4877" width="64.109375" style="3192" customWidth="1"/>
    <col min="4878" max="4878" width="7.88671875" style="3192" customWidth="1"/>
    <col min="4879" max="5120" width="9" style="3192"/>
    <col min="5121" max="5121" width="87.109375" style="3192" customWidth="1"/>
    <col min="5122" max="5122" width="6.21875" style="3192" customWidth="1"/>
    <col min="5123" max="5125" width="13.88671875" style="3192" customWidth="1"/>
    <col min="5126" max="5126" width="25.33203125" style="3192" customWidth="1"/>
    <col min="5127" max="5127" width="7.88671875" style="3192" customWidth="1"/>
    <col min="5128" max="5128" width="9" style="3192" customWidth="1"/>
    <col min="5129" max="5130" width="10.6640625" style="3192" customWidth="1"/>
    <col min="5131" max="5131" width="14.33203125" style="3192" customWidth="1"/>
    <col min="5132" max="5132" width="6.21875" style="3192" customWidth="1"/>
    <col min="5133" max="5133" width="64.109375" style="3192" customWidth="1"/>
    <col min="5134" max="5134" width="7.88671875" style="3192" customWidth="1"/>
    <col min="5135" max="5376" width="9" style="3192"/>
    <col min="5377" max="5377" width="87.109375" style="3192" customWidth="1"/>
    <col min="5378" max="5378" width="6.21875" style="3192" customWidth="1"/>
    <col min="5379" max="5381" width="13.88671875" style="3192" customWidth="1"/>
    <col min="5382" max="5382" width="25.33203125" style="3192" customWidth="1"/>
    <col min="5383" max="5383" width="7.88671875" style="3192" customWidth="1"/>
    <col min="5384" max="5384" width="9" style="3192" customWidth="1"/>
    <col min="5385" max="5386" width="10.6640625" style="3192" customWidth="1"/>
    <col min="5387" max="5387" width="14.33203125" style="3192" customWidth="1"/>
    <col min="5388" max="5388" width="6.21875" style="3192" customWidth="1"/>
    <col min="5389" max="5389" width="64.109375" style="3192" customWidth="1"/>
    <col min="5390" max="5390" width="7.88671875" style="3192" customWidth="1"/>
    <col min="5391" max="5632" width="9" style="3192"/>
    <col min="5633" max="5633" width="87.109375" style="3192" customWidth="1"/>
    <col min="5634" max="5634" width="6.21875" style="3192" customWidth="1"/>
    <col min="5635" max="5637" width="13.88671875" style="3192" customWidth="1"/>
    <col min="5638" max="5638" width="25.33203125" style="3192" customWidth="1"/>
    <col min="5639" max="5639" width="7.88671875" style="3192" customWidth="1"/>
    <col min="5640" max="5640" width="9" style="3192" customWidth="1"/>
    <col min="5641" max="5642" width="10.6640625" style="3192" customWidth="1"/>
    <col min="5643" max="5643" width="14.33203125" style="3192" customWidth="1"/>
    <col min="5644" max="5644" width="6.21875" style="3192" customWidth="1"/>
    <col min="5645" max="5645" width="64.109375" style="3192" customWidth="1"/>
    <col min="5646" max="5646" width="7.88671875" style="3192" customWidth="1"/>
    <col min="5647" max="5888" width="9" style="3192"/>
    <col min="5889" max="5889" width="87.109375" style="3192" customWidth="1"/>
    <col min="5890" max="5890" width="6.21875" style="3192" customWidth="1"/>
    <col min="5891" max="5893" width="13.88671875" style="3192" customWidth="1"/>
    <col min="5894" max="5894" width="25.33203125" style="3192" customWidth="1"/>
    <col min="5895" max="5895" width="7.88671875" style="3192" customWidth="1"/>
    <col min="5896" max="5896" width="9" style="3192" customWidth="1"/>
    <col min="5897" max="5898" width="10.6640625" style="3192" customWidth="1"/>
    <col min="5899" max="5899" width="14.33203125" style="3192" customWidth="1"/>
    <col min="5900" max="5900" width="6.21875" style="3192" customWidth="1"/>
    <col min="5901" max="5901" width="64.109375" style="3192" customWidth="1"/>
    <col min="5902" max="5902" width="7.88671875" style="3192" customWidth="1"/>
    <col min="5903" max="6144" width="9" style="3192"/>
    <col min="6145" max="6145" width="87.109375" style="3192" customWidth="1"/>
    <col min="6146" max="6146" width="6.21875" style="3192" customWidth="1"/>
    <col min="6147" max="6149" width="13.88671875" style="3192" customWidth="1"/>
    <col min="6150" max="6150" width="25.33203125" style="3192" customWidth="1"/>
    <col min="6151" max="6151" width="7.88671875" style="3192" customWidth="1"/>
    <col min="6152" max="6152" width="9" style="3192" customWidth="1"/>
    <col min="6153" max="6154" width="10.6640625" style="3192" customWidth="1"/>
    <col min="6155" max="6155" width="14.33203125" style="3192" customWidth="1"/>
    <col min="6156" max="6156" width="6.21875" style="3192" customWidth="1"/>
    <col min="6157" max="6157" width="64.109375" style="3192" customWidth="1"/>
    <col min="6158" max="6158" width="7.88671875" style="3192" customWidth="1"/>
    <col min="6159" max="6400" width="9" style="3192"/>
    <col min="6401" max="6401" width="87.109375" style="3192" customWidth="1"/>
    <col min="6402" max="6402" width="6.21875" style="3192" customWidth="1"/>
    <col min="6403" max="6405" width="13.88671875" style="3192" customWidth="1"/>
    <col min="6406" max="6406" width="25.33203125" style="3192" customWidth="1"/>
    <col min="6407" max="6407" width="7.88671875" style="3192" customWidth="1"/>
    <col min="6408" max="6408" width="9" style="3192" customWidth="1"/>
    <col min="6409" max="6410" width="10.6640625" style="3192" customWidth="1"/>
    <col min="6411" max="6411" width="14.33203125" style="3192" customWidth="1"/>
    <col min="6412" max="6412" width="6.21875" style="3192" customWidth="1"/>
    <col min="6413" max="6413" width="64.109375" style="3192" customWidth="1"/>
    <col min="6414" max="6414" width="7.88671875" style="3192" customWidth="1"/>
    <col min="6415" max="6656" width="9" style="3192"/>
    <col min="6657" max="6657" width="87.109375" style="3192" customWidth="1"/>
    <col min="6658" max="6658" width="6.21875" style="3192" customWidth="1"/>
    <col min="6659" max="6661" width="13.88671875" style="3192" customWidth="1"/>
    <col min="6662" max="6662" width="25.33203125" style="3192" customWidth="1"/>
    <col min="6663" max="6663" width="7.88671875" style="3192" customWidth="1"/>
    <col min="6664" max="6664" width="9" style="3192" customWidth="1"/>
    <col min="6665" max="6666" width="10.6640625" style="3192" customWidth="1"/>
    <col min="6667" max="6667" width="14.33203125" style="3192" customWidth="1"/>
    <col min="6668" max="6668" width="6.21875" style="3192" customWidth="1"/>
    <col min="6669" max="6669" width="64.109375" style="3192" customWidth="1"/>
    <col min="6670" max="6670" width="7.88671875" style="3192" customWidth="1"/>
    <col min="6671" max="6912" width="9" style="3192"/>
    <col min="6913" max="6913" width="87.109375" style="3192" customWidth="1"/>
    <col min="6914" max="6914" width="6.21875" style="3192" customWidth="1"/>
    <col min="6915" max="6917" width="13.88671875" style="3192" customWidth="1"/>
    <col min="6918" max="6918" width="25.33203125" style="3192" customWidth="1"/>
    <col min="6919" max="6919" width="7.88671875" style="3192" customWidth="1"/>
    <col min="6920" max="6920" width="9" style="3192" customWidth="1"/>
    <col min="6921" max="6922" width="10.6640625" style="3192" customWidth="1"/>
    <col min="6923" max="6923" width="14.33203125" style="3192" customWidth="1"/>
    <col min="6924" max="6924" width="6.21875" style="3192" customWidth="1"/>
    <col min="6925" max="6925" width="64.109375" style="3192" customWidth="1"/>
    <col min="6926" max="6926" width="7.88671875" style="3192" customWidth="1"/>
    <col min="6927" max="7168" width="9" style="3192"/>
    <col min="7169" max="7169" width="87.109375" style="3192" customWidth="1"/>
    <col min="7170" max="7170" width="6.21875" style="3192" customWidth="1"/>
    <col min="7171" max="7173" width="13.88671875" style="3192" customWidth="1"/>
    <col min="7174" max="7174" width="25.33203125" style="3192" customWidth="1"/>
    <col min="7175" max="7175" width="7.88671875" style="3192" customWidth="1"/>
    <col min="7176" max="7176" width="9" style="3192" customWidth="1"/>
    <col min="7177" max="7178" width="10.6640625" style="3192" customWidth="1"/>
    <col min="7179" max="7179" width="14.33203125" style="3192" customWidth="1"/>
    <col min="7180" max="7180" width="6.21875" style="3192" customWidth="1"/>
    <col min="7181" max="7181" width="64.109375" style="3192" customWidth="1"/>
    <col min="7182" max="7182" width="7.88671875" style="3192" customWidth="1"/>
    <col min="7183" max="7424" width="9" style="3192"/>
    <col min="7425" max="7425" width="87.109375" style="3192" customWidth="1"/>
    <col min="7426" max="7426" width="6.21875" style="3192" customWidth="1"/>
    <col min="7427" max="7429" width="13.88671875" style="3192" customWidth="1"/>
    <col min="7430" max="7430" width="25.33203125" style="3192" customWidth="1"/>
    <col min="7431" max="7431" width="7.88671875" style="3192" customWidth="1"/>
    <col min="7432" max="7432" width="9" style="3192" customWidth="1"/>
    <col min="7433" max="7434" width="10.6640625" style="3192" customWidth="1"/>
    <col min="7435" max="7435" width="14.33203125" style="3192" customWidth="1"/>
    <col min="7436" max="7436" width="6.21875" style="3192" customWidth="1"/>
    <col min="7437" max="7437" width="64.109375" style="3192" customWidth="1"/>
    <col min="7438" max="7438" width="7.88671875" style="3192" customWidth="1"/>
    <col min="7439" max="7680" width="9" style="3192"/>
    <col min="7681" max="7681" width="87.109375" style="3192" customWidth="1"/>
    <col min="7682" max="7682" width="6.21875" style="3192" customWidth="1"/>
    <col min="7683" max="7685" width="13.88671875" style="3192" customWidth="1"/>
    <col min="7686" max="7686" width="25.33203125" style="3192" customWidth="1"/>
    <col min="7687" max="7687" width="7.88671875" style="3192" customWidth="1"/>
    <col min="7688" max="7688" width="9" style="3192" customWidth="1"/>
    <col min="7689" max="7690" width="10.6640625" style="3192" customWidth="1"/>
    <col min="7691" max="7691" width="14.33203125" style="3192" customWidth="1"/>
    <col min="7692" max="7692" width="6.21875" style="3192" customWidth="1"/>
    <col min="7693" max="7693" width="64.109375" style="3192" customWidth="1"/>
    <col min="7694" max="7694" width="7.88671875" style="3192" customWidth="1"/>
    <col min="7695" max="7936" width="9" style="3192"/>
    <col min="7937" max="7937" width="87.109375" style="3192" customWidth="1"/>
    <col min="7938" max="7938" width="6.21875" style="3192" customWidth="1"/>
    <col min="7939" max="7941" width="13.88671875" style="3192" customWidth="1"/>
    <col min="7942" max="7942" width="25.33203125" style="3192" customWidth="1"/>
    <col min="7943" max="7943" width="7.88671875" style="3192" customWidth="1"/>
    <col min="7944" max="7944" width="9" style="3192" customWidth="1"/>
    <col min="7945" max="7946" width="10.6640625" style="3192" customWidth="1"/>
    <col min="7947" max="7947" width="14.33203125" style="3192" customWidth="1"/>
    <col min="7948" max="7948" width="6.21875" style="3192" customWidth="1"/>
    <col min="7949" max="7949" width="64.109375" style="3192" customWidth="1"/>
    <col min="7950" max="7950" width="7.88671875" style="3192" customWidth="1"/>
    <col min="7951" max="8192" width="9" style="3192"/>
    <col min="8193" max="8193" width="87.109375" style="3192" customWidth="1"/>
    <col min="8194" max="8194" width="6.21875" style="3192" customWidth="1"/>
    <col min="8195" max="8197" width="13.88671875" style="3192" customWidth="1"/>
    <col min="8198" max="8198" width="25.33203125" style="3192" customWidth="1"/>
    <col min="8199" max="8199" width="7.88671875" style="3192" customWidth="1"/>
    <col min="8200" max="8200" width="9" style="3192" customWidth="1"/>
    <col min="8201" max="8202" width="10.6640625" style="3192" customWidth="1"/>
    <col min="8203" max="8203" width="14.33203125" style="3192" customWidth="1"/>
    <col min="8204" max="8204" width="6.21875" style="3192" customWidth="1"/>
    <col min="8205" max="8205" width="64.109375" style="3192" customWidth="1"/>
    <col min="8206" max="8206" width="7.88671875" style="3192" customWidth="1"/>
    <col min="8207" max="8448" width="9" style="3192"/>
    <col min="8449" max="8449" width="87.109375" style="3192" customWidth="1"/>
    <col min="8450" max="8450" width="6.21875" style="3192" customWidth="1"/>
    <col min="8451" max="8453" width="13.88671875" style="3192" customWidth="1"/>
    <col min="8454" max="8454" width="25.33203125" style="3192" customWidth="1"/>
    <col min="8455" max="8455" width="7.88671875" style="3192" customWidth="1"/>
    <col min="8456" max="8456" width="9" style="3192" customWidth="1"/>
    <col min="8457" max="8458" width="10.6640625" style="3192" customWidth="1"/>
    <col min="8459" max="8459" width="14.33203125" style="3192" customWidth="1"/>
    <col min="8460" max="8460" width="6.21875" style="3192" customWidth="1"/>
    <col min="8461" max="8461" width="64.109375" style="3192" customWidth="1"/>
    <col min="8462" max="8462" width="7.88671875" style="3192" customWidth="1"/>
    <col min="8463" max="8704" width="9" style="3192"/>
    <col min="8705" max="8705" width="87.109375" style="3192" customWidth="1"/>
    <col min="8706" max="8706" width="6.21875" style="3192" customWidth="1"/>
    <col min="8707" max="8709" width="13.88671875" style="3192" customWidth="1"/>
    <col min="8710" max="8710" width="25.33203125" style="3192" customWidth="1"/>
    <col min="8711" max="8711" width="7.88671875" style="3192" customWidth="1"/>
    <col min="8712" max="8712" width="9" style="3192" customWidth="1"/>
    <col min="8713" max="8714" width="10.6640625" style="3192" customWidth="1"/>
    <col min="8715" max="8715" width="14.33203125" style="3192" customWidth="1"/>
    <col min="8716" max="8716" width="6.21875" style="3192" customWidth="1"/>
    <col min="8717" max="8717" width="64.109375" style="3192" customWidth="1"/>
    <col min="8718" max="8718" width="7.88671875" style="3192" customWidth="1"/>
    <col min="8719" max="8960" width="9" style="3192"/>
    <col min="8961" max="8961" width="87.109375" style="3192" customWidth="1"/>
    <col min="8962" max="8962" width="6.21875" style="3192" customWidth="1"/>
    <col min="8963" max="8965" width="13.88671875" style="3192" customWidth="1"/>
    <col min="8966" max="8966" width="25.33203125" style="3192" customWidth="1"/>
    <col min="8967" max="8967" width="7.88671875" style="3192" customWidth="1"/>
    <col min="8968" max="8968" width="9" style="3192" customWidth="1"/>
    <col min="8969" max="8970" width="10.6640625" style="3192" customWidth="1"/>
    <col min="8971" max="8971" width="14.33203125" style="3192" customWidth="1"/>
    <col min="8972" max="8972" width="6.21875" style="3192" customWidth="1"/>
    <col min="8973" max="8973" width="64.109375" style="3192" customWidth="1"/>
    <col min="8974" max="8974" width="7.88671875" style="3192" customWidth="1"/>
    <col min="8975" max="9216" width="9" style="3192"/>
    <col min="9217" max="9217" width="87.109375" style="3192" customWidth="1"/>
    <col min="9218" max="9218" width="6.21875" style="3192" customWidth="1"/>
    <col min="9219" max="9221" width="13.88671875" style="3192" customWidth="1"/>
    <col min="9222" max="9222" width="25.33203125" style="3192" customWidth="1"/>
    <col min="9223" max="9223" width="7.88671875" style="3192" customWidth="1"/>
    <col min="9224" max="9224" width="9" style="3192" customWidth="1"/>
    <col min="9225" max="9226" width="10.6640625" style="3192" customWidth="1"/>
    <col min="9227" max="9227" width="14.33203125" style="3192" customWidth="1"/>
    <col min="9228" max="9228" width="6.21875" style="3192" customWidth="1"/>
    <col min="9229" max="9229" width="64.109375" style="3192" customWidth="1"/>
    <col min="9230" max="9230" width="7.88671875" style="3192" customWidth="1"/>
    <col min="9231" max="9472" width="9" style="3192"/>
    <col min="9473" max="9473" width="87.109375" style="3192" customWidth="1"/>
    <col min="9474" max="9474" width="6.21875" style="3192" customWidth="1"/>
    <col min="9475" max="9477" width="13.88671875" style="3192" customWidth="1"/>
    <col min="9478" max="9478" width="25.33203125" style="3192" customWidth="1"/>
    <col min="9479" max="9479" width="7.88671875" style="3192" customWidth="1"/>
    <col min="9480" max="9480" width="9" style="3192" customWidth="1"/>
    <col min="9481" max="9482" width="10.6640625" style="3192" customWidth="1"/>
    <col min="9483" max="9483" width="14.33203125" style="3192" customWidth="1"/>
    <col min="9484" max="9484" width="6.21875" style="3192" customWidth="1"/>
    <col min="9485" max="9485" width="64.109375" style="3192" customWidth="1"/>
    <col min="9486" max="9486" width="7.88671875" style="3192" customWidth="1"/>
    <col min="9487" max="9728" width="9" style="3192"/>
    <col min="9729" max="9729" width="87.109375" style="3192" customWidth="1"/>
    <col min="9730" max="9730" width="6.21875" style="3192" customWidth="1"/>
    <col min="9731" max="9733" width="13.88671875" style="3192" customWidth="1"/>
    <col min="9734" max="9734" width="25.33203125" style="3192" customWidth="1"/>
    <col min="9735" max="9735" width="7.88671875" style="3192" customWidth="1"/>
    <col min="9736" max="9736" width="9" style="3192" customWidth="1"/>
    <col min="9737" max="9738" width="10.6640625" style="3192" customWidth="1"/>
    <col min="9739" max="9739" width="14.33203125" style="3192" customWidth="1"/>
    <col min="9740" max="9740" width="6.21875" style="3192" customWidth="1"/>
    <col min="9741" max="9741" width="64.109375" style="3192" customWidth="1"/>
    <col min="9742" max="9742" width="7.88671875" style="3192" customWidth="1"/>
    <col min="9743" max="9984" width="9" style="3192"/>
    <col min="9985" max="9985" width="87.109375" style="3192" customWidth="1"/>
    <col min="9986" max="9986" width="6.21875" style="3192" customWidth="1"/>
    <col min="9987" max="9989" width="13.88671875" style="3192" customWidth="1"/>
    <col min="9990" max="9990" width="25.33203125" style="3192" customWidth="1"/>
    <col min="9991" max="9991" width="7.88671875" style="3192" customWidth="1"/>
    <col min="9992" max="9992" width="9" style="3192" customWidth="1"/>
    <col min="9993" max="9994" width="10.6640625" style="3192" customWidth="1"/>
    <col min="9995" max="9995" width="14.33203125" style="3192" customWidth="1"/>
    <col min="9996" max="9996" width="6.21875" style="3192" customWidth="1"/>
    <col min="9997" max="9997" width="64.109375" style="3192" customWidth="1"/>
    <col min="9998" max="9998" width="7.88671875" style="3192" customWidth="1"/>
    <col min="9999" max="10240" width="9" style="3192"/>
    <col min="10241" max="10241" width="87.109375" style="3192" customWidth="1"/>
    <col min="10242" max="10242" width="6.21875" style="3192" customWidth="1"/>
    <col min="10243" max="10245" width="13.88671875" style="3192" customWidth="1"/>
    <col min="10246" max="10246" width="25.33203125" style="3192" customWidth="1"/>
    <col min="10247" max="10247" width="7.88671875" style="3192" customWidth="1"/>
    <col min="10248" max="10248" width="9" style="3192" customWidth="1"/>
    <col min="10249" max="10250" width="10.6640625" style="3192" customWidth="1"/>
    <col min="10251" max="10251" width="14.33203125" style="3192" customWidth="1"/>
    <col min="10252" max="10252" width="6.21875" style="3192" customWidth="1"/>
    <col min="10253" max="10253" width="64.109375" style="3192" customWidth="1"/>
    <col min="10254" max="10254" width="7.88671875" style="3192" customWidth="1"/>
    <col min="10255" max="10496" width="9" style="3192"/>
    <col min="10497" max="10497" width="87.109375" style="3192" customWidth="1"/>
    <col min="10498" max="10498" width="6.21875" style="3192" customWidth="1"/>
    <col min="10499" max="10501" width="13.88671875" style="3192" customWidth="1"/>
    <col min="10502" max="10502" width="25.33203125" style="3192" customWidth="1"/>
    <col min="10503" max="10503" width="7.88671875" style="3192" customWidth="1"/>
    <col min="10504" max="10504" width="9" style="3192" customWidth="1"/>
    <col min="10505" max="10506" width="10.6640625" style="3192" customWidth="1"/>
    <col min="10507" max="10507" width="14.33203125" style="3192" customWidth="1"/>
    <col min="10508" max="10508" width="6.21875" style="3192" customWidth="1"/>
    <col min="10509" max="10509" width="64.109375" style="3192" customWidth="1"/>
    <col min="10510" max="10510" width="7.88671875" style="3192" customWidth="1"/>
    <col min="10511" max="10752" width="9" style="3192"/>
    <col min="10753" max="10753" width="87.109375" style="3192" customWidth="1"/>
    <col min="10754" max="10754" width="6.21875" style="3192" customWidth="1"/>
    <col min="10755" max="10757" width="13.88671875" style="3192" customWidth="1"/>
    <col min="10758" max="10758" width="25.33203125" style="3192" customWidth="1"/>
    <col min="10759" max="10759" width="7.88671875" style="3192" customWidth="1"/>
    <col min="10760" max="10760" width="9" style="3192" customWidth="1"/>
    <col min="10761" max="10762" width="10.6640625" style="3192" customWidth="1"/>
    <col min="10763" max="10763" width="14.33203125" style="3192" customWidth="1"/>
    <col min="10764" max="10764" width="6.21875" style="3192" customWidth="1"/>
    <col min="10765" max="10765" width="64.109375" style="3192" customWidth="1"/>
    <col min="10766" max="10766" width="7.88671875" style="3192" customWidth="1"/>
    <col min="10767" max="11008" width="9" style="3192"/>
    <col min="11009" max="11009" width="87.109375" style="3192" customWidth="1"/>
    <col min="11010" max="11010" width="6.21875" style="3192" customWidth="1"/>
    <col min="11011" max="11013" width="13.88671875" style="3192" customWidth="1"/>
    <col min="11014" max="11014" width="25.33203125" style="3192" customWidth="1"/>
    <col min="11015" max="11015" width="7.88671875" style="3192" customWidth="1"/>
    <col min="11016" max="11016" width="9" style="3192" customWidth="1"/>
    <col min="11017" max="11018" width="10.6640625" style="3192" customWidth="1"/>
    <col min="11019" max="11019" width="14.33203125" style="3192" customWidth="1"/>
    <col min="11020" max="11020" width="6.21875" style="3192" customWidth="1"/>
    <col min="11021" max="11021" width="64.109375" style="3192" customWidth="1"/>
    <col min="11022" max="11022" width="7.88671875" style="3192" customWidth="1"/>
    <col min="11023" max="11264" width="9" style="3192"/>
    <col min="11265" max="11265" width="87.109375" style="3192" customWidth="1"/>
    <col min="11266" max="11266" width="6.21875" style="3192" customWidth="1"/>
    <col min="11267" max="11269" width="13.88671875" style="3192" customWidth="1"/>
    <col min="11270" max="11270" width="25.33203125" style="3192" customWidth="1"/>
    <col min="11271" max="11271" width="7.88671875" style="3192" customWidth="1"/>
    <col min="11272" max="11272" width="9" style="3192" customWidth="1"/>
    <col min="11273" max="11274" width="10.6640625" style="3192" customWidth="1"/>
    <col min="11275" max="11275" width="14.33203125" style="3192" customWidth="1"/>
    <col min="11276" max="11276" width="6.21875" style="3192" customWidth="1"/>
    <col min="11277" max="11277" width="64.109375" style="3192" customWidth="1"/>
    <col min="11278" max="11278" width="7.88671875" style="3192" customWidth="1"/>
    <col min="11279" max="11520" width="9" style="3192"/>
    <col min="11521" max="11521" width="87.109375" style="3192" customWidth="1"/>
    <col min="11522" max="11522" width="6.21875" style="3192" customWidth="1"/>
    <col min="11523" max="11525" width="13.88671875" style="3192" customWidth="1"/>
    <col min="11526" max="11526" width="25.33203125" style="3192" customWidth="1"/>
    <col min="11527" max="11527" width="7.88671875" style="3192" customWidth="1"/>
    <col min="11528" max="11528" width="9" style="3192" customWidth="1"/>
    <col min="11529" max="11530" width="10.6640625" style="3192" customWidth="1"/>
    <col min="11531" max="11531" width="14.33203125" style="3192" customWidth="1"/>
    <col min="11532" max="11532" width="6.21875" style="3192" customWidth="1"/>
    <col min="11533" max="11533" width="64.109375" style="3192" customWidth="1"/>
    <col min="11534" max="11534" width="7.88671875" style="3192" customWidth="1"/>
    <col min="11535" max="11776" width="9" style="3192"/>
    <col min="11777" max="11777" width="87.109375" style="3192" customWidth="1"/>
    <col min="11778" max="11778" width="6.21875" style="3192" customWidth="1"/>
    <col min="11779" max="11781" width="13.88671875" style="3192" customWidth="1"/>
    <col min="11782" max="11782" width="25.33203125" style="3192" customWidth="1"/>
    <col min="11783" max="11783" width="7.88671875" style="3192" customWidth="1"/>
    <col min="11784" max="11784" width="9" style="3192" customWidth="1"/>
    <col min="11785" max="11786" width="10.6640625" style="3192" customWidth="1"/>
    <col min="11787" max="11787" width="14.33203125" style="3192" customWidth="1"/>
    <col min="11788" max="11788" width="6.21875" style="3192" customWidth="1"/>
    <col min="11789" max="11789" width="64.109375" style="3192" customWidth="1"/>
    <col min="11790" max="11790" width="7.88671875" style="3192" customWidth="1"/>
    <col min="11791" max="12032" width="9" style="3192"/>
    <col min="12033" max="12033" width="87.109375" style="3192" customWidth="1"/>
    <col min="12034" max="12034" width="6.21875" style="3192" customWidth="1"/>
    <col min="12035" max="12037" width="13.88671875" style="3192" customWidth="1"/>
    <col min="12038" max="12038" width="25.33203125" style="3192" customWidth="1"/>
    <col min="12039" max="12039" width="7.88671875" style="3192" customWidth="1"/>
    <col min="12040" max="12040" width="9" style="3192" customWidth="1"/>
    <col min="12041" max="12042" width="10.6640625" style="3192" customWidth="1"/>
    <col min="12043" max="12043" width="14.33203125" style="3192" customWidth="1"/>
    <col min="12044" max="12044" width="6.21875" style="3192" customWidth="1"/>
    <col min="12045" max="12045" width="64.109375" style="3192" customWidth="1"/>
    <col min="12046" max="12046" width="7.88671875" style="3192" customWidth="1"/>
    <col min="12047" max="12288" width="9" style="3192"/>
    <col min="12289" max="12289" width="87.109375" style="3192" customWidth="1"/>
    <col min="12290" max="12290" width="6.21875" style="3192" customWidth="1"/>
    <col min="12291" max="12293" width="13.88671875" style="3192" customWidth="1"/>
    <col min="12294" max="12294" width="25.33203125" style="3192" customWidth="1"/>
    <col min="12295" max="12295" width="7.88671875" style="3192" customWidth="1"/>
    <col min="12296" max="12296" width="9" style="3192" customWidth="1"/>
    <col min="12297" max="12298" width="10.6640625" style="3192" customWidth="1"/>
    <col min="12299" max="12299" width="14.33203125" style="3192" customWidth="1"/>
    <col min="12300" max="12300" width="6.21875" style="3192" customWidth="1"/>
    <col min="12301" max="12301" width="64.109375" style="3192" customWidth="1"/>
    <col min="12302" max="12302" width="7.88671875" style="3192" customWidth="1"/>
    <col min="12303" max="12544" width="9" style="3192"/>
    <col min="12545" max="12545" width="87.109375" style="3192" customWidth="1"/>
    <col min="12546" max="12546" width="6.21875" style="3192" customWidth="1"/>
    <col min="12547" max="12549" width="13.88671875" style="3192" customWidth="1"/>
    <col min="12550" max="12550" width="25.33203125" style="3192" customWidth="1"/>
    <col min="12551" max="12551" width="7.88671875" style="3192" customWidth="1"/>
    <col min="12552" max="12552" width="9" style="3192" customWidth="1"/>
    <col min="12553" max="12554" width="10.6640625" style="3192" customWidth="1"/>
    <col min="12555" max="12555" width="14.33203125" style="3192" customWidth="1"/>
    <col min="12556" max="12556" width="6.21875" style="3192" customWidth="1"/>
    <col min="12557" max="12557" width="64.109375" style="3192" customWidth="1"/>
    <col min="12558" max="12558" width="7.88671875" style="3192" customWidth="1"/>
    <col min="12559" max="12800" width="9" style="3192"/>
    <col min="12801" max="12801" width="87.109375" style="3192" customWidth="1"/>
    <col min="12802" max="12802" width="6.21875" style="3192" customWidth="1"/>
    <col min="12803" max="12805" width="13.88671875" style="3192" customWidth="1"/>
    <col min="12806" max="12806" width="25.33203125" style="3192" customWidth="1"/>
    <col min="12807" max="12807" width="7.88671875" style="3192" customWidth="1"/>
    <col min="12808" max="12808" width="9" style="3192" customWidth="1"/>
    <col min="12809" max="12810" width="10.6640625" style="3192" customWidth="1"/>
    <col min="12811" max="12811" width="14.33203125" style="3192" customWidth="1"/>
    <col min="12812" max="12812" width="6.21875" style="3192" customWidth="1"/>
    <col min="12813" max="12813" width="64.109375" style="3192" customWidth="1"/>
    <col min="12814" max="12814" width="7.88671875" style="3192" customWidth="1"/>
    <col min="12815" max="13056" width="9" style="3192"/>
    <col min="13057" max="13057" width="87.109375" style="3192" customWidth="1"/>
    <col min="13058" max="13058" width="6.21875" style="3192" customWidth="1"/>
    <col min="13059" max="13061" width="13.88671875" style="3192" customWidth="1"/>
    <col min="13062" max="13062" width="25.33203125" style="3192" customWidth="1"/>
    <col min="13063" max="13063" width="7.88671875" style="3192" customWidth="1"/>
    <col min="13064" max="13064" width="9" style="3192" customWidth="1"/>
    <col min="13065" max="13066" width="10.6640625" style="3192" customWidth="1"/>
    <col min="13067" max="13067" width="14.33203125" style="3192" customWidth="1"/>
    <col min="13068" max="13068" width="6.21875" style="3192" customWidth="1"/>
    <col min="13069" max="13069" width="64.109375" style="3192" customWidth="1"/>
    <col min="13070" max="13070" width="7.88671875" style="3192" customWidth="1"/>
    <col min="13071" max="13312" width="9" style="3192"/>
    <col min="13313" max="13313" width="87.109375" style="3192" customWidth="1"/>
    <col min="13314" max="13314" width="6.21875" style="3192" customWidth="1"/>
    <col min="13315" max="13317" width="13.88671875" style="3192" customWidth="1"/>
    <col min="13318" max="13318" width="25.33203125" style="3192" customWidth="1"/>
    <col min="13319" max="13319" width="7.88671875" style="3192" customWidth="1"/>
    <col min="13320" max="13320" width="9" style="3192" customWidth="1"/>
    <col min="13321" max="13322" width="10.6640625" style="3192" customWidth="1"/>
    <col min="13323" max="13323" width="14.33203125" style="3192" customWidth="1"/>
    <col min="13324" max="13324" width="6.21875" style="3192" customWidth="1"/>
    <col min="13325" max="13325" width="64.109375" style="3192" customWidth="1"/>
    <col min="13326" max="13326" width="7.88671875" style="3192" customWidth="1"/>
    <col min="13327" max="13568" width="9" style="3192"/>
    <col min="13569" max="13569" width="87.109375" style="3192" customWidth="1"/>
    <col min="13570" max="13570" width="6.21875" style="3192" customWidth="1"/>
    <col min="13571" max="13573" width="13.88671875" style="3192" customWidth="1"/>
    <col min="13574" max="13574" width="25.33203125" style="3192" customWidth="1"/>
    <col min="13575" max="13575" width="7.88671875" style="3192" customWidth="1"/>
    <col min="13576" max="13576" width="9" style="3192" customWidth="1"/>
    <col min="13577" max="13578" width="10.6640625" style="3192" customWidth="1"/>
    <col min="13579" max="13579" width="14.33203125" style="3192" customWidth="1"/>
    <col min="13580" max="13580" width="6.21875" style="3192" customWidth="1"/>
    <col min="13581" max="13581" width="64.109375" style="3192" customWidth="1"/>
    <col min="13582" max="13582" width="7.88671875" style="3192" customWidth="1"/>
    <col min="13583" max="13824" width="9" style="3192"/>
    <col min="13825" max="13825" width="87.109375" style="3192" customWidth="1"/>
    <col min="13826" max="13826" width="6.21875" style="3192" customWidth="1"/>
    <col min="13827" max="13829" width="13.88671875" style="3192" customWidth="1"/>
    <col min="13830" max="13830" width="25.33203125" style="3192" customWidth="1"/>
    <col min="13831" max="13831" width="7.88671875" style="3192" customWidth="1"/>
    <col min="13832" max="13832" width="9" style="3192" customWidth="1"/>
    <col min="13833" max="13834" width="10.6640625" style="3192" customWidth="1"/>
    <col min="13835" max="13835" width="14.33203125" style="3192" customWidth="1"/>
    <col min="13836" max="13836" width="6.21875" style="3192" customWidth="1"/>
    <col min="13837" max="13837" width="64.109375" style="3192" customWidth="1"/>
    <col min="13838" max="13838" width="7.88671875" style="3192" customWidth="1"/>
    <col min="13839" max="14080" width="9" style="3192"/>
    <col min="14081" max="14081" width="87.109375" style="3192" customWidth="1"/>
    <col min="14082" max="14082" width="6.21875" style="3192" customWidth="1"/>
    <col min="14083" max="14085" width="13.88671875" style="3192" customWidth="1"/>
    <col min="14086" max="14086" width="25.33203125" style="3192" customWidth="1"/>
    <col min="14087" max="14087" width="7.88671875" style="3192" customWidth="1"/>
    <col min="14088" max="14088" width="9" style="3192" customWidth="1"/>
    <col min="14089" max="14090" width="10.6640625" style="3192" customWidth="1"/>
    <col min="14091" max="14091" width="14.33203125" style="3192" customWidth="1"/>
    <col min="14092" max="14092" width="6.21875" style="3192" customWidth="1"/>
    <col min="14093" max="14093" width="64.109375" style="3192" customWidth="1"/>
    <col min="14094" max="14094" width="7.88671875" style="3192" customWidth="1"/>
    <col min="14095" max="14336" width="9" style="3192"/>
    <col min="14337" max="14337" width="87.109375" style="3192" customWidth="1"/>
    <col min="14338" max="14338" width="6.21875" style="3192" customWidth="1"/>
    <col min="14339" max="14341" width="13.88671875" style="3192" customWidth="1"/>
    <col min="14342" max="14342" width="25.33203125" style="3192" customWidth="1"/>
    <col min="14343" max="14343" width="7.88671875" style="3192" customWidth="1"/>
    <col min="14344" max="14344" width="9" style="3192" customWidth="1"/>
    <col min="14345" max="14346" width="10.6640625" style="3192" customWidth="1"/>
    <col min="14347" max="14347" width="14.33203125" style="3192" customWidth="1"/>
    <col min="14348" max="14348" width="6.21875" style="3192" customWidth="1"/>
    <col min="14349" max="14349" width="64.109375" style="3192" customWidth="1"/>
    <col min="14350" max="14350" width="7.88671875" style="3192" customWidth="1"/>
    <col min="14351" max="14592" width="9" style="3192"/>
    <col min="14593" max="14593" width="87.109375" style="3192" customWidth="1"/>
    <col min="14594" max="14594" width="6.21875" style="3192" customWidth="1"/>
    <col min="14595" max="14597" width="13.88671875" style="3192" customWidth="1"/>
    <col min="14598" max="14598" width="25.33203125" style="3192" customWidth="1"/>
    <col min="14599" max="14599" width="7.88671875" style="3192" customWidth="1"/>
    <col min="14600" max="14600" width="9" style="3192" customWidth="1"/>
    <col min="14601" max="14602" width="10.6640625" style="3192" customWidth="1"/>
    <col min="14603" max="14603" width="14.33203125" style="3192" customWidth="1"/>
    <col min="14604" max="14604" width="6.21875" style="3192" customWidth="1"/>
    <col min="14605" max="14605" width="64.109375" style="3192" customWidth="1"/>
    <col min="14606" max="14606" width="7.88671875" style="3192" customWidth="1"/>
    <col min="14607" max="14848" width="9" style="3192"/>
    <col min="14849" max="14849" width="87.109375" style="3192" customWidth="1"/>
    <col min="14850" max="14850" width="6.21875" style="3192" customWidth="1"/>
    <col min="14851" max="14853" width="13.88671875" style="3192" customWidth="1"/>
    <col min="14854" max="14854" width="25.33203125" style="3192" customWidth="1"/>
    <col min="14855" max="14855" width="7.88671875" style="3192" customWidth="1"/>
    <col min="14856" max="14856" width="9" style="3192" customWidth="1"/>
    <col min="14857" max="14858" width="10.6640625" style="3192" customWidth="1"/>
    <col min="14859" max="14859" width="14.33203125" style="3192" customWidth="1"/>
    <col min="14860" max="14860" width="6.21875" style="3192" customWidth="1"/>
    <col min="14861" max="14861" width="64.109375" style="3192" customWidth="1"/>
    <col min="14862" max="14862" width="7.88671875" style="3192" customWidth="1"/>
    <col min="14863" max="15104" width="9" style="3192"/>
    <col min="15105" max="15105" width="87.109375" style="3192" customWidth="1"/>
    <col min="15106" max="15106" width="6.21875" style="3192" customWidth="1"/>
    <col min="15107" max="15109" width="13.88671875" style="3192" customWidth="1"/>
    <col min="15110" max="15110" width="25.33203125" style="3192" customWidth="1"/>
    <col min="15111" max="15111" width="7.88671875" style="3192" customWidth="1"/>
    <col min="15112" max="15112" width="9" style="3192" customWidth="1"/>
    <col min="15113" max="15114" width="10.6640625" style="3192" customWidth="1"/>
    <col min="15115" max="15115" width="14.33203125" style="3192" customWidth="1"/>
    <col min="15116" max="15116" width="6.21875" style="3192" customWidth="1"/>
    <col min="15117" max="15117" width="64.109375" style="3192" customWidth="1"/>
    <col min="15118" max="15118" width="7.88671875" style="3192" customWidth="1"/>
    <col min="15119" max="15360" width="9" style="3192"/>
    <col min="15361" max="15361" width="87.109375" style="3192" customWidth="1"/>
    <col min="15362" max="15362" width="6.21875" style="3192" customWidth="1"/>
    <col min="15363" max="15365" width="13.88671875" style="3192" customWidth="1"/>
    <col min="15366" max="15366" width="25.33203125" style="3192" customWidth="1"/>
    <col min="15367" max="15367" width="7.88671875" style="3192" customWidth="1"/>
    <col min="15368" max="15368" width="9" style="3192" customWidth="1"/>
    <col min="15369" max="15370" width="10.6640625" style="3192" customWidth="1"/>
    <col min="15371" max="15371" width="14.33203125" style="3192" customWidth="1"/>
    <col min="15372" max="15372" width="6.21875" style="3192" customWidth="1"/>
    <col min="15373" max="15373" width="64.109375" style="3192" customWidth="1"/>
    <col min="15374" max="15374" width="7.88671875" style="3192" customWidth="1"/>
    <col min="15375" max="15616" width="9" style="3192"/>
    <col min="15617" max="15617" width="87.109375" style="3192" customWidth="1"/>
    <col min="15618" max="15618" width="6.21875" style="3192" customWidth="1"/>
    <col min="15619" max="15621" width="13.88671875" style="3192" customWidth="1"/>
    <col min="15622" max="15622" width="25.33203125" style="3192" customWidth="1"/>
    <col min="15623" max="15623" width="7.88671875" style="3192" customWidth="1"/>
    <col min="15624" max="15624" width="9" style="3192" customWidth="1"/>
    <col min="15625" max="15626" width="10.6640625" style="3192" customWidth="1"/>
    <col min="15627" max="15627" width="14.33203125" style="3192" customWidth="1"/>
    <col min="15628" max="15628" width="6.21875" style="3192" customWidth="1"/>
    <col min="15629" max="15629" width="64.109375" style="3192" customWidth="1"/>
    <col min="15630" max="15630" width="7.88671875" style="3192" customWidth="1"/>
    <col min="15631" max="15872" width="9" style="3192"/>
    <col min="15873" max="15873" width="87.109375" style="3192" customWidth="1"/>
    <col min="15874" max="15874" width="6.21875" style="3192" customWidth="1"/>
    <col min="15875" max="15877" width="13.88671875" style="3192" customWidth="1"/>
    <col min="15878" max="15878" width="25.33203125" style="3192" customWidth="1"/>
    <col min="15879" max="15879" width="7.88671875" style="3192" customWidth="1"/>
    <col min="15880" max="15880" width="9" style="3192" customWidth="1"/>
    <col min="15881" max="15882" width="10.6640625" style="3192" customWidth="1"/>
    <col min="15883" max="15883" width="14.33203125" style="3192" customWidth="1"/>
    <col min="15884" max="15884" width="6.21875" style="3192" customWidth="1"/>
    <col min="15885" max="15885" width="64.109375" style="3192" customWidth="1"/>
    <col min="15886" max="15886" width="7.88671875" style="3192" customWidth="1"/>
    <col min="15887" max="16128" width="9" style="3192"/>
    <col min="16129" max="16129" width="87.109375" style="3192" customWidth="1"/>
    <col min="16130" max="16130" width="6.21875" style="3192" customWidth="1"/>
    <col min="16131" max="16133" width="13.88671875" style="3192" customWidth="1"/>
    <col min="16134" max="16134" width="25.33203125" style="3192" customWidth="1"/>
    <col min="16135" max="16135" width="7.88671875" style="3192" customWidth="1"/>
    <col min="16136" max="16136" width="9" style="3192" customWidth="1"/>
    <col min="16137" max="16138" width="10.6640625" style="3192" customWidth="1"/>
    <col min="16139" max="16139" width="14.33203125" style="3192" customWidth="1"/>
    <col min="16140" max="16140" width="6.21875" style="3192" customWidth="1"/>
    <col min="16141" max="16141" width="64.109375" style="3192" customWidth="1"/>
    <col min="16142" max="16142" width="7.88671875" style="3192" customWidth="1"/>
    <col min="16143" max="16384" width="9" style="3192"/>
  </cols>
  <sheetData>
    <row r="1" spans="1:16">
      <c r="A1" s="3192" t="s">
        <v>3044</v>
      </c>
      <c r="B1" s="3192" t="s">
        <v>3045</v>
      </c>
      <c r="C1" s="3192" t="s">
        <v>3046</v>
      </c>
      <c r="D1" s="3192" t="s">
        <v>3047</v>
      </c>
      <c r="E1" s="3192" t="s">
        <v>3048</v>
      </c>
      <c r="F1" s="3591" t="s">
        <v>2030</v>
      </c>
      <c r="G1" s="3192" t="s">
        <v>3049</v>
      </c>
      <c r="H1" s="3192" t="s">
        <v>3050</v>
      </c>
      <c r="I1" s="3192" t="s">
        <v>3051</v>
      </c>
      <c r="J1" s="3192" t="s">
        <v>3052</v>
      </c>
      <c r="K1" s="3193" t="s">
        <v>3053</v>
      </c>
      <c r="L1" s="3192" t="s">
        <v>3054</v>
      </c>
      <c r="M1" s="3192" t="s">
        <v>3055</v>
      </c>
      <c r="N1" s="3192" t="s">
        <v>3056</v>
      </c>
    </row>
    <row r="2" spans="1:16" s="3193" customFormat="1">
      <c r="A2" s="3193" t="s">
        <v>3057</v>
      </c>
      <c r="B2" s="3193" t="s">
        <v>3058</v>
      </c>
      <c r="C2" s="3193" t="s">
        <v>3059</v>
      </c>
      <c r="D2" s="3193">
        <v>39134.400000000001</v>
      </c>
      <c r="E2" s="3193">
        <v>136970.4</v>
      </c>
      <c r="F2" s="3592" t="s">
        <v>3060</v>
      </c>
      <c r="G2" s="3193" t="s">
        <v>3061</v>
      </c>
      <c r="H2" s="3193" t="s">
        <v>3062</v>
      </c>
      <c r="I2" s="3193" t="s">
        <v>2815</v>
      </c>
      <c r="J2" s="3193">
        <v>34050</v>
      </c>
      <c r="K2" s="3193">
        <v>2486</v>
      </c>
      <c r="L2" s="3193" t="s">
        <v>2815</v>
      </c>
      <c r="M2" s="3218" t="s">
        <v>3468</v>
      </c>
      <c r="N2" s="3193" t="s">
        <v>3063</v>
      </c>
      <c r="P2" s="3588">
        <f>J2/(D2/666.67)</f>
        <v>580.05523273641597</v>
      </c>
    </row>
    <row r="3" spans="1:16" s="3196" customFormat="1">
      <c r="A3" s="3196" t="s">
        <v>3064</v>
      </c>
      <c r="B3" s="3196" t="s">
        <v>3058</v>
      </c>
      <c r="C3" s="3196" t="s">
        <v>3059</v>
      </c>
      <c r="D3" s="3196">
        <v>18648.7</v>
      </c>
      <c r="E3" s="3196">
        <v>65270.45</v>
      </c>
      <c r="F3" s="3593" t="s">
        <v>3065</v>
      </c>
      <c r="G3" s="3196" t="s">
        <v>3066</v>
      </c>
      <c r="H3" s="3196" t="s">
        <v>3067</v>
      </c>
      <c r="I3" s="3196" t="s">
        <v>2815</v>
      </c>
      <c r="J3" s="3196">
        <v>16305</v>
      </c>
      <c r="K3" s="3196">
        <v>2498.0700000000002</v>
      </c>
      <c r="L3" s="3196" t="s">
        <v>2815</v>
      </c>
      <c r="M3" s="3196" t="s">
        <v>3068</v>
      </c>
      <c r="N3" s="3196" t="s">
        <v>3063</v>
      </c>
      <c r="O3" s="3196">
        <f>ROUND((J3+J5+J6+J8+J9)/(E3+E5+E6+E8+E9)*10000,0)</f>
        <v>2495</v>
      </c>
      <c r="P3" s="3589">
        <f t="shared" ref="P3:P34" si="0">J3/(D3/666.67)</f>
        <v>582.8853673446406</v>
      </c>
    </row>
    <row r="4" spans="1:16">
      <c r="A4" s="3192" t="s">
        <v>3069</v>
      </c>
      <c r="B4" s="3192" t="s">
        <v>3058</v>
      </c>
      <c r="C4" s="3192" t="s">
        <v>3059</v>
      </c>
      <c r="D4" s="3192">
        <v>8077.3</v>
      </c>
      <c r="E4" s="3192">
        <v>42809.69</v>
      </c>
      <c r="F4" s="3591" t="s">
        <v>3070</v>
      </c>
      <c r="G4" s="3192" t="s">
        <v>3066</v>
      </c>
      <c r="H4" s="3192" t="s">
        <v>3067</v>
      </c>
      <c r="I4" s="3192" t="s">
        <v>2815</v>
      </c>
      <c r="J4" s="3192">
        <v>3020</v>
      </c>
      <c r="K4" s="3193">
        <v>705.45</v>
      </c>
      <c r="L4" s="3192" t="s">
        <v>2815</v>
      </c>
      <c r="M4" s="3192" t="s">
        <v>3071</v>
      </c>
      <c r="N4" s="3192" t="s">
        <v>3072</v>
      </c>
      <c r="P4" s="3587">
        <f t="shared" si="0"/>
        <v>249.25945551112375</v>
      </c>
    </row>
    <row r="5" spans="1:16" s="3193" customFormat="1">
      <c r="A5" s="3193" t="s">
        <v>3073</v>
      </c>
      <c r="B5" s="3193" t="s">
        <v>3058</v>
      </c>
      <c r="C5" s="3193" t="s">
        <v>3059</v>
      </c>
      <c r="D5" s="3193">
        <v>51650.7</v>
      </c>
      <c r="E5" s="3193">
        <v>180777.45</v>
      </c>
      <c r="F5" s="3592" t="s">
        <v>3065</v>
      </c>
      <c r="G5" s="3193" t="s">
        <v>3066</v>
      </c>
      <c r="H5" s="3193" t="s">
        <v>3067</v>
      </c>
      <c r="I5" s="3193" t="s">
        <v>2815</v>
      </c>
      <c r="J5" s="3193">
        <v>45115</v>
      </c>
      <c r="K5" s="3193">
        <v>2495.61</v>
      </c>
      <c r="L5" s="3193" t="s">
        <v>2815</v>
      </c>
      <c r="M5" s="3193" t="s">
        <v>3068</v>
      </c>
      <c r="N5" s="3193" t="s">
        <v>3063</v>
      </c>
      <c r="P5" s="3588">
        <f t="shared" si="0"/>
        <v>582.31189606336409</v>
      </c>
    </row>
    <row r="6" spans="1:16">
      <c r="A6" s="3192" t="s">
        <v>3074</v>
      </c>
      <c r="B6" s="3192" t="s">
        <v>3058</v>
      </c>
      <c r="C6" s="3192" t="s">
        <v>3059</v>
      </c>
      <c r="D6" s="3192">
        <v>80439.7</v>
      </c>
      <c r="E6" s="3192">
        <v>281538.95</v>
      </c>
      <c r="F6" s="3591" t="s">
        <v>3065</v>
      </c>
      <c r="G6" s="3192" t="s">
        <v>3066</v>
      </c>
      <c r="H6" s="3192" t="s">
        <v>3067</v>
      </c>
      <c r="I6" s="3192" t="s">
        <v>2815</v>
      </c>
      <c r="J6" s="3192">
        <v>70205</v>
      </c>
      <c r="K6" s="3193">
        <v>2493.61</v>
      </c>
      <c r="L6" s="3192" t="s">
        <v>2815</v>
      </c>
      <c r="M6" s="3192" t="s">
        <v>3068</v>
      </c>
      <c r="N6" s="3192" t="s">
        <v>3063</v>
      </c>
      <c r="P6" s="3587">
        <f t="shared" si="0"/>
        <v>581.84661740409274</v>
      </c>
    </row>
    <row r="7" spans="1:16">
      <c r="A7" s="3192" t="s">
        <v>3075</v>
      </c>
      <c r="B7" s="3192" t="s">
        <v>3058</v>
      </c>
      <c r="C7" s="3192" t="s">
        <v>3059</v>
      </c>
      <c r="D7" s="3192">
        <v>6570.52</v>
      </c>
      <c r="E7" s="3192">
        <v>32852.6</v>
      </c>
      <c r="F7" s="3591" t="s">
        <v>3076</v>
      </c>
      <c r="G7" s="3192" t="s">
        <v>3066</v>
      </c>
      <c r="H7" s="3192" t="s">
        <v>3067</v>
      </c>
      <c r="I7" s="3192" t="s">
        <v>2815</v>
      </c>
      <c r="J7" s="3192">
        <v>2455</v>
      </c>
      <c r="K7" s="3193">
        <v>747.27</v>
      </c>
      <c r="L7" s="3192" t="s">
        <v>2815</v>
      </c>
      <c r="M7" s="3192" t="s">
        <v>3077</v>
      </c>
      <c r="N7" s="3192" t="s">
        <v>3072</v>
      </c>
      <c r="P7" s="3587">
        <f t="shared" si="0"/>
        <v>249.09365620985852</v>
      </c>
    </row>
    <row r="8" spans="1:16">
      <c r="A8" s="3192" t="s">
        <v>3078</v>
      </c>
      <c r="B8" s="3192" t="s">
        <v>3058</v>
      </c>
      <c r="C8" s="3192" t="s">
        <v>3059</v>
      </c>
      <c r="D8" s="3192">
        <v>125584.8</v>
      </c>
      <c r="E8" s="3192">
        <v>439546.8</v>
      </c>
      <c r="F8" s="3591" t="s">
        <v>3065</v>
      </c>
      <c r="G8" s="3192" t="s">
        <v>3066</v>
      </c>
      <c r="H8" s="3192" t="s">
        <v>3067</v>
      </c>
      <c r="I8" s="3192" t="s">
        <v>2815</v>
      </c>
      <c r="J8" s="3192">
        <v>109650</v>
      </c>
      <c r="K8" s="3193">
        <v>2494.61</v>
      </c>
      <c r="L8" s="3192" t="s">
        <v>2815</v>
      </c>
      <c r="M8" s="3192" t="s">
        <v>3068</v>
      </c>
      <c r="N8" s="3192" t="s">
        <v>3063</v>
      </c>
      <c r="P8" s="3587">
        <f t="shared" si="0"/>
        <v>582.07972222753074</v>
      </c>
    </row>
    <row r="9" spans="1:16">
      <c r="A9" s="3192" t="s">
        <v>3079</v>
      </c>
      <c r="B9" s="3192" t="s">
        <v>3058</v>
      </c>
      <c r="C9" s="3192" t="s">
        <v>3059</v>
      </c>
      <c r="D9" s="3192">
        <v>128420.5</v>
      </c>
      <c r="E9" s="3192">
        <v>449471.75</v>
      </c>
      <c r="F9" s="3591" t="s">
        <v>3065</v>
      </c>
      <c r="G9" s="3192" t="s">
        <v>3066</v>
      </c>
      <c r="H9" s="3192" t="s">
        <v>3067</v>
      </c>
      <c r="I9" s="3192" t="s">
        <v>2815</v>
      </c>
      <c r="J9" s="3192">
        <v>112120</v>
      </c>
      <c r="K9" s="3193">
        <v>2494.48</v>
      </c>
      <c r="L9" s="3192" t="s">
        <v>2815</v>
      </c>
      <c r="M9" s="3192" t="s">
        <v>3068</v>
      </c>
      <c r="N9" s="3192" t="s">
        <v>3063</v>
      </c>
      <c r="P9" s="3587">
        <f t="shared" si="0"/>
        <v>582.04913078519394</v>
      </c>
    </row>
    <row r="10" spans="1:16">
      <c r="A10" s="3192" t="s">
        <v>3080</v>
      </c>
      <c r="B10" s="3192" t="s">
        <v>3058</v>
      </c>
      <c r="C10" s="3192" t="s">
        <v>3059</v>
      </c>
      <c r="D10" s="3192">
        <v>8319.66</v>
      </c>
      <c r="E10" s="3192">
        <v>35774.54</v>
      </c>
      <c r="F10" s="3591" t="s">
        <v>3081</v>
      </c>
      <c r="G10" s="3192" t="s">
        <v>3066</v>
      </c>
      <c r="H10" s="3192" t="s">
        <v>3067</v>
      </c>
      <c r="I10" s="3192" t="s">
        <v>2815</v>
      </c>
      <c r="J10" s="3192">
        <v>3110</v>
      </c>
      <c r="K10" s="3193">
        <v>869.33</v>
      </c>
      <c r="L10" s="3192" t="s">
        <v>2815</v>
      </c>
      <c r="M10" s="3192" t="s">
        <v>3077</v>
      </c>
      <c r="N10" s="3192" t="s">
        <v>3072</v>
      </c>
      <c r="P10" s="3587">
        <f t="shared" si="0"/>
        <v>249.21014801085622</v>
      </c>
    </row>
    <row r="11" spans="1:16">
      <c r="A11" s="3192" t="s">
        <v>3082</v>
      </c>
      <c r="B11" s="3192" t="s">
        <v>3058</v>
      </c>
      <c r="C11" s="3192" t="s">
        <v>3083</v>
      </c>
      <c r="D11" s="3192">
        <v>49894.55</v>
      </c>
      <c r="E11" s="3192">
        <v>143696.29999999999</v>
      </c>
      <c r="F11" s="3591" t="s">
        <v>3084</v>
      </c>
      <c r="G11" s="3192" t="s">
        <v>3066</v>
      </c>
      <c r="H11" s="3192" t="s">
        <v>3085</v>
      </c>
      <c r="I11" s="3192" t="s">
        <v>2815</v>
      </c>
      <c r="J11" s="3192">
        <v>11650</v>
      </c>
      <c r="K11" s="3193">
        <v>810.74</v>
      </c>
      <c r="L11" s="3192" t="s">
        <v>2815</v>
      </c>
      <c r="M11" s="3192" t="s">
        <v>3086</v>
      </c>
      <c r="N11" s="3192" t="s">
        <v>3063</v>
      </c>
      <c r="P11" s="3587">
        <f t="shared" si="0"/>
        <v>155.66240200583027</v>
      </c>
    </row>
    <row r="12" spans="1:16">
      <c r="A12" s="3192" t="s">
        <v>3087</v>
      </c>
      <c r="B12" s="3192" t="s">
        <v>3058</v>
      </c>
      <c r="C12" s="3192" t="s">
        <v>3083</v>
      </c>
      <c r="D12" s="3192">
        <v>54718.27</v>
      </c>
      <c r="E12" s="3192">
        <v>113814</v>
      </c>
      <c r="F12" s="3591" t="s">
        <v>3088</v>
      </c>
      <c r="G12" s="3192" t="s">
        <v>3066</v>
      </c>
      <c r="H12" s="3192" t="s">
        <v>3085</v>
      </c>
      <c r="I12" s="3192" t="s">
        <v>2815</v>
      </c>
      <c r="J12" s="3192">
        <v>12420</v>
      </c>
      <c r="K12" s="3193">
        <v>1091.25</v>
      </c>
      <c r="L12" s="3192" t="s">
        <v>2815</v>
      </c>
      <c r="M12" s="3192" t="s">
        <v>3086</v>
      </c>
      <c r="N12" s="3192" t="s">
        <v>3063</v>
      </c>
      <c r="P12" s="3587">
        <f t="shared" si="0"/>
        <v>151.32133015170254</v>
      </c>
    </row>
    <row r="13" spans="1:16">
      <c r="A13" s="3192" t="s">
        <v>3089</v>
      </c>
      <c r="B13" s="3192" t="s">
        <v>3058</v>
      </c>
      <c r="C13" s="3192" t="s">
        <v>3083</v>
      </c>
      <c r="D13" s="3192">
        <v>132631.4</v>
      </c>
      <c r="E13" s="3192">
        <v>437683.62</v>
      </c>
      <c r="F13" s="3591" t="s">
        <v>3090</v>
      </c>
      <c r="G13" s="3192" t="s">
        <v>3066</v>
      </c>
      <c r="H13" s="3192" t="s">
        <v>3085</v>
      </c>
      <c r="I13" s="3192">
        <v>37405</v>
      </c>
      <c r="J13" s="3192">
        <v>37405</v>
      </c>
      <c r="K13" s="3193">
        <v>854.61</v>
      </c>
      <c r="L13" s="3192">
        <v>0</v>
      </c>
      <c r="M13" s="3192" t="s">
        <v>3091</v>
      </c>
      <c r="N13" s="3192" t="s">
        <v>3063</v>
      </c>
      <c r="P13" s="3587">
        <f t="shared" si="0"/>
        <v>188.01574400933714</v>
      </c>
    </row>
    <row r="14" spans="1:16">
      <c r="A14" s="3192" t="s">
        <v>3092</v>
      </c>
      <c r="B14" s="3192" t="s">
        <v>3058</v>
      </c>
      <c r="C14" s="3192" t="s">
        <v>3083</v>
      </c>
      <c r="D14" s="3192">
        <v>65758.97</v>
      </c>
      <c r="E14" s="3192">
        <v>153875.99</v>
      </c>
      <c r="F14" s="3591" t="s">
        <v>3093</v>
      </c>
      <c r="G14" s="3192" t="s">
        <v>3066</v>
      </c>
      <c r="H14" s="3192" t="s">
        <v>3085</v>
      </c>
      <c r="I14" s="3192" t="s">
        <v>2815</v>
      </c>
      <c r="J14" s="3192">
        <v>15145</v>
      </c>
      <c r="K14" s="3193">
        <v>984.23</v>
      </c>
      <c r="L14" s="3192" t="s">
        <v>2815</v>
      </c>
      <c r="M14" s="3192" t="s">
        <v>3086</v>
      </c>
      <c r="N14" s="3192" t="s">
        <v>3072</v>
      </c>
      <c r="P14" s="3587">
        <f t="shared" si="0"/>
        <v>153.54129102082953</v>
      </c>
    </row>
    <row r="15" spans="1:16">
      <c r="A15" s="3192" t="s">
        <v>3094</v>
      </c>
      <c r="B15" s="3192" t="s">
        <v>3058</v>
      </c>
      <c r="C15" s="3192" t="s">
        <v>3083</v>
      </c>
      <c r="D15" s="3192">
        <v>48957.27</v>
      </c>
      <c r="E15" s="3192">
        <v>112112.15</v>
      </c>
      <c r="F15" s="3591" t="s">
        <v>3095</v>
      </c>
      <c r="G15" s="3192" t="s">
        <v>3066</v>
      </c>
      <c r="H15" s="3192" t="s">
        <v>3085</v>
      </c>
      <c r="I15" s="3192" t="s">
        <v>2815</v>
      </c>
      <c r="J15" s="3192">
        <v>11255</v>
      </c>
      <c r="K15" s="3193">
        <v>1003.9</v>
      </c>
      <c r="L15" s="3192" t="s">
        <v>2815</v>
      </c>
      <c r="M15" s="3192" t="s">
        <v>3086</v>
      </c>
      <c r="N15" s="3192" t="s">
        <v>3072</v>
      </c>
      <c r="P15" s="3587">
        <f t="shared" si="0"/>
        <v>153.2636695224223</v>
      </c>
    </row>
    <row r="16" spans="1:16">
      <c r="A16" s="3192" t="s">
        <v>3096</v>
      </c>
      <c r="B16" s="3192" t="s">
        <v>3058</v>
      </c>
      <c r="C16" s="3192" t="s">
        <v>3059</v>
      </c>
      <c r="D16" s="3192">
        <v>23273.07</v>
      </c>
      <c r="E16" s="3192">
        <v>81455.740000000005</v>
      </c>
      <c r="F16" s="3591" t="s">
        <v>3097</v>
      </c>
      <c r="G16" s="3192" t="s">
        <v>3066</v>
      </c>
      <c r="H16" s="3192" t="s">
        <v>3098</v>
      </c>
      <c r="I16" s="3192" t="s">
        <v>2815</v>
      </c>
      <c r="J16" s="3192">
        <v>3485</v>
      </c>
      <c r="K16" s="3193">
        <v>427.83</v>
      </c>
      <c r="L16" s="3192" t="s">
        <v>2815</v>
      </c>
      <c r="M16" s="3192" t="s">
        <v>3099</v>
      </c>
      <c r="N16" s="3192" t="s">
        <v>3072</v>
      </c>
      <c r="P16" s="3587">
        <f t="shared" si="0"/>
        <v>99.829758171139432</v>
      </c>
    </row>
    <row r="17" spans="1:16" s="3193" customFormat="1">
      <c r="A17" s="3193" t="s">
        <v>3100</v>
      </c>
      <c r="B17" s="3193" t="s">
        <v>3058</v>
      </c>
      <c r="C17" s="3193" t="s">
        <v>3083</v>
      </c>
      <c r="D17" s="3193">
        <v>125831</v>
      </c>
      <c r="E17" s="3193">
        <v>390076.1</v>
      </c>
      <c r="F17" s="3592" t="s">
        <v>3101</v>
      </c>
      <c r="G17" s="3193" t="s">
        <v>3061</v>
      </c>
      <c r="H17" s="3193" t="s">
        <v>3102</v>
      </c>
      <c r="I17" s="3193">
        <v>113630</v>
      </c>
      <c r="J17" s="3193">
        <v>113630</v>
      </c>
      <c r="K17" s="3193">
        <v>2913.01</v>
      </c>
      <c r="L17" s="3193">
        <v>0</v>
      </c>
      <c r="M17" s="3193" t="s">
        <v>3103</v>
      </c>
      <c r="N17" s="3193" t="s">
        <v>3063</v>
      </c>
      <c r="O17" s="3193">
        <f>ROUND((J17+J18)/(E17+E18)*10000,0)</f>
        <v>2810</v>
      </c>
      <c r="P17" s="3588">
        <f t="shared" si="0"/>
        <v>602.02741852166787</v>
      </c>
    </row>
    <row r="18" spans="1:16">
      <c r="A18" s="3192" t="s">
        <v>3104</v>
      </c>
      <c r="B18" s="3192" t="s">
        <v>3058</v>
      </c>
      <c r="C18" s="3192" t="s">
        <v>3083</v>
      </c>
      <c r="D18" s="3192">
        <v>60486.9</v>
      </c>
      <c r="E18" s="3192">
        <v>208679.8</v>
      </c>
      <c r="F18" s="3591" t="s">
        <v>3105</v>
      </c>
      <c r="G18" s="3192" t="s">
        <v>3061</v>
      </c>
      <c r="H18" s="3192" t="s">
        <v>3102</v>
      </c>
      <c r="I18" s="3192">
        <v>54620</v>
      </c>
      <c r="J18" s="3192">
        <v>54620</v>
      </c>
      <c r="K18" s="3193">
        <v>2617.4</v>
      </c>
      <c r="L18" s="3192">
        <v>0</v>
      </c>
      <c r="M18" s="3192" t="s">
        <v>3103</v>
      </c>
      <c r="N18" s="3192" t="s">
        <v>3063</v>
      </c>
      <c r="O18" s="3192">
        <f>(E17+E18)/(D17+D18)</f>
        <v>3.2136252072398839</v>
      </c>
      <c r="P18" s="3587">
        <f t="shared" si="0"/>
        <v>602.00663945416272</v>
      </c>
    </row>
    <row r="19" spans="1:16">
      <c r="A19" s="3192" t="s">
        <v>3106</v>
      </c>
      <c r="B19" s="3192" t="s">
        <v>3058</v>
      </c>
      <c r="C19" s="3192" t="s">
        <v>3083</v>
      </c>
      <c r="D19" s="3192">
        <v>34163.4</v>
      </c>
      <c r="E19" s="3192">
        <v>133237.29999999999</v>
      </c>
      <c r="F19" s="3591" t="s">
        <v>3107</v>
      </c>
      <c r="G19" s="3192" t="s">
        <v>3066</v>
      </c>
      <c r="H19" s="3192" t="s">
        <v>3108</v>
      </c>
      <c r="I19" s="3192">
        <v>10765</v>
      </c>
      <c r="J19" s="3192">
        <v>10765</v>
      </c>
      <c r="K19" s="3193">
        <v>807.96</v>
      </c>
      <c r="L19" s="3192">
        <v>0</v>
      </c>
      <c r="M19" s="3192" t="s">
        <v>3109</v>
      </c>
      <c r="N19" s="3192" t="s">
        <v>3072</v>
      </c>
      <c r="P19" s="3587">
        <f t="shared" si="0"/>
        <v>210.06991546508834</v>
      </c>
    </row>
    <row r="20" spans="1:16">
      <c r="A20" s="3192" t="s">
        <v>3110</v>
      </c>
      <c r="B20" s="3192" t="s">
        <v>3058</v>
      </c>
      <c r="C20" s="3192" t="s">
        <v>3083</v>
      </c>
      <c r="D20" s="3192">
        <v>13526.5</v>
      </c>
      <c r="E20" s="3192">
        <v>69526.210000000006</v>
      </c>
      <c r="F20" s="3591" t="s">
        <v>3111</v>
      </c>
      <c r="G20" s="3192" t="s">
        <v>3066</v>
      </c>
      <c r="H20" s="3192" t="s">
        <v>3108</v>
      </c>
      <c r="I20" s="3192">
        <v>3835</v>
      </c>
      <c r="J20" s="3192">
        <v>3835</v>
      </c>
      <c r="K20" s="3193">
        <v>551.59</v>
      </c>
      <c r="L20" s="3192">
        <v>0</v>
      </c>
      <c r="M20" s="3192" t="s">
        <v>3112</v>
      </c>
      <c r="N20" s="3192" t="s">
        <v>3063</v>
      </c>
      <c r="P20" s="3587">
        <f t="shared" si="0"/>
        <v>189.01263815473328</v>
      </c>
    </row>
    <row r="21" spans="1:16">
      <c r="A21" s="3192" t="s">
        <v>3113</v>
      </c>
      <c r="B21" s="3192" t="s">
        <v>3058</v>
      </c>
      <c r="C21" s="3192" t="s">
        <v>3083</v>
      </c>
      <c r="D21" s="3192">
        <v>18667.8</v>
      </c>
      <c r="E21" s="3192">
        <v>51149.77</v>
      </c>
      <c r="F21" s="3591" t="s">
        <v>3114</v>
      </c>
      <c r="G21" s="3192" t="s">
        <v>3066</v>
      </c>
      <c r="H21" s="3192" t="s">
        <v>3108</v>
      </c>
      <c r="I21" s="3192">
        <v>4570</v>
      </c>
      <c r="J21" s="3192">
        <v>4570</v>
      </c>
      <c r="K21" s="3193">
        <v>893.45</v>
      </c>
      <c r="L21" s="3192">
        <v>0</v>
      </c>
      <c r="M21" s="3192" t="s">
        <v>3112</v>
      </c>
      <c r="N21" s="3192" t="s">
        <v>3063</v>
      </c>
      <c r="P21" s="3587">
        <f t="shared" si="0"/>
        <v>163.20519289900255</v>
      </c>
    </row>
    <row r="22" spans="1:16">
      <c r="A22" s="3192" t="s">
        <v>3115</v>
      </c>
      <c r="B22" s="3192" t="s">
        <v>3058</v>
      </c>
      <c r="C22" s="3192" t="s">
        <v>3083</v>
      </c>
      <c r="D22" s="3192">
        <v>27588.1</v>
      </c>
      <c r="E22" s="3192">
        <v>60693.82</v>
      </c>
      <c r="F22" s="3591" t="s">
        <v>3116</v>
      </c>
      <c r="G22" s="3192" t="s">
        <v>3066</v>
      </c>
      <c r="H22" s="3192" t="s">
        <v>3117</v>
      </c>
      <c r="I22" s="3192">
        <v>7000</v>
      </c>
      <c r="J22" s="3192">
        <v>11104.89</v>
      </c>
      <c r="K22" s="3193">
        <v>1829.66</v>
      </c>
      <c r="L22" s="3192">
        <v>58.64</v>
      </c>
      <c r="M22" s="3192" t="s">
        <v>3118</v>
      </c>
      <c r="N22" s="3192" t="s">
        <v>3063</v>
      </c>
      <c r="P22" s="3587">
        <f t="shared" si="0"/>
        <v>268.35110124655193</v>
      </c>
    </row>
    <row r="23" spans="1:16">
      <c r="A23" s="3192" t="s">
        <v>3119</v>
      </c>
      <c r="B23" s="3192" t="s">
        <v>3058</v>
      </c>
      <c r="C23" s="3192" t="s">
        <v>3083</v>
      </c>
      <c r="D23" s="3192">
        <v>81430.100000000006</v>
      </c>
      <c r="E23" s="3192">
        <v>203575.3</v>
      </c>
      <c r="F23" s="3591" t="s">
        <v>3120</v>
      </c>
      <c r="G23" s="3192" t="s">
        <v>3061</v>
      </c>
      <c r="H23" s="3192" t="s">
        <v>3121</v>
      </c>
      <c r="I23" s="3192" t="s">
        <v>2815</v>
      </c>
      <c r="J23" s="3192">
        <v>18322</v>
      </c>
      <c r="K23" s="3193">
        <v>900</v>
      </c>
      <c r="L23" s="3192" t="s">
        <v>2815</v>
      </c>
      <c r="M23" s="3192" t="s">
        <v>3122</v>
      </c>
      <c r="N23" s="3192" t="s">
        <v>3123</v>
      </c>
      <c r="P23" s="3587">
        <f t="shared" si="0"/>
        <v>150.00261254744865</v>
      </c>
    </row>
    <row r="24" spans="1:16">
      <c r="A24" s="3192" t="s">
        <v>3124</v>
      </c>
      <c r="B24" s="3192" t="s">
        <v>3058</v>
      </c>
      <c r="C24" s="3192" t="s">
        <v>3083</v>
      </c>
      <c r="D24" s="3192">
        <v>3877.7</v>
      </c>
      <c r="E24" s="3192">
        <v>19388.5</v>
      </c>
      <c r="F24" s="3591" t="s">
        <v>3125</v>
      </c>
      <c r="G24" s="3192" t="s">
        <v>3061</v>
      </c>
      <c r="H24" s="3192" t="s">
        <v>3121</v>
      </c>
      <c r="I24" s="3192" t="s">
        <v>2815</v>
      </c>
      <c r="J24" s="3192">
        <v>1472</v>
      </c>
      <c r="K24" s="3193">
        <v>759.21</v>
      </c>
      <c r="L24" s="3192" t="s">
        <v>2815</v>
      </c>
      <c r="M24" s="3192" t="s">
        <v>3126</v>
      </c>
      <c r="N24" s="3192" t="s">
        <v>3063</v>
      </c>
      <c r="P24" s="3587">
        <f t="shared" si="0"/>
        <v>253.07224385589393</v>
      </c>
    </row>
    <row r="25" spans="1:16" s="3210" customFormat="1">
      <c r="A25" s="3210" t="s">
        <v>3127</v>
      </c>
      <c r="B25" s="3210" t="s">
        <v>3058</v>
      </c>
      <c r="C25" s="3210" t="s">
        <v>3083</v>
      </c>
      <c r="D25" s="3210">
        <v>48227.7</v>
      </c>
      <c r="E25" s="3210">
        <v>173619.7</v>
      </c>
      <c r="F25" s="3594" t="s">
        <v>3128</v>
      </c>
      <c r="G25" s="3210" t="s">
        <v>3066</v>
      </c>
      <c r="H25" s="3210" t="s">
        <v>3121</v>
      </c>
      <c r="I25" s="3210" t="s">
        <v>2815</v>
      </c>
      <c r="J25" s="3210">
        <v>49627</v>
      </c>
      <c r="K25" s="3210">
        <v>2858.36</v>
      </c>
      <c r="L25" s="3210" t="s">
        <v>2815</v>
      </c>
      <c r="M25" s="3210" t="s">
        <v>3129</v>
      </c>
      <c r="N25" s="3210" t="s">
        <v>3072</v>
      </c>
      <c r="P25" s="3590">
        <f t="shared" si="0"/>
        <v>686.01306075139394</v>
      </c>
    </row>
    <row r="26" spans="1:16">
      <c r="A26" s="3192" t="s">
        <v>3130</v>
      </c>
      <c r="B26" s="3192" t="s">
        <v>3058</v>
      </c>
      <c r="C26" s="3192" t="s">
        <v>3083</v>
      </c>
      <c r="D26" s="3192">
        <v>66236</v>
      </c>
      <c r="E26" s="3192">
        <v>238449.6</v>
      </c>
      <c r="F26" s="3591" t="s">
        <v>3128</v>
      </c>
      <c r="G26" s="3192" t="s">
        <v>3066</v>
      </c>
      <c r="H26" s="3192" t="s">
        <v>3121</v>
      </c>
      <c r="I26" s="3192" t="s">
        <v>2815</v>
      </c>
      <c r="J26" s="3192">
        <v>68157</v>
      </c>
      <c r="K26" s="3193">
        <v>2858.34</v>
      </c>
      <c r="L26" s="3192" t="s">
        <v>2815</v>
      </c>
      <c r="M26" s="3192" t="s">
        <v>3129</v>
      </c>
      <c r="N26" s="3192" t="s">
        <v>3072</v>
      </c>
      <c r="P26" s="3587">
        <f t="shared" si="0"/>
        <v>686.00500015097521</v>
      </c>
    </row>
    <row r="27" spans="1:16">
      <c r="A27" s="3192" t="s">
        <v>3131</v>
      </c>
      <c r="B27" s="3192" t="s">
        <v>3058</v>
      </c>
      <c r="C27" s="3192" t="s">
        <v>3083</v>
      </c>
      <c r="D27" s="3192">
        <v>79178.2</v>
      </c>
      <c r="E27" s="3192">
        <v>285041.5</v>
      </c>
      <c r="F27" s="3591" t="s">
        <v>3128</v>
      </c>
      <c r="G27" s="3192" t="s">
        <v>3066</v>
      </c>
      <c r="H27" s="3192" t="s">
        <v>3121</v>
      </c>
      <c r="I27" s="3192" t="s">
        <v>2815</v>
      </c>
      <c r="J27" s="3192">
        <v>81475</v>
      </c>
      <c r="K27" s="3193">
        <v>2858.36</v>
      </c>
      <c r="L27" s="3192" t="s">
        <v>2815</v>
      </c>
      <c r="M27" s="3192" t="s">
        <v>3129</v>
      </c>
      <c r="N27" s="3192" t="s">
        <v>3072</v>
      </c>
      <c r="P27" s="3587">
        <f t="shared" si="0"/>
        <v>686.00875304060958</v>
      </c>
    </row>
    <row r="28" spans="1:16">
      <c r="A28" s="3192" t="s">
        <v>3132</v>
      </c>
      <c r="B28" s="3192" t="s">
        <v>3058</v>
      </c>
      <c r="C28" s="3192" t="s">
        <v>3059</v>
      </c>
      <c r="D28" s="3192">
        <v>133411.5</v>
      </c>
      <c r="E28" s="3192">
        <v>400234.5</v>
      </c>
      <c r="F28" s="3591" t="s">
        <v>3133</v>
      </c>
      <c r="G28" s="3192" t="s">
        <v>3066</v>
      </c>
      <c r="H28" s="3192" t="s">
        <v>3134</v>
      </c>
      <c r="I28" s="3192" t="s">
        <v>2815</v>
      </c>
      <c r="J28" s="3192">
        <v>37700</v>
      </c>
      <c r="K28" s="3193">
        <v>941.95</v>
      </c>
      <c r="L28" s="3192" t="s">
        <v>2815</v>
      </c>
      <c r="M28" s="3192" t="s">
        <v>3135</v>
      </c>
      <c r="N28" s="3192" t="s">
        <v>3063</v>
      </c>
      <c r="P28" s="3587">
        <f t="shared" si="0"/>
        <v>188.3904985702132</v>
      </c>
    </row>
    <row r="29" spans="1:16">
      <c r="A29" s="3192" t="s">
        <v>3136</v>
      </c>
      <c r="B29" s="3192" t="s">
        <v>3058</v>
      </c>
      <c r="C29" s="3192" t="s">
        <v>3059</v>
      </c>
      <c r="D29" s="3192">
        <v>14049.9</v>
      </c>
      <c r="E29" s="3192">
        <v>85704.39</v>
      </c>
      <c r="F29" s="3591" t="s">
        <v>3137</v>
      </c>
      <c r="G29" s="3192" t="s">
        <v>3066</v>
      </c>
      <c r="H29" s="3192" t="s">
        <v>3138</v>
      </c>
      <c r="I29" s="3192" t="s">
        <v>2815</v>
      </c>
      <c r="J29" s="3192">
        <v>5010</v>
      </c>
      <c r="K29" s="3193">
        <v>584.57000000000005</v>
      </c>
      <c r="L29" s="3192" t="s">
        <v>2815</v>
      </c>
      <c r="M29" s="3192" t="s">
        <v>3139</v>
      </c>
      <c r="N29" s="3192" t="s">
        <v>3063</v>
      </c>
      <c r="P29" s="3587">
        <f t="shared" si="0"/>
        <v>237.7253005359469</v>
      </c>
    </row>
    <row r="30" spans="1:16">
      <c r="A30" s="3192" t="s">
        <v>3140</v>
      </c>
      <c r="B30" s="3192" t="s">
        <v>3058</v>
      </c>
      <c r="C30" s="3192" t="s">
        <v>3083</v>
      </c>
      <c r="D30" s="3192">
        <v>14746.5</v>
      </c>
      <c r="E30" s="3192">
        <v>87004.35</v>
      </c>
      <c r="F30" s="3591" t="s">
        <v>3141</v>
      </c>
      <c r="G30" s="3192" t="s">
        <v>3066</v>
      </c>
      <c r="H30" s="3192" t="s">
        <v>3138</v>
      </c>
      <c r="I30" s="3192" t="s">
        <v>2815</v>
      </c>
      <c r="J30" s="3192">
        <v>4450</v>
      </c>
      <c r="K30" s="3193">
        <v>511.47</v>
      </c>
      <c r="L30" s="3192" t="s">
        <v>2815</v>
      </c>
      <c r="M30" s="3192" t="s">
        <v>3142</v>
      </c>
      <c r="N30" s="3192" t="s">
        <v>3063</v>
      </c>
      <c r="P30" s="3587">
        <f t="shared" si="0"/>
        <v>201.17868646797544</v>
      </c>
    </row>
    <row r="31" spans="1:16">
      <c r="A31" s="3192" t="s">
        <v>3143</v>
      </c>
      <c r="B31" s="3192" t="s">
        <v>3058</v>
      </c>
      <c r="C31" s="3192" t="s">
        <v>3083</v>
      </c>
      <c r="D31" s="3192">
        <v>7618.36</v>
      </c>
      <c r="E31" s="3192">
        <v>36415.760000000002</v>
      </c>
      <c r="F31" s="3591" t="s">
        <v>3144</v>
      </c>
      <c r="G31" s="3192" t="s">
        <v>3066</v>
      </c>
      <c r="H31" s="3192" t="s">
        <v>3145</v>
      </c>
      <c r="I31" s="3192" t="s">
        <v>2815</v>
      </c>
      <c r="J31" s="3192">
        <v>2521</v>
      </c>
      <c r="K31" s="3193">
        <v>692.27</v>
      </c>
      <c r="L31" s="3192" t="s">
        <v>2815</v>
      </c>
      <c r="M31" s="3192" t="s">
        <v>3146</v>
      </c>
      <c r="N31" s="3192" t="s">
        <v>3063</v>
      </c>
      <c r="P31" s="3587">
        <f t="shared" si="0"/>
        <v>220.60851285578522</v>
      </c>
    </row>
    <row r="32" spans="1:16">
      <c r="A32" s="3192" t="s">
        <v>3147</v>
      </c>
      <c r="B32" s="3192" t="s">
        <v>3058</v>
      </c>
      <c r="C32" s="3192" t="s">
        <v>3083</v>
      </c>
      <c r="D32" s="3192">
        <v>4705.3999999999996</v>
      </c>
      <c r="E32" s="3192">
        <v>19762.68</v>
      </c>
      <c r="F32" s="3591" t="s">
        <v>3148</v>
      </c>
      <c r="G32" s="3192" t="s">
        <v>3061</v>
      </c>
      <c r="H32" s="3192" t="s">
        <v>3149</v>
      </c>
      <c r="I32" s="3192">
        <v>1261</v>
      </c>
      <c r="J32" s="3192">
        <v>1261</v>
      </c>
      <c r="K32" s="3193">
        <v>638.07000000000005</v>
      </c>
      <c r="L32" s="3192">
        <v>0</v>
      </c>
      <c r="M32" s="3192" t="s">
        <v>3150</v>
      </c>
      <c r="N32" s="3192" t="s">
        <v>3151</v>
      </c>
      <c r="P32" s="3587">
        <f t="shared" si="0"/>
        <v>178.66087261444298</v>
      </c>
    </row>
    <row r="33" spans="1:16">
      <c r="A33" s="3192" t="s">
        <v>3152</v>
      </c>
      <c r="B33" s="3192" t="s">
        <v>3058</v>
      </c>
      <c r="C33" s="3192" t="s">
        <v>3059</v>
      </c>
      <c r="D33" s="3192">
        <v>18156.3</v>
      </c>
      <c r="E33" s="3192">
        <v>36312.6</v>
      </c>
      <c r="F33" s="3591" t="s">
        <v>3153</v>
      </c>
      <c r="G33" s="3192" t="s">
        <v>3061</v>
      </c>
      <c r="H33" s="3192" t="s">
        <v>3154</v>
      </c>
      <c r="I33" s="3192">
        <v>4358</v>
      </c>
      <c r="J33" s="3192">
        <v>4358</v>
      </c>
      <c r="K33" s="3193">
        <v>1200.1300000000001</v>
      </c>
      <c r="L33" s="3192">
        <v>0</v>
      </c>
      <c r="M33" s="3192" t="s">
        <v>3155</v>
      </c>
      <c r="N33" s="3192" t="s">
        <v>3072</v>
      </c>
      <c r="P33" s="3587">
        <f t="shared" si="0"/>
        <v>160.01871857151511</v>
      </c>
    </row>
    <row r="34" spans="1:16">
      <c r="A34" s="3192" t="s">
        <v>3156</v>
      </c>
      <c r="B34" s="3192" t="s">
        <v>3058</v>
      </c>
      <c r="C34" s="3192" t="s">
        <v>3083</v>
      </c>
      <c r="D34" s="3192">
        <v>10871.8</v>
      </c>
      <c r="E34" s="3192">
        <v>46857.46</v>
      </c>
      <c r="F34" s="3591" t="s">
        <v>3157</v>
      </c>
      <c r="G34" s="3192" t="s">
        <v>3066</v>
      </c>
      <c r="H34" s="3192" t="s">
        <v>3154</v>
      </c>
      <c r="I34" s="3192">
        <v>2295</v>
      </c>
      <c r="J34" s="3192">
        <v>2295</v>
      </c>
      <c r="K34" s="3193">
        <v>489.77</v>
      </c>
      <c r="L34" s="3192">
        <v>0</v>
      </c>
      <c r="M34" s="3192" t="s">
        <v>3158</v>
      </c>
      <c r="N34" s="3192" t="s">
        <v>3063</v>
      </c>
      <c r="P34" s="3587">
        <f t="shared" si="0"/>
        <v>140.731769348222</v>
      </c>
    </row>
    <row r="35" spans="1:16">
      <c r="A35" s="3192" t="s">
        <v>3159</v>
      </c>
      <c r="B35" s="3192" t="s">
        <v>3058</v>
      </c>
      <c r="C35" s="3192" t="s">
        <v>3083</v>
      </c>
      <c r="D35" s="3192">
        <v>47083</v>
      </c>
      <c r="E35" s="3192">
        <v>163378</v>
      </c>
      <c r="F35" s="3591" t="s">
        <v>3160</v>
      </c>
      <c r="G35" s="3192" t="s">
        <v>3066</v>
      </c>
      <c r="H35" s="3192" t="s">
        <v>3154</v>
      </c>
      <c r="I35" s="3192">
        <v>10390</v>
      </c>
      <c r="J35" s="3192">
        <v>10390</v>
      </c>
      <c r="K35" s="3193">
        <v>635.95000000000005</v>
      </c>
      <c r="L35" s="3192">
        <v>0</v>
      </c>
      <c r="M35" s="3192" t="s">
        <v>3161</v>
      </c>
      <c r="N35" s="3192" t="s">
        <v>3063</v>
      </c>
    </row>
    <row r="36" spans="1:16">
      <c r="A36" s="3192" t="s">
        <v>3162</v>
      </c>
      <c r="B36" s="3192" t="s">
        <v>3058</v>
      </c>
      <c r="C36" s="3192" t="s">
        <v>3059</v>
      </c>
      <c r="D36" s="3192">
        <v>98675.7</v>
      </c>
      <c r="E36" s="3192">
        <v>332537.09999999998</v>
      </c>
      <c r="F36" s="3591" t="s">
        <v>3163</v>
      </c>
      <c r="G36" s="3192" t="s">
        <v>3066</v>
      </c>
      <c r="H36" s="3192" t="s">
        <v>3154</v>
      </c>
      <c r="I36" s="3192">
        <v>18798</v>
      </c>
      <c r="J36" s="3192">
        <v>18798</v>
      </c>
      <c r="K36" s="3193">
        <v>565.28</v>
      </c>
      <c r="L36" s="3192">
        <v>0</v>
      </c>
      <c r="M36" s="3192" t="s">
        <v>3164</v>
      </c>
      <c r="N36" s="3192" t="s">
        <v>3063</v>
      </c>
    </row>
    <row r="37" spans="1:16">
      <c r="A37" s="3192" t="s">
        <v>3165</v>
      </c>
      <c r="B37" s="3192" t="s">
        <v>3058</v>
      </c>
      <c r="C37" s="3192" t="s">
        <v>3059</v>
      </c>
      <c r="D37" s="3192">
        <v>130837</v>
      </c>
      <c r="E37" s="3192">
        <v>618859</v>
      </c>
      <c r="F37" s="3591" t="s">
        <v>3166</v>
      </c>
      <c r="G37" s="3192" t="s">
        <v>3066</v>
      </c>
      <c r="H37" s="3192" t="s">
        <v>3167</v>
      </c>
      <c r="I37" s="3192">
        <v>21800</v>
      </c>
      <c r="J37" s="3192">
        <v>21800</v>
      </c>
      <c r="K37" s="3193">
        <v>352.25</v>
      </c>
      <c r="L37" s="3192">
        <v>0</v>
      </c>
      <c r="M37" s="3192" t="s">
        <v>3168</v>
      </c>
      <c r="N37" s="3192" t="s">
        <v>3063</v>
      </c>
    </row>
    <row r="38" spans="1:16">
      <c r="A38" s="3192" t="s">
        <v>3169</v>
      </c>
      <c r="B38" s="3192" t="s">
        <v>3058</v>
      </c>
      <c r="C38" s="3192" t="s">
        <v>3083</v>
      </c>
      <c r="D38" s="3192">
        <v>6589.6</v>
      </c>
      <c r="E38" s="3192">
        <v>31630.080000000002</v>
      </c>
      <c r="F38" s="3591" t="s">
        <v>3170</v>
      </c>
      <c r="G38" s="3192" t="s">
        <v>3066</v>
      </c>
      <c r="H38" s="3192" t="s">
        <v>3171</v>
      </c>
      <c r="I38" s="3192">
        <v>2230</v>
      </c>
      <c r="J38" s="3192">
        <v>2230</v>
      </c>
      <c r="K38" s="3193">
        <v>705.02</v>
      </c>
      <c r="L38" s="3192">
        <v>0</v>
      </c>
      <c r="M38" s="3192" t="s">
        <v>3172</v>
      </c>
      <c r="N38" s="3192" t="s">
        <v>3072</v>
      </c>
    </row>
    <row r="39" spans="1:16">
      <c r="A39" s="3192" t="s">
        <v>3173</v>
      </c>
      <c r="B39" s="3192" t="s">
        <v>3058</v>
      </c>
      <c r="C39" s="3192" t="s">
        <v>3059</v>
      </c>
      <c r="D39" s="3192">
        <v>7083.2</v>
      </c>
      <c r="E39" s="3192">
        <v>44624.160000000003</v>
      </c>
      <c r="F39" s="3591" t="s">
        <v>3174</v>
      </c>
      <c r="G39" s="3192" t="s">
        <v>3061</v>
      </c>
      <c r="H39" s="3192" t="s">
        <v>3171</v>
      </c>
      <c r="I39" s="3192">
        <v>2515</v>
      </c>
      <c r="J39" s="3192">
        <v>2515</v>
      </c>
      <c r="K39" s="3193">
        <v>563.6</v>
      </c>
      <c r="L39" s="3192">
        <v>0</v>
      </c>
      <c r="M39" s="3192" t="s">
        <v>3175</v>
      </c>
      <c r="N39" s="3192" t="s">
        <v>3063</v>
      </c>
    </row>
    <row r="40" spans="1:16">
      <c r="A40" s="3192" t="s">
        <v>3176</v>
      </c>
      <c r="B40" s="3192" t="s">
        <v>3058</v>
      </c>
      <c r="C40" s="3192" t="s">
        <v>3059</v>
      </c>
      <c r="D40" s="3192">
        <v>40226</v>
      </c>
      <c r="E40" s="3192">
        <v>112632.8</v>
      </c>
      <c r="F40" s="3591" t="s">
        <v>3177</v>
      </c>
      <c r="G40" s="3192" t="s">
        <v>3066</v>
      </c>
      <c r="H40" s="3192" t="s">
        <v>3178</v>
      </c>
      <c r="I40" s="3192" t="s">
        <v>2815</v>
      </c>
      <c r="J40" s="3192">
        <v>8042</v>
      </c>
      <c r="K40" s="3193">
        <v>714</v>
      </c>
      <c r="L40" s="3192" t="s">
        <v>2815</v>
      </c>
      <c r="M40" s="3192" t="s">
        <v>3179</v>
      </c>
      <c r="N40" s="3192" t="s">
        <v>3063</v>
      </c>
    </row>
    <row r="41" spans="1:16">
      <c r="A41" s="3192" t="s">
        <v>3180</v>
      </c>
      <c r="B41" s="3192" t="s">
        <v>3058</v>
      </c>
      <c r="C41" s="3192" t="s">
        <v>3059</v>
      </c>
      <c r="D41" s="3192">
        <v>21314.400000000001</v>
      </c>
      <c r="E41" s="3192">
        <v>74600.399999999994</v>
      </c>
      <c r="F41" s="3591" t="s">
        <v>3181</v>
      </c>
      <c r="G41" s="3192" t="s">
        <v>3061</v>
      </c>
      <c r="H41" s="3192" t="s">
        <v>3182</v>
      </c>
      <c r="I41" s="3192">
        <v>1900</v>
      </c>
      <c r="J41" s="3192">
        <v>1900</v>
      </c>
      <c r="K41" s="3193">
        <v>254.68</v>
      </c>
      <c r="L41" s="3192">
        <v>0</v>
      </c>
      <c r="M41" s="3192" t="s">
        <v>3099</v>
      </c>
      <c r="N41" s="3192" t="s">
        <v>3072</v>
      </c>
    </row>
    <row r="42" spans="1:16">
      <c r="A42" s="3192" t="s">
        <v>3183</v>
      </c>
      <c r="B42" s="3192" t="s">
        <v>3058</v>
      </c>
      <c r="C42" s="3192" t="s">
        <v>3059</v>
      </c>
      <c r="D42" s="3192">
        <v>913.5</v>
      </c>
      <c r="E42" s="3192">
        <v>5481</v>
      </c>
      <c r="F42" s="3591" t="s">
        <v>3184</v>
      </c>
      <c r="G42" s="3192" t="s">
        <v>3061</v>
      </c>
      <c r="H42" s="3192" t="s">
        <v>3182</v>
      </c>
      <c r="I42" s="3192">
        <v>255</v>
      </c>
      <c r="J42" s="3192">
        <v>255</v>
      </c>
      <c r="K42" s="3193">
        <v>465.24</v>
      </c>
      <c r="L42" s="3192">
        <v>0</v>
      </c>
      <c r="M42" s="3192" t="s">
        <v>3185</v>
      </c>
      <c r="N42" s="3192" t="s">
        <v>3063</v>
      </c>
    </row>
    <row r="43" spans="1:16">
      <c r="A43" s="3192" t="s">
        <v>3186</v>
      </c>
      <c r="B43" s="3192" t="s">
        <v>3058</v>
      </c>
      <c r="C43" s="3192" t="s">
        <v>3059</v>
      </c>
      <c r="D43" s="3192">
        <v>22416</v>
      </c>
      <c r="E43" s="3192">
        <v>78456</v>
      </c>
      <c r="F43" s="3591" t="s">
        <v>3181</v>
      </c>
      <c r="G43" s="3192" t="s">
        <v>3061</v>
      </c>
      <c r="H43" s="3192" t="s">
        <v>3182</v>
      </c>
      <c r="I43" s="3192">
        <v>2000</v>
      </c>
      <c r="J43" s="3192">
        <v>2000</v>
      </c>
      <c r="K43" s="3193">
        <v>254.91</v>
      </c>
      <c r="L43" s="3192">
        <v>0</v>
      </c>
      <c r="M43" s="3192" t="s">
        <v>3099</v>
      </c>
      <c r="N43" s="3192" t="s">
        <v>3072</v>
      </c>
    </row>
    <row r="44" spans="1:16">
      <c r="A44" s="3192" t="s">
        <v>3187</v>
      </c>
      <c r="B44" s="3192" t="s">
        <v>3058</v>
      </c>
      <c r="C44" s="3192" t="s">
        <v>3059</v>
      </c>
      <c r="D44" s="3192">
        <v>22263.9</v>
      </c>
      <c r="E44" s="3192">
        <v>77923.649999999994</v>
      </c>
      <c r="F44" s="3591" t="s">
        <v>3181</v>
      </c>
      <c r="G44" s="3192" t="s">
        <v>3061</v>
      </c>
      <c r="H44" s="3192" t="s">
        <v>3182</v>
      </c>
      <c r="I44" s="3192">
        <v>2000</v>
      </c>
      <c r="J44" s="3192">
        <v>2000</v>
      </c>
      <c r="K44" s="3193">
        <v>256.66000000000003</v>
      </c>
      <c r="L44" s="3192">
        <v>0</v>
      </c>
      <c r="M44" s="3192" t="s">
        <v>3099</v>
      </c>
      <c r="N44" s="3192" t="s">
        <v>3072</v>
      </c>
    </row>
    <row r="45" spans="1:16">
      <c r="A45" s="3192" t="s">
        <v>3188</v>
      </c>
      <c r="B45" s="3192" t="s">
        <v>3058</v>
      </c>
      <c r="C45" s="3192" t="s">
        <v>3059</v>
      </c>
      <c r="D45" s="3192">
        <v>2922.4</v>
      </c>
      <c r="E45" s="3192">
        <v>27324.44</v>
      </c>
      <c r="F45" s="3591" t="s">
        <v>3189</v>
      </c>
      <c r="G45" s="3192" t="s">
        <v>3061</v>
      </c>
      <c r="H45" s="3192" t="s">
        <v>3190</v>
      </c>
      <c r="I45" s="3192">
        <v>685</v>
      </c>
      <c r="J45" s="3192">
        <v>685</v>
      </c>
      <c r="K45" s="3193">
        <v>250.68</v>
      </c>
      <c r="L45" s="3192">
        <v>0</v>
      </c>
      <c r="M45" s="3192" t="s">
        <v>3191</v>
      </c>
      <c r="N45" s="3192" t="s">
        <v>3063</v>
      </c>
    </row>
    <row r="46" spans="1:16">
      <c r="A46" s="3192" t="s">
        <v>3192</v>
      </c>
      <c r="B46" s="3192" t="s">
        <v>3058</v>
      </c>
      <c r="C46" s="3192" t="s">
        <v>3083</v>
      </c>
      <c r="D46" s="3192">
        <v>3426</v>
      </c>
      <c r="E46" s="3192">
        <v>18843</v>
      </c>
      <c r="F46" s="3591" t="s">
        <v>3193</v>
      </c>
      <c r="G46" s="3192" t="s">
        <v>3061</v>
      </c>
      <c r="H46" s="3192" t="s">
        <v>3190</v>
      </c>
      <c r="I46" s="3192">
        <v>1195</v>
      </c>
      <c r="J46" s="3192">
        <v>1195</v>
      </c>
      <c r="K46" s="3193">
        <v>634.19000000000005</v>
      </c>
      <c r="L46" s="3192">
        <v>0</v>
      </c>
      <c r="M46" s="3192" t="s">
        <v>3194</v>
      </c>
      <c r="N46" s="3192" t="s">
        <v>3063</v>
      </c>
    </row>
    <row r="47" spans="1:16">
      <c r="A47" s="3192" t="s">
        <v>3195</v>
      </c>
      <c r="B47" s="3192" t="s">
        <v>3058</v>
      </c>
      <c r="C47" s="3192" t="s">
        <v>3083</v>
      </c>
      <c r="D47" s="3192">
        <v>12946</v>
      </c>
      <c r="E47" s="3192">
        <v>45311</v>
      </c>
      <c r="F47" s="3591" t="s">
        <v>3196</v>
      </c>
      <c r="G47" s="3192" t="s">
        <v>3061</v>
      </c>
      <c r="H47" s="3192" t="s">
        <v>3197</v>
      </c>
      <c r="I47" s="3192">
        <v>3496</v>
      </c>
      <c r="J47" s="3192">
        <v>3496</v>
      </c>
      <c r="K47" s="3193">
        <v>771.55</v>
      </c>
      <c r="L47" s="3192">
        <v>0</v>
      </c>
      <c r="M47" s="3192" t="s">
        <v>3198</v>
      </c>
      <c r="N47" s="3192" t="s">
        <v>3063</v>
      </c>
    </row>
    <row r="48" spans="1:16">
      <c r="A48" s="3192" t="s">
        <v>3195</v>
      </c>
      <c r="B48" s="3192" t="s">
        <v>3058</v>
      </c>
      <c r="C48" s="3192" t="s">
        <v>3083</v>
      </c>
      <c r="D48" s="3192">
        <v>40278</v>
      </c>
      <c r="E48" s="3192">
        <v>120834</v>
      </c>
      <c r="F48" s="3591" t="s">
        <v>3199</v>
      </c>
      <c r="G48" s="3192" t="s">
        <v>3061</v>
      </c>
      <c r="H48" s="3192" t="s">
        <v>3197</v>
      </c>
      <c r="I48" s="3192">
        <v>10876</v>
      </c>
      <c r="J48" s="3192">
        <v>10876</v>
      </c>
      <c r="K48" s="3193">
        <v>900.08</v>
      </c>
      <c r="L48" s="3192">
        <v>0</v>
      </c>
      <c r="M48" s="3192" t="s">
        <v>3198</v>
      </c>
      <c r="N48" s="3192" t="s">
        <v>3063</v>
      </c>
    </row>
    <row r="51" spans="9:9">
      <c r="I51" s="3192">
        <f>642*666.67</f>
        <v>428002.13999999996</v>
      </c>
    </row>
  </sheetData>
  <phoneticPr fontId="228" type="noConversion"/>
  <pageMargins left="0.75" right="0.75" top="1" bottom="1" header="0.5" footer="0.5"/>
  <pageSetup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D36" sqref="D36"/>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466</v>
      </c>
      <c r="B1" s="2764"/>
      <c r="C1" s="2089"/>
      <c r="D1" s="2089"/>
      <c r="E1" s="2089"/>
      <c r="F1" s="2089"/>
      <c r="G1" s="2089"/>
      <c r="H1" s="2089"/>
      <c r="I1" s="2089"/>
      <c r="J1" s="2089"/>
      <c r="K1" s="422">
        <f>MATCH(B1,'数据-取费表'!A6:A16,0)+5</f>
        <v>8</v>
      </c>
    </row>
    <row r="2" spans="1:31" s="2026" customFormat="1" ht="18" customHeight="1">
      <c r="A2" s="2086" t="s">
        <v>467</v>
      </c>
      <c r="B2" s="2090">
        <f ca="1">C36</f>
        <v>187526</v>
      </c>
      <c r="C2" s="2089"/>
      <c r="D2" s="2089"/>
      <c r="E2" s="2089"/>
      <c r="F2" s="2089"/>
      <c r="G2" s="2089"/>
      <c r="H2" s="2089"/>
      <c r="I2" s="2089"/>
      <c r="J2" s="2089"/>
      <c r="K2" s="2089"/>
    </row>
    <row r="3" spans="1:31" s="2026" customFormat="1" ht="18" customHeight="1">
      <c r="A3" s="2091" t="s">
        <v>1684</v>
      </c>
      <c r="B3" s="2092">
        <f ca="1">ROUND(B2*10000/IF(B1="",'数据-汇总表'!E3,INDIRECT("'数据-取费表'!K"&amp;$K$1)),0)</f>
        <v>2401</v>
      </c>
      <c r="C3" s="2089"/>
      <c r="D3" s="2089"/>
      <c r="E3" s="2089"/>
      <c r="F3" s="2089"/>
      <c r="G3" s="2089"/>
      <c r="H3" s="2089"/>
      <c r="I3" s="2089"/>
      <c r="J3" s="2089"/>
      <c r="K3" s="2089"/>
    </row>
    <row r="4" spans="1:31" s="2026" customFormat="1" ht="18" customHeight="1">
      <c r="A4" s="426" t="s">
        <v>468</v>
      </c>
      <c r="B4" s="427">
        <f ca="1">ROUND(B2*10000/IF(B1="",'数据-汇总表'!D3,INDIRECT("'数据-取费表'!R"&amp;$K$1)),0)</f>
        <v>8403</v>
      </c>
      <c r="C4" s="428"/>
      <c r="D4" s="422"/>
      <c r="E4" s="422"/>
      <c r="F4" s="422"/>
      <c r="G4" s="422"/>
      <c r="H4" s="422"/>
      <c r="I4" s="422"/>
      <c r="J4" s="422"/>
      <c r="K4" s="422"/>
    </row>
    <row r="5" spans="1:31" s="2026" customFormat="1" ht="18" customHeight="1" thickBot="1">
      <c r="A5" s="429"/>
      <c r="B5" s="430">
        <f ca="1">ROUND(B2/(IF(B1="",'数据-汇总表'!D3,INDIRECT("'数据-取费表'!R"&amp;$K$1))/666.67),0)</f>
        <v>560</v>
      </c>
      <c r="C5" s="431" t="s">
        <v>469</v>
      </c>
      <c r="D5" s="422"/>
      <c r="E5" s="422"/>
      <c r="F5" s="422"/>
      <c r="G5" s="422"/>
      <c r="H5" s="422"/>
      <c r="I5" s="422"/>
      <c r="J5" s="422"/>
      <c r="K5" s="422"/>
    </row>
    <row r="6" spans="1:31" s="2096" customFormat="1" ht="16.5" customHeight="1">
      <c r="A6" s="2783" t="s">
        <v>1842</v>
      </c>
      <c r="B6" s="2784"/>
      <c r="C6" s="2785">
        <f ca="1">SUM(C10:K10)</f>
        <v>753974.65930000006</v>
      </c>
      <c r="D6" s="2784"/>
      <c r="E6" s="2784"/>
      <c r="F6" s="2784"/>
      <c r="G6" s="2784"/>
      <c r="H6" s="2784"/>
      <c r="I6" s="2784"/>
      <c r="J6" s="2784"/>
      <c r="K6" s="2786"/>
    </row>
    <row r="7" spans="1:31" s="2098" customFormat="1" ht="14.4">
      <c r="A7" s="2787" t="s">
        <v>470</v>
      </c>
      <c r="B7" s="2788" t="s">
        <v>471</v>
      </c>
      <c r="C7" s="436" t="s">
        <v>923</v>
      </c>
      <c r="D7" s="436" t="s">
        <v>3026</v>
      </c>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'不动产比较法-住宅'!C48</f>
        <v>9707</v>
      </c>
      <c r="D8" s="2789">
        <f ca="1">不动产收益法!B3</f>
        <v>12818</v>
      </c>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740899</v>
      </c>
      <c r="D9" s="441">
        <f>SUMIF('数据-汇总表'!$C19:$C33,'剩余法-待开发'!D7,'数据-汇总表'!$E19:$E33)</f>
        <v>27137</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f>D9/C9</f>
        <v>3.6627124614826041E-2</v>
      </c>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C8*C9/10000</f>
        <v>719190.65930000006</v>
      </c>
      <c r="D10" s="2981">
        <f ca="1">不动产收益法!B2</f>
        <v>34784</v>
      </c>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267456</v>
      </c>
      <c r="D13" s="2799"/>
      <c r="E13" s="2800"/>
      <c r="F13" s="2801"/>
      <c r="G13" s="2767"/>
      <c r="H13" s="2768"/>
      <c r="I13" s="2768"/>
      <c r="J13" s="2768"/>
      <c r="K13" s="2769"/>
    </row>
    <row r="14" spans="1:31" s="2101" customFormat="1" ht="13.5" customHeight="1">
      <c r="A14" s="2797" t="s">
        <v>1849</v>
      </c>
      <c r="B14" s="2798" t="s">
        <v>480</v>
      </c>
      <c r="C14" s="53">
        <f ca="1">ROUND(C13*F14,0)</f>
        <v>8024</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12966</v>
      </c>
      <c r="D15" s="2799"/>
      <c r="E15" s="2800"/>
      <c r="F15" s="2802">
        <f>'数据-取费表'!B34</f>
        <v>0.05</v>
      </c>
      <c r="G15" s="2767" t="s">
        <v>483</v>
      </c>
      <c r="H15" s="2768"/>
      <c r="I15" s="2768"/>
      <c r="J15" s="2768"/>
      <c r="K15" s="2769"/>
    </row>
    <row r="16" spans="1:31" s="2102" customFormat="1" ht="13.5" customHeight="1">
      <c r="A16" s="2797" t="s">
        <v>1851</v>
      </c>
      <c r="B16" s="2798" t="s">
        <v>484</v>
      </c>
      <c r="C16" s="53">
        <f ca="1">ROUND(D16*E16/10000,0)</f>
        <v>15621</v>
      </c>
      <c r="D16" s="2799">
        <f ca="1">IF(B1="",'数据-汇总表'!E3,INDIRECT("'数据-取费表'!K"&amp;$K$1)+INDIRECT("'数据-取费表'!S"&amp;$K$1))</f>
        <v>781063.4</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4012</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308079</v>
      </c>
      <c r="D18" s="2808"/>
      <c r="E18" s="468"/>
      <c r="F18" s="468"/>
      <c r="G18" s="2771" t="s">
        <v>2428</v>
      </c>
      <c r="H18" s="2772"/>
      <c r="I18" s="2772"/>
      <c r="J18" s="2772"/>
      <c r="K18" s="2773"/>
    </row>
    <row r="19" spans="1:14" s="2101" customFormat="1" ht="13.5" customHeight="1">
      <c r="A19" s="2805" t="s">
        <v>1854</v>
      </c>
      <c r="B19" s="2806" t="s">
        <v>488</v>
      </c>
      <c r="C19" s="2763">
        <f ca="1">ROUND(D19*E19/10000,0)</f>
        <v>7811</v>
      </c>
      <c r="D19" s="2809">
        <f ca="1">D16</f>
        <v>781063.4</v>
      </c>
      <c r="E19" s="2763">
        <f>'数据-取费表'!B32</f>
        <v>100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18746</v>
      </c>
      <c r="D20" s="2809"/>
      <c r="E20" s="2763"/>
      <c r="F20" s="2810"/>
      <c r="G20" s="3038"/>
      <c r="H20" s="2765"/>
      <c r="I20" s="2766" t="s">
        <v>2648</v>
      </c>
      <c r="J20" s="2772"/>
      <c r="K20" s="2773"/>
    </row>
    <row r="21" spans="1:14" s="2101" customFormat="1" ht="13.5" customHeight="1">
      <c r="A21" s="2797" t="s">
        <v>1856</v>
      </c>
      <c r="B21" s="2798" t="s">
        <v>491</v>
      </c>
      <c r="C21" s="53">
        <f ca="1">ROUND(D21*E21/10000,0)</f>
        <v>17782</v>
      </c>
      <c r="D21" s="2799">
        <f ca="1">IF(B1="",'数据-汇总表'!E5,IF(INDIRECT("'数据-取费表'!c"&amp;$K$1)="住宅",INDIRECT("'数据-取费表'!k"&amp;$K$1),0))</f>
        <v>740899</v>
      </c>
      <c r="E21" s="53">
        <f>'数据-取费表'!B27</f>
        <v>240</v>
      </c>
      <c r="F21" s="2802"/>
      <c r="G21" s="26"/>
      <c r="H21" s="51"/>
      <c r="I21" s="51"/>
      <c r="J21" s="51"/>
      <c r="K21" s="2774"/>
    </row>
    <row r="22" spans="1:14" s="2101" customFormat="1" ht="13.5" customHeight="1">
      <c r="A22" s="2797" t="s">
        <v>1857</v>
      </c>
      <c r="B22" s="2798" t="s">
        <v>492</v>
      </c>
      <c r="C22" s="53">
        <f ca="1">ROUND(D22*E22/10000,0)</f>
        <v>964</v>
      </c>
      <c r="D22" s="2799">
        <f ca="1">IF(B1="",'数据-汇总表'!E6,IF(INDIRECT("'数据-取费表'!c"&amp;$K$1)="住宅",INDIRECT("'数据-取费表'!s"&amp;$K$1),INDIRECT("'数据-取费表'!k"&amp;$K$1)+INDIRECT("'数据-取费表'!s"&amp;$K$1)))</f>
        <v>40164.400000000023</v>
      </c>
      <c r="E22" s="53">
        <f>'数据-取费表'!B28</f>
        <v>240</v>
      </c>
      <c r="F22" s="2802"/>
      <c r="G22" s="26"/>
      <c r="H22" s="51"/>
      <c r="I22" s="51"/>
      <c r="J22" s="51"/>
      <c r="K22" s="2774"/>
    </row>
    <row r="23" spans="1:14" s="2101" customFormat="1" ht="13.5" customHeight="1">
      <c r="A23" s="2805" t="s">
        <v>1858</v>
      </c>
      <c r="B23" s="2987" t="s">
        <v>2831</v>
      </c>
      <c r="C23" s="2807">
        <f ca="1">ROUND((C18+C19+C20)*F23,0)</f>
        <v>6693</v>
      </c>
      <c r="D23" s="468"/>
      <c r="E23" s="468"/>
      <c r="F23" s="2811">
        <f>'数据-取费表'!B37</f>
        <v>0.02</v>
      </c>
      <c r="G23" s="2767" t="s">
        <v>2429</v>
      </c>
      <c r="H23" s="2768"/>
      <c r="I23" s="2768"/>
      <c r="J23" s="2768"/>
      <c r="K23" s="2769"/>
      <c r="L23" s="2103"/>
      <c r="M23" s="2103"/>
      <c r="N23" s="2103"/>
    </row>
    <row r="24" spans="1:14" s="2101" customFormat="1" ht="13.5" customHeight="1">
      <c r="A24" s="2805" t="s">
        <v>1859</v>
      </c>
      <c r="B24" s="2987" t="s">
        <v>2834</v>
      </c>
      <c r="C24" s="2807">
        <f ca="1">ROUND(C6*F24,0)</f>
        <v>15079</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7" t="s">
        <v>2832</v>
      </c>
      <c r="C25" s="467">
        <f>ROUND(F25/(1+'数据-取费表'!C42),4)</f>
        <v>2.9000000000000001E-2</v>
      </c>
      <c r="D25" s="462" t="s">
        <v>2826</v>
      </c>
      <c r="E25" s="469"/>
      <c r="F25" s="2811">
        <f>IF(项目基本情况!B8="出让",0,'数据-取费表'!B48+'数据-取费表'!B49)</f>
        <v>3.0499999999999999E-2</v>
      </c>
      <c r="G25" s="2775" t="s">
        <v>2287</v>
      </c>
      <c r="H25" s="2768"/>
      <c r="I25" s="2768"/>
      <c r="J25" s="2768"/>
      <c r="K25" s="2769"/>
    </row>
    <row r="26" spans="1:14" s="2103" customFormat="1" ht="13.5" customHeight="1">
      <c r="A26" s="2805" t="s">
        <v>1861</v>
      </c>
      <c r="B26" s="2988" t="s">
        <v>2833</v>
      </c>
      <c r="C26" s="2812">
        <f ca="1">C28</f>
        <v>25693</v>
      </c>
      <c r="D26" s="467">
        <f ca="1">C27</f>
        <v>0.1537</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0.1537</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2835</v>
      </c>
      <c r="C28" s="2815">
        <f ca="1">ROUND(IF('数据-取费表'!B22&lt;=1,(C18+C19+C20+C23+C24)*F26*'数据-取费表'!B24/2,(C18+C19+C20+C23+C24)*(POWER((1+F26),'数据-取费表'!B24/2)-1)),0)</f>
        <v>25693</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40212</v>
      </c>
      <c r="D29" s="468"/>
      <c r="E29" s="468"/>
      <c r="F29" s="2989">
        <f>'数据-取费表'!B41</f>
        <v>5.6000000000000001E-2</v>
      </c>
      <c r="G29" s="2776" t="s">
        <v>498</v>
      </c>
      <c r="H29" s="2768"/>
      <c r="I29" s="2768"/>
      <c r="J29" s="2768"/>
      <c r="K29" s="2769"/>
    </row>
    <row r="30" spans="1:14" s="2106" customFormat="1" ht="13.5" customHeight="1">
      <c r="A30" s="1620" t="s">
        <v>1863</v>
      </c>
      <c r="B30" s="2817" t="s">
        <v>500</v>
      </c>
      <c r="C30" s="2812">
        <f ca="1">C31</f>
        <v>422313</v>
      </c>
      <c r="D30" s="477">
        <f ca="1">C32</f>
        <v>0.1827</v>
      </c>
      <c r="E30" s="469" t="s">
        <v>495</v>
      </c>
      <c r="F30" s="471"/>
      <c r="G30" s="2775" t="s">
        <v>2965</v>
      </c>
      <c r="H30" s="2768"/>
      <c r="I30" s="2768"/>
      <c r="J30" s="2768"/>
      <c r="K30" s="2769"/>
    </row>
    <row r="31" spans="1:14" s="2105" customFormat="1" ht="13.5" customHeight="1">
      <c r="A31" s="803" t="s">
        <v>1856</v>
      </c>
      <c r="B31" s="2813"/>
      <c r="C31" s="450">
        <f ca="1">C18+C19+C20+C23+C24+C26+C29</f>
        <v>422313</v>
      </c>
      <c r="D31" s="472"/>
      <c r="E31" s="473"/>
      <c r="F31" s="474"/>
      <c r="G31" s="261"/>
      <c r="H31" s="2770"/>
      <c r="I31" s="2770"/>
      <c r="J31" s="2770"/>
      <c r="K31" s="279"/>
    </row>
    <row r="32" spans="1:14" s="2105" customFormat="1" ht="13.5" customHeight="1">
      <c r="A32" s="803" t="s">
        <v>1857</v>
      </c>
      <c r="B32" s="2813"/>
      <c r="C32" s="53">
        <f ca="1">ROUND(C25+D26,4)</f>
        <v>0.1827</v>
      </c>
      <c r="D32" s="472"/>
      <c r="E32" s="473"/>
      <c r="F32" s="474"/>
      <c r="G32" s="261"/>
      <c r="H32" s="2770"/>
      <c r="I32" s="2770"/>
      <c r="J32" s="2770"/>
      <c r="K32" s="279"/>
    </row>
    <row r="33" spans="1:11" s="2107" customFormat="1" ht="13.5" customHeight="1">
      <c r="A33" s="2986" t="s">
        <v>2830</v>
      </c>
      <c r="B33" s="2984" t="s">
        <v>2828</v>
      </c>
      <c r="C33" s="478">
        <f ca="1">C35</f>
        <v>71282</v>
      </c>
      <c r="D33" s="467">
        <f ca="1">C34</f>
        <v>0.20580000000000001</v>
      </c>
      <c r="E33" s="469" t="s">
        <v>495</v>
      </c>
      <c r="F33" s="479">
        <f ca="1">IF(B1="",'数据-取费表'!Q16,INDIRECT("'数据-取费表'!q"&amp;$K$1))</f>
        <v>0.2</v>
      </c>
      <c r="G33" s="2771"/>
      <c r="H33" s="2772"/>
      <c r="I33" s="2772"/>
      <c r="J33" s="2772"/>
      <c r="K33" s="2773"/>
    </row>
    <row r="34" spans="1:11" s="2108" customFormat="1" ht="13.5" customHeight="1">
      <c r="A34" s="375" t="s">
        <v>1856</v>
      </c>
      <c r="B34" s="2818" t="s">
        <v>501</v>
      </c>
      <c r="C34" s="472">
        <f ca="1">ROUND((1+C25)*F33,4)</f>
        <v>0.20580000000000001</v>
      </c>
      <c r="D34" s="472"/>
      <c r="E34" s="473"/>
      <c r="F34" s="480"/>
      <c r="G34" s="261" t="s">
        <v>2288</v>
      </c>
      <c r="H34" s="2770"/>
      <c r="I34" s="2770"/>
      <c r="J34" s="2770"/>
      <c r="K34" s="279"/>
    </row>
    <row r="35" spans="1:11" s="2108" customFormat="1" ht="13.5" customHeight="1" thickBot="1">
      <c r="A35" s="1621" t="s">
        <v>1857</v>
      </c>
      <c r="B35" s="2985" t="s">
        <v>2836</v>
      </c>
      <c r="C35" s="1613">
        <f ca="1">ROUND((C18+C19+C20+C23+C24)*F33,0)</f>
        <v>71282</v>
      </c>
      <c r="D35" s="1614"/>
      <c r="E35" s="2819"/>
      <c r="F35" s="1615"/>
      <c r="G35" s="2777"/>
      <c r="H35" s="2778"/>
      <c r="I35" s="2778"/>
      <c r="J35" s="2778"/>
      <c r="K35" s="2779"/>
    </row>
    <row r="36" spans="1:11" s="2070" customFormat="1" ht="13.5" customHeight="1" thickBot="1">
      <c r="A36" s="284" t="s">
        <v>1844</v>
      </c>
      <c r="B36" s="2781"/>
      <c r="C36" s="2820">
        <f ca="1">ROUND((C6-C30-C33)/(1+D30+D33),0)</f>
        <v>187526</v>
      </c>
      <c r="D36" s="2781"/>
      <c r="E36" s="2781"/>
      <c r="F36" s="2781"/>
      <c r="G36" s="2780" t="s">
        <v>2837</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1" zoomScale="80" zoomScaleNormal="80" workbookViewId="0">
      <selection activeCell="F43" sqref="F43"/>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1725</v>
      </c>
      <c r="B1" s="738"/>
      <c r="C1" s="773" t="s">
        <v>3026</v>
      </c>
      <c r="D1" s="3075" t="s">
        <v>3438</v>
      </c>
      <c r="E1" s="2351" t="s">
        <v>2372</v>
      </c>
      <c r="F1" s="2352">
        <f ca="1">J53</f>
        <v>37</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34784</v>
      </c>
      <c r="C2" s="2042"/>
      <c r="D2" s="2040"/>
      <c r="E2" s="2041"/>
      <c r="F2" s="2041"/>
      <c r="G2" s="1576"/>
      <c r="H2" s="2042"/>
      <c r="I2" s="2042"/>
      <c r="J2" s="2042"/>
      <c r="K2" s="2043"/>
      <c r="L2" s="2042"/>
      <c r="M2" s="2042"/>
    </row>
    <row r="3" spans="1:33" ht="18" customHeight="1" thickBot="1">
      <c r="A3" s="833" t="s">
        <v>1727</v>
      </c>
      <c r="B3" s="834">
        <f ca="1">IF(ISERROR(B2*10000/F43),0,ROUND(B2*10000/F43,0))</f>
        <v>12818</v>
      </c>
      <c r="C3" s="2042"/>
      <c r="D3" s="2040"/>
      <c r="E3" s="2041"/>
      <c r="F3" s="2041"/>
      <c r="G3" s="1576"/>
      <c r="H3" s="776" t="s">
        <v>695</v>
      </c>
      <c r="I3" s="1358"/>
      <c r="J3" s="1358"/>
      <c r="K3" s="1577"/>
      <c r="L3" s="1358"/>
      <c r="M3" s="1358"/>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2456</v>
      </c>
      <c r="C5" s="55">
        <f ca="1">C6+C10+C12</f>
        <v>2529</v>
      </c>
      <c r="D5" s="2460" t="s">
        <v>2459</v>
      </c>
      <c r="E5" s="2454"/>
      <c r="F5" s="2455"/>
      <c r="G5" s="1578"/>
      <c r="H5" s="781">
        <v>1</v>
      </c>
      <c r="I5" s="782" t="s">
        <v>2456</v>
      </c>
      <c r="J5" s="55">
        <f ca="1">J6+J10+J12</f>
        <v>0</v>
      </c>
      <c r="K5" s="2460" t="s">
        <v>2459</v>
      </c>
      <c r="L5" s="2454"/>
      <c r="M5" s="2455"/>
    </row>
    <row r="6" spans="1:33" ht="18" customHeight="1">
      <c r="A6" s="1815" t="s">
        <v>1824</v>
      </c>
      <c r="B6" s="3539" t="s">
        <v>2461</v>
      </c>
      <c r="C6" s="783">
        <f ca="1">ROUND(F6*F8*F7*(1-F9)/10000,0)</f>
        <v>2526</v>
      </c>
      <c r="D6" s="2461" t="s">
        <v>2460</v>
      </c>
      <c r="E6" s="784" t="s">
        <v>1738</v>
      </c>
      <c r="F6" s="785">
        <f ca="1">INDIRECT("'数据-取费表'!u"&amp;$G$1)</f>
        <v>3</v>
      </c>
      <c r="G6" s="1578"/>
      <c r="H6" s="2468" t="s">
        <v>2466</v>
      </c>
      <c r="I6" s="3539" t="s">
        <v>2461</v>
      </c>
      <c r="J6" s="783">
        <f ca="1">ROUND(M6*M8*M7*(1-M9)/10000,0)</f>
        <v>0</v>
      </c>
      <c r="K6" s="341" t="s">
        <v>1737</v>
      </c>
      <c r="L6" s="784" t="s">
        <v>1738</v>
      </c>
      <c r="M6" s="785">
        <f ca="1">INDIRECT("'数据-取费表'!z"&amp;$G$1)</f>
        <v>0</v>
      </c>
    </row>
    <row r="7" spans="1:33" ht="18" customHeight="1">
      <c r="A7" s="2464"/>
      <c r="B7" s="3540"/>
      <c r="C7" s="788"/>
      <c r="D7" s="789"/>
      <c r="E7" s="784" t="s">
        <v>1739</v>
      </c>
      <c r="F7" s="785">
        <f ca="1">IF(INDIRECT("'数据-取费表'!ah"&amp;$G$1)="",INDIRECT("'数据-取费表'!k"&amp;$G$1),INDIRECT("'数据-取费表'!ah"&amp;$G$1))</f>
        <v>27137</v>
      </c>
      <c r="G7" s="1578"/>
      <c r="H7" s="2453"/>
      <c r="I7" s="3540"/>
      <c r="J7" s="788"/>
      <c r="K7" s="789"/>
      <c r="L7" s="784" t="s">
        <v>1739</v>
      </c>
      <c r="M7" s="785">
        <f ca="1">F7</f>
        <v>27137</v>
      </c>
    </row>
    <row r="8" spans="1:33" ht="18" customHeight="1">
      <c r="A8" s="2457"/>
      <c r="B8" s="3541"/>
      <c r="C8" s="788"/>
      <c r="D8" s="789"/>
      <c r="E8" s="784" t="s">
        <v>1740</v>
      </c>
      <c r="F8" s="785">
        <f ca="1">INDIRECT("'数据-取费表'!ai"&amp;$G$1)</f>
        <v>365</v>
      </c>
      <c r="G8" s="1578"/>
      <c r="H8" s="2453"/>
      <c r="I8" s="3541"/>
      <c r="J8" s="788"/>
      <c r="K8" s="789"/>
      <c r="L8" s="784" t="s">
        <v>1740</v>
      </c>
      <c r="M8" s="785">
        <f ca="1">INDIRECT("'数据-取费表'!ai"&amp;$G$1)</f>
        <v>365</v>
      </c>
    </row>
    <row r="9" spans="1:33" ht="18" customHeight="1">
      <c r="A9" s="786"/>
      <c r="B9" s="3542"/>
      <c r="C9" s="788"/>
      <c r="D9" s="789"/>
      <c r="E9" s="784" t="s">
        <v>1741</v>
      </c>
      <c r="F9" s="794">
        <f ca="1">INDIRECT("'数据-取费表'!w"&amp;$G$1)</f>
        <v>0.15</v>
      </c>
      <c r="G9" s="1578"/>
      <c r="H9" s="2469"/>
      <c r="I9" s="3541"/>
      <c r="J9" s="788"/>
      <c r="K9" s="789"/>
      <c r="L9" s="795" t="s">
        <v>1741</v>
      </c>
      <c r="M9" s="796">
        <f ca="1">INDIRECT("'数据-取费表'!ab"&amp;$G$1)</f>
        <v>0</v>
      </c>
    </row>
    <row r="10" spans="1:33" ht="18" customHeight="1">
      <c r="A10" s="1815" t="s">
        <v>2464</v>
      </c>
      <c r="B10" s="2458" t="s">
        <v>2457</v>
      </c>
      <c r="C10" s="799">
        <f ca="1">ROUND(IF(F10="押一",C6/12*F11,IF(F10="押二",C6/12*2*F11,IF(F10="押三",C6/12*3*F11,C11*F11))),0)</f>
        <v>3</v>
      </c>
      <c r="D10" s="2465" t="s">
        <v>2967</v>
      </c>
      <c r="E10" s="2462" t="s">
        <v>2462</v>
      </c>
      <c r="F10" s="2585" t="s">
        <v>3435</v>
      </c>
      <c r="G10" s="1578"/>
      <c r="H10" s="2525" t="s">
        <v>2467</v>
      </c>
      <c r="I10" s="2530" t="s">
        <v>2457</v>
      </c>
      <c r="J10" s="783">
        <f ca="1">ROUND(IF(M10="押一",J6/12*M11,IF(M10="押二",J6/12*2*M11,IF(M10="押三",J6/12*3*M11,J11*M11))),0)</f>
        <v>0</v>
      </c>
      <c r="K10" s="2465" t="s">
        <v>2967</v>
      </c>
      <c r="L10" s="2462" t="s">
        <v>2462</v>
      </c>
      <c r="M10" s="2585"/>
    </row>
    <row r="11" spans="1:33" ht="18" customHeight="1">
      <c r="A11" s="790"/>
      <c r="B11" s="2459" t="s">
        <v>2571</v>
      </c>
      <c r="C11" s="2463"/>
      <c r="D11" s="789"/>
      <c r="E11" s="2462" t="s">
        <v>2463</v>
      </c>
      <c r="F11" s="796">
        <f ca="1">'数据-取费表'!B39</f>
        <v>1.4999999999999999E-2</v>
      </c>
      <c r="G11" s="1578"/>
      <c r="H11" s="2526"/>
      <c r="I11" s="2459" t="s">
        <v>2571</v>
      </c>
      <c r="J11" s="2463"/>
      <c r="K11" s="2527"/>
      <c r="L11" s="2462" t="s">
        <v>2463</v>
      </c>
      <c r="M11" s="2456">
        <f ca="1">'数据-取费表'!B39</f>
        <v>1.4999999999999999E-2</v>
      </c>
    </row>
    <row r="12" spans="1:33" ht="18" customHeight="1" thickBot="1">
      <c r="A12" s="2501" t="s">
        <v>2465</v>
      </c>
      <c r="B12" s="2502" t="s">
        <v>2458</v>
      </c>
      <c r="C12" s="2503"/>
      <c r="D12" s="2504"/>
      <c r="E12" s="2505"/>
      <c r="F12" s="2506"/>
      <c r="G12" s="1578"/>
      <c r="H12" s="2515" t="s">
        <v>2468</v>
      </c>
      <c r="I12" s="2528" t="s">
        <v>2458</v>
      </c>
      <c r="J12" s="2529"/>
      <c r="K12" s="2504"/>
      <c r="L12" s="2505"/>
      <c r="M12" s="2518"/>
    </row>
    <row r="13" spans="1:33" ht="18" customHeight="1" thickTop="1">
      <c r="A13" s="1814">
        <v>2</v>
      </c>
      <c r="B13" s="1812" t="s">
        <v>1742</v>
      </c>
      <c r="C13" s="792">
        <f ca="1">ROUND(C29*F13,0)</f>
        <v>13261</v>
      </c>
      <c r="D13" s="1819" t="s">
        <v>2295</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8141</v>
      </c>
      <c r="D14" s="1964" t="s">
        <v>1745</v>
      </c>
      <c r="E14" s="1965"/>
      <c r="F14" s="805"/>
      <c r="G14" s="1578"/>
      <c r="H14" s="1634" t="s">
        <v>1830</v>
      </c>
      <c r="I14" s="2216" t="s">
        <v>2823</v>
      </c>
      <c r="J14" s="53">
        <f ca="1">C29</f>
        <v>13261</v>
      </c>
      <c r="K14" s="26"/>
      <c r="L14" s="801"/>
      <c r="M14" s="802"/>
    </row>
    <row r="15" spans="1:33" s="2049" customFormat="1" ht="18" customHeight="1" thickBot="1">
      <c r="A15" s="1633" t="s">
        <v>1885</v>
      </c>
      <c r="B15" s="784" t="s">
        <v>647</v>
      </c>
      <c r="C15" s="53">
        <f ca="1">ROUND(C14*F15,0)</f>
        <v>244</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1316</v>
      </c>
      <c r="K16" s="1806" t="s">
        <v>1750</v>
      </c>
      <c r="L16" s="2450"/>
      <c r="M16" s="2455"/>
    </row>
    <row r="17" spans="1:33" s="2049" customFormat="1" ht="18" customHeight="1">
      <c r="A17" s="1633" t="s">
        <v>1887</v>
      </c>
      <c r="B17" s="784" t="s">
        <v>653</v>
      </c>
      <c r="C17" s="53">
        <f ca="1">ROUND(F17*(F43+INDIRECT("'数据-取费表'!S"&amp;$G$1))/10000,0)</f>
        <v>543</v>
      </c>
      <c r="D17" s="784" t="s">
        <v>1751</v>
      </c>
      <c r="E17" s="784" t="s">
        <v>1752</v>
      </c>
      <c r="F17" s="56">
        <f>'数据-取费表'!B35</f>
        <v>200</v>
      </c>
      <c r="G17" s="1579"/>
      <c r="H17" s="1634" t="s">
        <v>1830</v>
      </c>
      <c r="I17" s="784" t="s">
        <v>656</v>
      </c>
      <c r="J17" s="53">
        <f ca="1">ROUND(IF(项目基本情况!B11="自然人",J6*M17/(1+'数据-取费表'!C42),J18+J19+J20),0)</f>
        <v>1117</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122</v>
      </c>
      <c r="D18" s="784" t="s">
        <v>1746</v>
      </c>
      <c r="E18" s="784" t="s">
        <v>1747</v>
      </c>
      <c r="F18" s="809">
        <f>'数据-取费表'!B36</f>
        <v>1.4999999999999999E-2</v>
      </c>
      <c r="G18" s="1579"/>
      <c r="H18" s="1633" t="s">
        <v>1884</v>
      </c>
      <c r="I18" s="784" t="s">
        <v>1755</v>
      </c>
      <c r="J18" s="53">
        <f ca="1">ROUND(J6*M18/(1+'数据-取费表'!C42),1)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9050</v>
      </c>
      <c r="D19" s="261" t="s">
        <v>1757</v>
      </c>
      <c r="E19" s="1967"/>
      <c r="F19" s="56"/>
      <c r="G19" s="1578"/>
      <c r="H19" s="1633" t="s">
        <v>1885</v>
      </c>
      <c r="I19" s="784" t="s">
        <v>1758</v>
      </c>
      <c r="J19" s="53">
        <f ca="1">IF(K19="按租金收入计税",ROUND(J6*M19/(1+'数据-取费表'!C42),1),ROUND(C29*F33*0.7,1))</f>
        <v>1113.9000000000001</v>
      </c>
      <c r="K19" s="811" t="s">
        <v>665</v>
      </c>
      <c r="L19" s="784" t="s">
        <v>1747</v>
      </c>
      <c r="M19" s="809">
        <f>IF(K19="按租金收入计税",'数据-取费表'!B51,'数据-取费表'!B50)</f>
        <v>1.2E-2</v>
      </c>
    </row>
    <row r="20" spans="1:33" s="2049" customFormat="1" ht="18" customHeight="1">
      <c r="A20" s="1634" t="s">
        <v>1889</v>
      </c>
      <c r="B20" s="784" t="s">
        <v>666</v>
      </c>
      <c r="C20" s="53">
        <f ca="1">ROUND(C19*F20,0)</f>
        <v>181</v>
      </c>
      <c r="D20" s="812" t="s">
        <v>1759</v>
      </c>
      <c r="E20" s="784" t="s">
        <v>1747</v>
      </c>
      <c r="F20" s="809">
        <f>'数据-取费表'!B37</f>
        <v>0.02</v>
      </c>
      <c r="G20" s="1579"/>
      <c r="H20" s="1636" t="s">
        <v>1880</v>
      </c>
      <c r="I20" s="341" t="s">
        <v>1760</v>
      </c>
      <c r="J20" s="54">
        <f ca="1">ROUND(M20*M21/10000,0)</f>
        <v>3</v>
      </c>
      <c r="K20" s="814" t="s">
        <v>1761</v>
      </c>
      <c r="L20" s="784" t="s">
        <v>1762</v>
      </c>
      <c r="M20" s="640">
        <f>'数据-取费表'!B52</f>
        <v>4</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2296</v>
      </c>
      <c r="E21" s="784" t="s">
        <v>1765</v>
      </c>
      <c r="F21" s="809">
        <f>'数据-取费表'!B38</f>
        <v>0.02</v>
      </c>
      <c r="G21" s="1579"/>
      <c r="H21" s="2470"/>
      <c r="I21" s="793"/>
      <c r="J21" s="69"/>
      <c r="K21" s="816"/>
      <c r="L21" s="784" t="s">
        <v>1766</v>
      </c>
      <c r="M21" s="785">
        <f ca="1">INDIRECT("'数据-取费表'!r"&amp;$G$1)</f>
        <v>7753.43</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199</v>
      </c>
      <c r="K22" s="2448" t="s">
        <v>1769</v>
      </c>
      <c r="L22" s="784" t="s">
        <v>1747</v>
      </c>
      <c r="M22" s="817">
        <f ca="1">INDIRECT("'数据-取费表'!Ak"&amp;$G$1)</f>
        <v>1.4999999999999999E-2</v>
      </c>
    </row>
    <row r="23" spans="1:33" s="2049" customFormat="1" ht="18" customHeight="1">
      <c r="A23" s="1633" t="s">
        <v>1831</v>
      </c>
      <c r="B23" s="784" t="s">
        <v>2533</v>
      </c>
      <c r="C23" s="53">
        <f ca="1">ROUND(IF('数据-取费表'!B22&lt;=1,(C19+C20)*F24*F23/2,(C19+C20)*(POWER((1+F24),F23/2)-1)),0)</f>
        <v>665</v>
      </c>
      <c r="D23" s="2535" t="str">
        <f>IF(F23&lt;=1,"(建造成本+管理费用)×利率×(建设周期÷2)","(建造成本+管理费用)×((1+利率)^(建设周期÷2)-1)")</f>
        <v>(建造成本+管理费用)×((1+利率)^(建设周期÷2)-1)</v>
      </c>
      <c r="E23" s="784" t="s">
        <v>1770</v>
      </c>
      <c r="F23" s="640">
        <f>'数据-取费表'!B20</f>
        <v>3</v>
      </c>
      <c r="G23" s="1579"/>
      <c r="H23" s="1634"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1.4E-3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2819</v>
      </c>
      <c r="J25" s="792">
        <f ca="1">J5-J16</f>
        <v>-1316</v>
      </c>
      <c r="K25" s="2512" t="s">
        <v>1777</v>
      </c>
      <c r="L25" s="2513"/>
      <c r="M25" s="2514"/>
    </row>
    <row r="26" spans="1:33" ht="18" customHeight="1">
      <c r="A26" s="1633" t="s">
        <v>1831</v>
      </c>
      <c r="B26" s="784" t="s">
        <v>2436</v>
      </c>
      <c r="C26" s="53">
        <f ca="1">ROUND((C19+C20)*F26,0)</f>
        <v>2308</v>
      </c>
      <c r="D26" s="812" t="s">
        <v>1778</v>
      </c>
      <c r="E26" s="795" t="s">
        <v>1779</v>
      </c>
      <c r="F26" s="794">
        <f ca="1">INDIRECT("'数据-取费表'!q"&amp;$G$1)</f>
        <v>0.25</v>
      </c>
      <c r="G26" s="1578"/>
      <c r="H26" s="2466" t="s">
        <v>1780</v>
      </c>
      <c r="I26" s="2217" t="s">
        <v>2824</v>
      </c>
      <c r="J26" s="783">
        <f ca="1">IF(J5&lt;&gt;0,ROUND(J25*(1-((1+M28)/(1+M26))^M27)/(M26-M28),0),0)</f>
        <v>0</v>
      </c>
      <c r="K26" s="814" t="s">
        <v>1781</v>
      </c>
      <c r="L26" s="784" t="s">
        <v>2417</v>
      </c>
      <c r="M26" s="794">
        <f ca="1">INDIRECT("'数据-取费表'!I"&amp;$G$1)</f>
        <v>0.06</v>
      </c>
    </row>
    <row r="27" spans="1:33" ht="18" customHeight="1">
      <c r="A27" s="1633" t="s">
        <v>1832</v>
      </c>
      <c r="B27" s="784" t="s">
        <v>686</v>
      </c>
      <c r="C27" s="53">
        <f ca="1">ROUND(F21*F26,4)</f>
        <v>5.0000000000000001E-3</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2297</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13261</v>
      </c>
      <c r="D29" s="2509"/>
      <c r="E29" s="2510"/>
      <c r="F29" s="2511"/>
      <c r="G29" s="1579"/>
      <c r="H29" s="823" t="s">
        <v>1787</v>
      </c>
      <c r="I29" s="824" t="s">
        <v>1788</v>
      </c>
      <c r="J29" s="825">
        <f ca="1">ROUND(J26/(1+F40)^F41,0)</f>
        <v>0</v>
      </c>
      <c r="K29" s="826" t="s">
        <v>1789</v>
      </c>
      <c r="L29" s="827"/>
      <c r="M29" s="828">
        <f ca="1">INDIRECT("'数据-取费表'!k"&amp;$G$1)</f>
        <v>27137</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696</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426.5</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ROUND(C6*F32/(1+'数据-取费表'!C42),1)</f>
        <v>134.69999999999999</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288.7</v>
      </c>
      <c r="D33" s="811" t="s">
        <v>3436</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3.1</v>
      </c>
      <c r="D34" s="814" t="s">
        <v>1799</v>
      </c>
      <c r="E34" s="784" t="s">
        <v>1800</v>
      </c>
      <c r="F34" s="640">
        <f>'数据-取费表'!B52</f>
        <v>4</v>
      </c>
      <c r="G34" s="2047"/>
      <c r="H34" s="2050"/>
      <c r="I34" s="835" t="s">
        <v>1813</v>
      </c>
      <c r="J34" s="836"/>
      <c r="K34" s="2065"/>
      <c r="L34" s="2064"/>
      <c r="M34" s="2064"/>
    </row>
    <row r="35" spans="1:18" ht="18" customHeight="1">
      <c r="A35" s="815"/>
      <c r="B35" s="793"/>
      <c r="C35" s="69"/>
      <c r="D35" s="816"/>
      <c r="E35" s="784" t="s">
        <v>1801</v>
      </c>
      <c r="F35" s="785">
        <f ca="1">INDIRECT("'数据-取费表'!r"&amp;$G$1)</f>
        <v>7753.43</v>
      </c>
      <c r="G35" s="2047"/>
      <c r="H35" s="2050"/>
      <c r="I35" s="837" t="s">
        <v>1814</v>
      </c>
      <c r="J35" s="838">
        <f ca="1">ROUND(C13*J36,0)</f>
        <v>1061</v>
      </c>
      <c r="K35" s="2063"/>
      <c r="L35" s="2062"/>
      <c r="M35" s="2062"/>
    </row>
    <row r="36" spans="1:18" ht="18" customHeight="1">
      <c r="A36" s="1634" t="s">
        <v>1889</v>
      </c>
      <c r="B36" s="784" t="s">
        <v>1802</v>
      </c>
      <c r="C36" s="53">
        <f ca="1">ROUND(C29*F36,1)</f>
        <v>198.9</v>
      </c>
      <c r="D36" s="1962" t="s">
        <v>1803</v>
      </c>
      <c r="E36" s="784" t="s">
        <v>1796</v>
      </c>
      <c r="F36" s="817">
        <f ca="1">INDIRECT("'数据-取费表'!Ak"&amp;$G$1)</f>
        <v>1.4999999999999999E-2</v>
      </c>
      <c r="G36" s="2047"/>
      <c r="H36" s="2062"/>
      <c r="I36" s="839" t="s">
        <v>1815</v>
      </c>
      <c r="J36" s="840">
        <f ca="1">INDIRECT("'数据-取费表'!j"&amp;$G$1)</f>
        <v>0.08</v>
      </c>
      <c r="K36" s="2067"/>
      <c r="L36" s="2062"/>
      <c r="M36" s="2062"/>
    </row>
    <row r="37" spans="1:18" ht="18" customHeight="1">
      <c r="A37" s="1634" t="s">
        <v>1890</v>
      </c>
      <c r="B37" s="784" t="s">
        <v>679</v>
      </c>
      <c r="C37" s="53">
        <f ca="1">ROUND(C13*F37,1)</f>
        <v>19.899999999999999</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50.6</v>
      </c>
      <c r="D38" s="2509" t="s">
        <v>1805</v>
      </c>
      <c r="E38" s="2510" t="s">
        <v>1796</v>
      </c>
      <c r="F38" s="2506">
        <f ca="1">INDIRECT("'数据-取费表'!Am"&amp;$G$1)</f>
        <v>0.02</v>
      </c>
      <c r="G38" s="2047"/>
      <c r="H38" s="2062"/>
      <c r="I38" s="843" t="s">
        <v>1817</v>
      </c>
      <c r="J38" s="844"/>
      <c r="K38" s="2068"/>
      <c r="L38" s="2062"/>
      <c r="M38" s="2062"/>
    </row>
    <row r="39" spans="1:18" ht="24.6" customHeight="1" thickTop="1">
      <c r="A39" s="1814" t="s">
        <v>1894</v>
      </c>
      <c r="B39" s="2962" t="s">
        <v>2819</v>
      </c>
      <c r="C39" s="792">
        <f ca="1">C5-C30</f>
        <v>1833</v>
      </c>
      <c r="D39" s="2512" t="s">
        <v>1806</v>
      </c>
      <c r="E39" s="2513"/>
      <c r="F39" s="2514"/>
      <c r="G39" s="2047"/>
      <c r="H39" s="2062"/>
      <c r="I39" s="837" t="s">
        <v>1818</v>
      </c>
      <c r="J39" s="845">
        <f ca="1">ROUND(J35/C39,3)</f>
        <v>0.57899999999999996</v>
      </c>
      <c r="K39" s="2068"/>
      <c r="L39" s="2062"/>
      <c r="M39" s="2062"/>
    </row>
    <row r="40" spans="1:18" ht="18" customHeight="1">
      <c r="A40" s="781" t="s">
        <v>1895</v>
      </c>
      <c r="B40" s="2217" t="s">
        <v>2299</v>
      </c>
      <c r="C40" s="783">
        <f ca="1">ROUND(C39*(1-((1+F42)/(1+F40))^F41)/(F40-F42),0)</f>
        <v>34784</v>
      </c>
      <c r="D40" s="814" t="s">
        <v>1807</v>
      </c>
      <c r="E40" s="784" t="s">
        <v>2417</v>
      </c>
      <c r="F40" s="794">
        <f ca="1">INDIRECT("'数据-取费表'!I"&amp;$G$1)</f>
        <v>0.06</v>
      </c>
      <c r="G40" s="2047"/>
      <c r="H40" s="2047"/>
      <c r="I40" s="837" t="s">
        <v>1819</v>
      </c>
      <c r="J40" s="845">
        <f ca="1">1-J39</f>
        <v>0.42100000000000004</v>
      </c>
      <c r="K40" s="2068"/>
      <c r="L40" s="2047"/>
      <c r="M40" s="2047"/>
    </row>
    <row r="41" spans="1:18" ht="18" customHeight="1">
      <c r="A41" s="786"/>
      <c r="B41" s="787"/>
      <c r="C41" s="788"/>
      <c r="D41" s="821" t="s">
        <v>1808</v>
      </c>
      <c r="E41" s="784" t="s">
        <v>2957</v>
      </c>
      <c r="F41" s="822">
        <f ca="1">IF(INDIRECT("'数据-取费表'!af"&amp;$G$1)=0,INDIRECT("'数据-取费表'!ae"&amp;$G$1),INDIRECT("'数据-取费表'!af"&amp;$G$1))</f>
        <v>37</v>
      </c>
      <c r="G41" s="2047"/>
      <c r="H41" s="1973"/>
      <c r="I41" s="843" t="s">
        <v>1820</v>
      </c>
      <c r="J41" s="846"/>
      <c r="K41" s="2067"/>
      <c r="L41" s="1973"/>
      <c r="M41" s="1973"/>
    </row>
    <row r="42" spans="1:18" ht="18" customHeight="1">
      <c r="A42" s="790"/>
      <c r="B42" s="791"/>
      <c r="C42" s="792"/>
      <c r="D42" s="816"/>
      <c r="E42" s="784" t="s">
        <v>1809</v>
      </c>
      <c r="F42" s="794">
        <f ca="1">INDIRECT("'数据-取费表'!v"&amp;$G$1)</f>
        <v>0.02</v>
      </c>
      <c r="G42" s="2047"/>
      <c r="H42" s="1973"/>
      <c r="I42" s="847" t="s">
        <v>1821</v>
      </c>
      <c r="J42" s="845">
        <f ca="1">ROUND(C13/C40,3)</f>
        <v>0.38100000000000001</v>
      </c>
      <c r="K42" s="2067"/>
      <c r="L42" s="1973"/>
      <c r="M42" s="1973"/>
    </row>
    <row r="43" spans="1:18" ht="18" customHeight="1" thickBot="1">
      <c r="A43" s="823" t="s">
        <v>1787</v>
      </c>
      <c r="B43" s="824" t="s">
        <v>1810</v>
      </c>
      <c r="C43" s="825">
        <f ca="1">ROUND(C40*10000/F43,0)</f>
        <v>12818</v>
      </c>
      <c r="D43" s="826" t="s">
        <v>1811</v>
      </c>
      <c r="E43" s="827" t="s">
        <v>1812</v>
      </c>
      <c r="F43" s="828">
        <f ca="1">INDIRECT("'数据-取费表'!k"&amp;$G$1)</f>
        <v>27137</v>
      </c>
      <c r="G43" s="2047"/>
      <c r="H43" s="1973"/>
      <c r="I43" s="847" t="s">
        <v>1822</v>
      </c>
      <c r="J43" s="848">
        <f ca="1">1-J42</f>
        <v>0.61899999999999999</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-38056</v>
      </c>
      <c r="D46" s="2070"/>
      <c r="E46" s="2070"/>
      <c r="F46" s="2070"/>
      <c r="I46" s="2342" t="s">
        <v>2341</v>
      </c>
      <c r="J46" s="2343"/>
      <c r="K46" s="2344"/>
      <c r="L46" s="3106">
        <f>IF(OR(M47="住宅",D1="土地（套用方法）"),0,IF(L48&gt;J51,L60,J60))</f>
        <v>0</v>
      </c>
      <c r="O46" s="2358" t="s">
        <v>2408</v>
      </c>
      <c r="P46" s="1578"/>
      <c r="Q46" s="1589"/>
      <c r="R46" s="1578"/>
    </row>
    <row r="47" spans="1:18" s="2044" customFormat="1" ht="18" customHeight="1" thickBot="1">
      <c r="A47" s="2336">
        <v>1</v>
      </c>
      <c r="B47" s="2337" t="s">
        <v>635</v>
      </c>
      <c r="C47" s="2538">
        <f ca="1">C48+C52+C54</f>
        <v>0</v>
      </c>
      <c r="D47" s="2070"/>
      <c r="E47" s="2070"/>
      <c r="F47" s="2070"/>
      <c r="I47" s="3097" t="s">
        <v>2342</v>
      </c>
      <c r="J47" s="2345" t="s">
        <v>3437</v>
      </c>
      <c r="K47" s="3103" t="s">
        <v>2347</v>
      </c>
      <c r="L47" s="3107">
        <f ca="1">INDIRECT("'数据-取费表'!d"&amp;$G$1)</f>
        <v>40</v>
      </c>
      <c r="M47" s="1589" t="str">
        <f>IF(ISNUMBER(FIND("住宅",C1)),"住宅","非住宅")</f>
        <v>非住宅</v>
      </c>
      <c r="O47" s="2359" t="s">
        <v>2373</v>
      </c>
      <c r="P47" s="2360" t="s">
        <v>2374</v>
      </c>
      <c r="Q47" s="2361" t="s">
        <v>2375</v>
      </c>
      <c r="R47" s="2360" t="s">
        <v>2376</v>
      </c>
    </row>
    <row r="48" spans="1:18" s="2044" customFormat="1" ht="18" customHeight="1" thickBot="1">
      <c r="A48" s="2606" t="s">
        <v>2535</v>
      </c>
      <c r="B48" s="2607" t="s">
        <v>2536</v>
      </c>
      <c r="C48" s="2338">
        <f ca="1">ROUND(F48*F50*F49*(1-F51)/10000,0)</f>
        <v>0</v>
      </c>
      <c r="D48" s="2339" t="s">
        <v>636</v>
      </c>
      <c r="E48" s="2340" t="s">
        <v>2294</v>
      </c>
      <c r="F48" s="2341"/>
      <c r="G48" s="2075"/>
      <c r="I48" s="3076" t="s">
        <v>2343</v>
      </c>
      <c r="J48" s="2346" t="s">
        <v>2348</v>
      </c>
      <c r="K48" s="3104" t="s">
        <v>2349</v>
      </c>
      <c r="L48" s="1893">
        <f ca="1">INDIRECT("'数据-取费表'!f"&amp;$G$1)</f>
        <v>40</v>
      </c>
      <c r="O48" s="2362" t="s">
        <v>2377</v>
      </c>
      <c r="P48" s="2363" t="s">
        <v>2403</v>
      </c>
      <c r="Q48" s="2364">
        <f ca="1">C40+J29</f>
        <v>34784</v>
      </c>
      <c r="R48" s="2363" t="s">
        <v>2378</v>
      </c>
    </row>
    <row r="49" spans="1:18" s="2044" customFormat="1" ht="18" customHeight="1" thickBot="1">
      <c r="A49" s="786"/>
      <c r="B49" s="787"/>
      <c r="C49" s="788"/>
      <c r="D49" s="789"/>
      <c r="E49" s="784" t="s">
        <v>1739</v>
      </c>
      <c r="F49" s="785">
        <f ca="1">F7</f>
        <v>27137</v>
      </c>
      <c r="G49" s="2075"/>
      <c r="H49" s="2078"/>
      <c r="I49" s="3076" t="s">
        <v>2344</v>
      </c>
      <c r="J49" s="2347"/>
      <c r="K49" s="3105" t="s">
        <v>2350</v>
      </c>
      <c r="L49" s="2348"/>
      <c r="O49" s="2362" t="s">
        <v>2379</v>
      </c>
      <c r="P49" s="2363" t="s">
        <v>2404</v>
      </c>
      <c r="Q49" s="2364" t="str">
        <f ca="1">J60</f>
        <v>0</v>
      </c>
      <c r="R49" s="2363" t="s">
        <v>2380</v>
      </c>
    </row>
    <row r="50" spans="1:18" s="2044" customFormat="1" ht="18" customHeight="1" thickBot="1">
      <c r="A50" s="786"/>
      <c r="B50" s="787"/>
      <c r="C50" s="788"/>
      <c r="D50" s="789"/>
      <c r="E50" s="784" t="s">
        <v>1740</v>
      </c>
      <c r="F50" s="785">
        <f ca="1">F8</f>
        <v>365</v>
      </c>
      <c r="G50" s="2080"/>
      <c r="H50" s="2078"/>
      <c r="I50" s="3076" t="s">
        <v>2345</v>
      </c>
      <c r="J50" s="3101">
        <f>SUMPRODUCT((I63:I65=J47)*(J62:L62=J48)*(J63:L65))</f>
        <v>60</v>
      </c>
      <c r="K50" s="3105" t="s">
        <v>2351</v>
      </c>
      <c r="L50" s="2348"/>
      <c r="O50" s="2365" t="s">
        <v>2381</v>
      </c>
      <c r="P50" s="2363" t="s">
        <v>2405</v>
      </c>
      <c r="Q50" s="2364">
        <f ca="1">C29</f>
        <v>13261</v>
      </c>
      <c r="R50" s="2363" t="s">
        <v>2378</v>
      </c>
    </row>
    <row r="51" spans="1:18" s="2044" customFormat="1" ht="18" customHeight="1" thickBot="1">
      <c r="A51" s="786"/>
      <c r="B51" s="787"/>
      <c r="C51" s="788"/>
      <c r="D51" s="789"/>
      <c r="E51" s="784" t="s">
        <v>640</v>
      </c>
      <c r="F51" s="2335"/>
      <c r="H51" s="2078"/>
      <c r="I51" s="3098" t="s">
        <v>2346</v>
      </c>
      <c r="J51" s="3102">
        <f>IF(J49="",J50,J49+J50-YEAR('数据-取费表'!B2))</f>
        <v>60</v>
      </c>
      <c r="K51" s="3076" t="s">
        <v>2352</v>
      </c>
      <c r="L51" s="3108">
        <f ca="1">ROUND(-PV(INDIRECT("'数据-取费表'!h"&amp;$G$1),L48,(C39-C13*J36),0),0)</f>
        <v>12390</v>
      </c>
      <c r="O51" s="2365" t="s">
        <v>2382</v>
      </c>
      <c r="P51" s="2363" t="s">
        <v>2383</v>
      </c>
      <c r="Q51" s="2366" t="e">
        <f ca="1">J58</f>
        <v>#VALUE!</v>
      </c>
      <c r="R51" s="2367"/>
    </row>
    <row r="52" spans="1:18" s="2044" customFormat="1" ht="18" customHeight="1" thickBot="1">
      <c r="A52" s="781" t="s">
        <v>2534</v>
      </c>
      <c r="B52" s="2458" t="s">
        <v>2457</v>
      </c>
      <c r="C52" s="799">
        <f ca="1">ROUND(IF(F52="押一",C48/12*F11,IF(F52="押二",C48/12*2*F11,IF(F52="押三",C48/12*3*F11,C53*F11))),0)</f>
        <v>0</v>
      </c>
      <c r="D52" s="2465" t="s">
        <v>2968</v>
      </c>
      <c r="E52" s="2462" t="s">
        <v>2462</v>
      </c>
      <c r="F52" s="2585"/>
      <c r="I52" s="3099" t="s">
        <v>2419</v>
      </c>
      <c r="J52" s="2349">
        <v>8.5000000000000006E-2</v>
      </c>
      <c r="K52" s="3099" t="s">
        <v>2418</v>
      </c>
      <c r="L52" s="2349"/>
      <c r="O52" s="2365" t="s">
        <v>2384</v>
      </c>
      <c r="P52" s="2363" t="s">
        <v>2385</v>
      </c>
      <c r="Q52" s="2366">
        <f>J52</f>
        <v>8.5000000000000006E-2</v>
      </c>
      <c r="R52" s="2367"/>
    </row>
    <row r="53" spans="1:18" s="2044" customFormat="1" ht="39.75" customHeight="1" thickBot="1">
      <c r="A53" s="786"/>
      <c r="B53" s="2459" t="s">
        <v>2571</v>
      </c>
      <c r="C53" s="2463"/>
      <c r="D53" s="2465"/>
      <c r="E53" s="2462"/>
      <c r="F53" s="800"/>
      <c r="I53" s="3100" t="s">
        <v>2971</v>
      </c>
      <c r="J53" s="3179">
        <f ca="1">IF(M47="住宅",IF(D1="——",MAX(J51,L48),MAX(J51,L48-'数据-取费表'!B20)),IF(D1="——",MIN(J51,L48),MIN(J51,L48-'数据-取费表'!B20)))</f>
        <v>37</v>
      </c>
      <c r="K53" s="3545" t="s">
        <v>2959</v>
      </c>
      <c r="L53" s="3546"/>
      <c r="O53" s="2365" t="s">
        <v>2386</v>
      </c>
      <c r="P53" s="2363" t="s">
        <v>2387</v>
      </c>
      <c r="Q53" s="2364">
        <f ca="1">J53</f>
        <v>37</v>
      </c>
      <c r="R53" s="2363" t="s">
        <v>2388</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2389</v>
      </c>
      <c r="P54" s="2363" t="s">
        <v>2406</v>
      </c>
      <c r="Q54" s="2364">
        <f ca="1">Q48+Q49</f>
        <v>34784</v>
      </c>
      <c r="R54" s="2367" t="s">
        <v>2390</v>
      </c>
    </row>
    <row r="55" spans="1:18" s="2044" customFormat="1" ht="18" customHeight="1" thickTop="1" thickBot="1">
      <c r="A55" s="797">
        <v>2</v>
      </c>
      <c r="B55" s="798" t="s">
        <v>644</v>
      </c>
      <c r="C55" s="799">
        <f ca="1">C13</f>
        <v>13261</v>
      </c>
      <c r="D55" s="795"/>
      <c r="E55" s="795"/>
      <c r="F55" s="800"/>
      <c r="I55" s="3111" t="s">
        <v>2353</v>
      </c>
      <c r="J55" s="3051" t="e">
        <f ca="1">ROUND(IF(J47="钢混",J57/J50,1-(1-2%)*(J50-J57)/J50),3)</f>
        <v>#VALUE!</v>
      </c>
      <c r="K55" s="3112" t="s">
        <v>2354</v>
      </c>
      <c r="L55" s="2350"/>
      <c r="O55" s="2368" t="s">
        <v>2409</v>
      </c>
      <c r="P55" s="1578"/>
      <c r="Q55" s="1589"/>
      <c r="R55" s="1578"/>
    </row>
    <row r="56" spans="1:18" s="2044" customFormat="1" ht="42.75" customHeight="1" thickBot="1">
      <c r="A56" s="1635"/>
      <c r="B56" s="2216" t="s">
        <v>2300</v>
      </c>
      <c r="C56" s="53">
        <f ca="1">C29</f>
        <v>13261</v>
      </c>
      <c r="D56" s="2603"/>
      <c r="E56" s="784"/>
      <c r="F56" s="809"/>
      <c r="I56" s="3113" t="s">
        <v>2355</v>
      </c>
      <c r="J56" s="3123" t="s">
        <v>1678</v>
      </c>
      <c r="K56" s="3076" t="s">
        <v>2360</v>
      </c>
      <c r="L56" s="1893" t="str">
        <f ca="1">IF(L48&lt;J51,"——",L48-J51)</f>
        <v>——</v>
      </c>
      <c r="O56" s="2359" t="s">
        <v>2373</v>
      </c>
      <c r="P56" s="2360" t="s">
        <v>2374</v>
      </c>
      <c r="Q56" s="2361" t="s">
        <v>2375</v>
      </c>
      <c r="R56" s="2360" t="s">
        <v>2376</v>
      </c>
    </row>
    <row r="57" spans="1:18" s="2044" customFormat="1" ht="28.5" customHeight="1" thickBot="1">
      <c r="A57" s="797" t="s">
        <v>1748</v>
      </c>
      <c r="B57" s="798" t="s">
        <v>651</v>
      </c>
      <c r="C57" s="799">
        <f ca="1">ROUND(C58+C63+C64+C65,0)</f>
        <v>222</v>
      </c>
      <c r="D57" s="26" t="s">
        <v>1750</v>
      </c>
      <c r="E57" s="2604"/>
      <c r="F57" s="56"/>
      <c r="I57" s="3114" t="s">
        <v>2356</v>
      </c>
      <c r="J57" s="3115" t="str">
        <f ca="1">IF(OR(M47="住宅",J51&lt;L48,J56="是"),"——",J51-L48)</f>
        <v>——</v>
      </c>
      <c r="K57" s="3076" t="s">
        <v>2361</v>
      </c>
      <c r="L57" s="1893" t="str">
        <f ca="1">IF(L48&lt;J51,"——",IF(L55="比较法",L49,IF(L55="基准地价",L50,L51)))</f>
        <v>——</v>
      </c>
      <c r="O57" s="2362" t="s">
        <v>2377</v>
      </c>
      <c r="P57" s="2363" t="s">
        <v>2407</v>
      </c>
      <c r="Q57" s="2364">
        <f ca="1">C40+J29</f>
        <v>34784</v>
      </c>
      <c r="R57" s="2363" t="s">
        <v>2378</v>
      </c>
    </row>
    <row r="58" spans="1:18" s="2044" customFormat="1" ht="28.5" customHeight="1" thickBot="1">
      <c r="A58" s="1634" t="s">
        <v>1824</v>
      </c>
      <c r="B58" s="784" t="s">
        <v>656</v>
      </c>
      <c r="C58" s="53">
        <f ca="1">ROUND(IF(项目基本情况!B11="自然人",C47*F58,C59+C60+C61),1)</f>
        <v>3.1</v>
      </c>
      <c r="D58" s="2602" t="s">
        <v>657</v>
      </c>
      <c r="E58" s="2603" t="s">
        <v>690</v>
      </c>
      <c r="F58" s="810" t="str">
        <f ca="1">IF(项目基本情况!B11="企业","",IF(INDIRECT("'数据-取费表'!c"&amp;$G$1)="住宅",5%,IF(F48*F49*F50/12/(1+'数据-取费表'!C42)&gt;20000,12%,7%)))</f>
        <v/>
      </c>
      <c r="I58" s="3114" t="s">
        <v>2357</v>
      </c>
      <c r="J58" s="3052" t="e">
        <f ca="1">IF(J55&lt;0.4,0.4,J55)</f>
        <v>#VALUE!</v>
      </c>
      <c r="K58" s="3076" t="s">
        <v>2362</v>
      </c>
      <c r="L58" s="1893" t="e">
        <f ca="1">ROUND(POWER(1+L52,L47-L48)*(POWER(1+L52,L48)-1)/(POWER(1+L52,L47)-1),4)</f>
        <v>#DIV/0!</v>
      </c>
      <c r="O58" s="2362" t="s">
        <v>2379</v>
      </c>
      <c r="P58" s="2363" t="s">
        <v>2410</v>
      </c>
      <c r="Q58" s="2364">
        <f ca="1">L60</f>
        <v>0</v>
      </c>
      <c r="R58" s="2367" t="s">
        <v>2412</v>
      </c>
    </row>
    <row r="59" spans="1:18" s="2044" customFormat="1" ht="28.5" customHeight="1" thickBot="1">
      <c r="A59" s="1633" t="s">
        <v>1831</v>
      </c>
      <c r="B59" s="784" t="s">
        <v>660</v>
      </c>
      <c r="C59" s="53">
        <f ca="1">ROUND(C47*F59/1.05,1)</f>
        <v>0</v>
      </c>
      <c r="D59" s="2603" t="s">
        <v>1756</v>
      </c>
      <c r="E59" s="784" t="s">
        <v>1747</v>
      </c>
      <c r="F59" s="809">
        <f t="shared" ref="F59:F65" si="0">F32</f>
        <v>5.6000000000000001E-2</v>
      </c>
      <c r="I59" s="3114" t="s">
        <v>2358</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2381</v>
      </c>
      <c r="P59" s="2363" t="s">
        <v>2411</v>
      </c>
      <c r="Q59" s="2364">
        <f>IF(L55="比较法",L49,IF(L55="基准地价",L50,0))</f>
        <v>0</v>
      </c>
      <c r="R59" s="2363" t="s">
        <v>2378</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6" t="s">
        <v>2359</v>
      </c>
      <c r="J60" s="3117" t="str">
        <f ca="1">IF(OR(M47="住宅",J51&lt;L48,J56="是"),"0",ROUND(J59/(1+J52)^J53,0))</f>
        <v>0</v>
      </c>
      <c r="K60" s="3118" t="s">
        <v>2364</v>
      </c>
      <c r="L60" s="3117">
        <f ca="1">IF(OR(M47="住宅",L48&lt;J51),0,ROUND(L57*(L58/L59-1),0))</f>
        <v>0</v>
      </c>
      <c r="O60" s="2365" t="s">
        <v>2382</v>
      </c>
      <c r="P60" s="2363" t="s">
        <v>2391</v>
      </c>
      <c r="Q60" s="2366">
        <f>L52</f>
        <v>0</v>
      </c>
      <c r="R60" s="2367"/>
    </row>
    <row r="61" spans="1:18" s="2044" customFormat="1" ht="18" customHeight="1" thickBot="1">
      <c r="A61" s="1636" t="s">
        <v>1833</v>
      </c>
      <c r="B61" s="341" t="s">
        <v>668</v>
      </c>
      <c r="C61" s="54">
        <f ca="1">ROUND(F61*F62/10000,1)</f>
        <v>3.1</v>
      </c>
      <c r="D61" s="814" t="s">
        <v>669</v>
      </c>
      <c r="E61" s="784" t="s">
        <v>670</v>
      </c>
      <c r="F61" s="640">
        <f t="shared" si="0"/>
        <v>4</v>
      </c>
      <c r="K61" s="2071"/>
      <c r="O61" s="2365" t="s">
        <v>2384</v>
      </c>
      <c r="P61" s="2363" t="s">
        <v>2392</v>
      </c>
      <c r="Q61" s="2364" t="e">
        <f ca="1">L58</f>
        <v>#DIV/0!</v>
      </c>
      <c r="R61" s="2367" t="s">
        <v>2393</v>
      </c>
    </row>
    <row r="62" spans="1:18" s="2044" customFormat="1" ht="16.2" thickBot="1">
      <c r="A62" s="815"/>
      <c r="B62" s="793"/>
      <c r="C62" s="69"/>
      <c r="D62" s="816"/>
      <c r="E62" s="784" t="s">
        <v>674</v>
      </c>
      <c r="F62" s="785">
        <f t="shared" ca="1" si="0"/>
        <v>7753.43</v>
      </c>
      <c r="I62" s="3119" t="s">
        <v>2365</v>
      </c>
      <c r="J62" s="3120" t="s">
        <v>2366</v>
      </c>
      <c r="K62" s="3120" t="s">
        <v>2367</v>
      </c>
      <c r="L62" s="3120" t="s">
        <v>2348</v>
      </c>
      <c r="M62" s="3121" t="s">
        <v>2936</v>
      </c>
      <c r="O62" s="2365" t="s">
        <v>2386</v>
      </c>
      <c r="P62" s="2363" t="str">
        <f>K59</f>
        <v>建设期及建筑物耐用年限下的土地年期修正系数Kn</v>
      </c>
      <c r="Q62" s="2364" t="e">
        <f ca="1">L59</f>
        <v>#DIV/0!</v>
      </c>
      <c r="R62" s="2367" t="s">
        <v>2395</v>
      </c>
    </row>
    <row r="63" spans="1:18" s="2044" customFormat="1" ht="16.2" thickBot="1">
      <c r="A63" s="1634" t="s">
        <v>1889</v>
      </c>
      <c r="B63" s="784" t="s">
        <v>676</v>
      </c>
      <c r="C63" s="53">
        <f ca="1">ROUND(C56*F63,1)</f>
        <v>198.9</v>
      </c>
      <c r="D63" s="2603" t="s">
        <v>1803</v>
      </c>
      <c r="E63" s="784" t="s">
        <v>1747</v>
      </c>
      <c r="F63" s="817">
        <f t="shared" ca="1" si="0"/>
        <v>1.4999999999999999E-2</v>
      </c>
      <c r="I63" s="3119" t="s">
        <v>2368</v>
      </c>
      <c r="J63" s="3120">
        <v>70</v>
      </c>
      <c r="K63" s="3120">
        <v>50</v>
      </c>
      <c r="L63" s="3120">
        <v>80</v>
      </c>
      <c r="M63" s="3122">
        <v>0.02</v>
      </c>
      <c r="O63" s="2362" t="s">
        <v>2389</v>
      </c>
      <c r="P63" s="2363" t="s">
        <v>2406</v>
      </c>
      <c r="Q63" s="2364">
        <f ca="1">Q57+Q58</f>
        <v>34784</v>
      </c>
      <c r="R63" s="2367" t="s">
        <v>2390</v>
      </c>
    </row>
    <row r="64" spans="1:18" s="2044" customFormat="1" ht="16.2" thickBot="1">
      <c r="A64" s="1634" t="s">
        <v>1890</v>
      </c>
      <c r="B64" s="784" t="s">
        <v>679</v>
      </c>
      <c r="C64" s="53">
        <f ca="1">ROUND(C55*F64,1)</f>
        <v>19.899999999999999</v>
      </c>
      <c r="D64" s="2603" t="s">
        <v>680</v>
      </c>
      <c r="E64" s="784" t="s">
        <v>1747</v>
      </c>
      <c r="F64" s="818">
        <f t="shared" ca="1" si="0"/>
        <v>1.5E-3</v>
      </c>
      <c r="I64" s="3119" t="s">
        <v>2369</v>
      </c>
      <c r="J64" s="3120">
        <v>50</v>
      </c>
      <c r="K64" s="3120">
        <v>35</v>
      </c>
      <c r="L64" s="3120">
        <v>60</v>
      </c>
      <c r="M64" s="846">
        <v>0</v>
      </c>
      <c r="O64" s="2368" t="s">
        <v>2413</v>
      </c>
      <c r="P64" s="1578"/>
      <c r="Q64" s="1589"/>
      <c r="R64" s="1578"/>
    </row>
    <row r="65" spans="1:18" s="2044" customFormat="1" ht="16.2" thickBot="1">
      <c r="A65" s="1634" t="s">
        <v>1891</v>
      </c>
      <c r="B65" s="784" t="s">
        <v>666</v>
      </c>
      <c r="C65" s="53">
        <f ca="1">ROUND(C47*F65,1)</f>
        <v>0</v>
      </c>
      <c r="D65" s="2603" t="s">
        <v>683</v>
      </c>
      <c r="E65" s="784" t="s">
        <v>1747</v>
      </c>
      <c r="F65" s="794">
        <f t="shared" ca="1" si="0"/>
        <v>0.02</v>
      </c>
      <c r="I65" s="3119" t="s">
        <v>2370</v>
      </c>
      <c r="J65" s="3120">
        <v>40</v>
      </c>
      <c r="K65" s="3120">
        <v>30</v>
      </c>
      <c r="L65" s="3120">
        <v>50</v>
      </c>
      <c r="M65" s="3122">
        <v>0.02</v>
      </c>
      <c r="O65" s="2359" t="s">
        <v>2373</v>
      </c>
      <c r="P65" s="2360" t="s">
        <v>2374</v>
      </c>
      <c r="Q65" s="2361" t="s">
        <v>2375</v>
      </c>
      <c r="R65" s="2360" t="s">
        <v>2376</v>
      </c>
    </row>
    <row r="66" spans="1:18" s="2044" customFormat="1" ht="24.6" thickBot="1">
      <c r="A66" s="797" t="s">
        <v>1776</v>
      </c>
      <c r="B66" s="2963" t="s">
        <v>2819</v>
      </c>
      <c r="C66" s="799">
        <f ca="1">C47-C57</f>
        <v>-222</v>
      </c>
      <c r="D66" s="2602" t="s">
        <v>700</v>
      </c>
      <c r="E66" s="2601"/>
      <c r="F66" s="820"/>
      <c r="K66" s="2071"/>
      <c r="O66" s="2362" t="s">
        <v>2377</v>
      </c>
      <c r="P66" s="2363" t="s">
        <v>2407</v>
      </c>
      <c r="Q66" s="2364">
        <f ca="1">C40+J29</f>
        <v>34784</v>
      </c>
      <c r="R66" s="2363" t="s">
        <v>2378</v>
      </c>
    </row>
    <row r="67" spans="1:18" s="2044" customFormat="1" ht="19.2" thickBot="1">
      <c r="A67" s="781" t="s">
        <v>1780</v>
      </c>
      <c r="B67" s="2217" t="s">
        <v>2299</v>
      </c>
      <c r="C67" s="783">
        <f ca="1">ROUND(C66*(1-((1+F69)/(1+F67))^F68)/(F67-F69),0)</f>
        <v>-3272</v>
      </c>
      <c r="D67" s="814" t="s">
        <v>704</v>
      </c>
      <c r="E67" s="784" t="s">
        <v>705</v>
      </c>
      <c r="F67" s="794">
        <f ca="1">F40</f>
        <v>0.06</v>
      </c>
      <c r="K67" s="2071"/>
      <c r="O67" s="2362" t="s">
        <v>2379</v>
      </c>
      <c r="P67" s="2363" t="s">
        <v>2410</v>
      </c>
      <c r="Q67" s="2364">
        <f ca="1">L60</f>
        <v>0</v>
      </c>
      <c r="R67" s="2367" t="s">
        <v>2412</v>
      </c>
    </row>
    <row r="68" spans="1:18" ht="20.399999999999999" thickBot="1">
      <c r="A68" s="786"/>
      <c r="B68" s="787"/>
      <c r="C68" s="788"/>
      <c r="D68" s="821" t="s">
        <v>1808</v>
      </c>
      <c r="E68" s="784" t="s">
        <v>1784</v>
      </c>
      <c r="F68" s="822">
        <f ca="1">F41</f>
        <v>37</v>
      </c>
      <c r="O68" s="2365" t="s">
        <v>2381</v>
      </c>
      <c r="P68" s="2363" t="s">
        <v>2411</v>
      </c>
      <c r="Q68" s="2369">
        <f ca="1">L51</f>
        <v>12390</v>
      </c>
      <c r="R68" s="2370" t="s">
        <v>2414</v>
      </c>
    </row>
    <row r="69" spans="1:18" ht="19.2" thickBot="1">
      <c r="A69" s="790"/>
      <c r="B69" s="791"/>
      <c r="C69" s="792"/>
      <c r="D69" s="816"/>
      <c r="E69" s="784" t="s">
        <v>710</v>
      </c>
      <c r="F69" s="2335"/>
      <c r="O69" s="2365" t="s">
        <v>2382</v>
      </c>
      <c r="P69" s="2371" t="s">
        <v>2396</v>
      </c>
      <c r="Q69" s="2364">
        <f ca="1">ROUND(Q70-Q71*Q72,0)</f>
        <v>772</v>
      </c>
      <c r="R69" s="2367"/>
    </row>
    <row r="70" spans="1:18" ht="16.2" thickBot="1">
      <c r="A70" s="823" t="s">
        <v>1787</v>
      </c>
      <c r="B70" s="824" t="s">
        <v>1810</v>
      </c>
      <c r="C70" s="825">
        <f ca="1">ROUND(C67*10000/F70,0)</f>
        <v>-1206</v>
      </c>
      <c r="D70" s="826" t="s">
        <v>1811</v>
      </c>
      <c r="E70" s="827" t="s">
        <v>1812</v>
      </c>
      <c r="F70" s="828">
        <f ca="1">F43</f>
        <v>27137</v>
      </c>
      <c r="O70" s="2365" t="s">
        <v>2397</v>
      </c>
      <c r="P70" s="2371" t="s">
        <v>2398</v>
      </c>
      <c r="Q70" s="2364">
        <f ca="1">C39</f>
        <v>1833</v>
      </c>
      <c r="R70" s="2363" t="s">
        <v>2378</v>
      </c>
    </row>
    <row r="71" spans="1:18" ht="16.2" thickBot="1">
      <c r="O71" s="2365" t="s">
        <v>2399</v>
      </c>
      <c r="P71" s="2371" t="s">
        <v>2400</v>
      </c>
      <c r="Q71" s="2364">
        <f ca="1">C13</f>
        <v>13261</v>
      </c>
      <c r="R71" s="2363" t="s">
        <v>2378</v>
      </c>
    </row>
    <row r="72" spans="1:18" ht="16.2" thickBot="1">
      <c r="O72" s="2365" t="s">
        <v>2401</v>
      </c>
      <c r="P72" s="2371" t="s">
        <v>2402</v>
      </c>
      <c r="Q72" s="2366">
        <f ca="1">J36</f>
        <v>0.08</v>
      </c>
      <c r="R72" s="2367"/>
    </row>
    <row r="73" spans="1:18" ht="16.2" thickBot="1">
      <c r="O73" s="2365" t="s">
        <v>2384</v>
      </c>
      <c r="P73" s="2363" t="s">
        <v>2391</v>
      </c>
      <c r="Q73" s="2366">
        <f>L52</f>
        <v>0</v>
      </c>
      <c r="R73" s="2367"/>
    </row>
    <row r="74" spans="1:18" ht="19.2" thickBot="1">
      <c r="O74" s="2365" t="s">
        <v>2386</v>
      </c>
      <c r="P74" s="2363" t="s">
        <v>2392</v>
      </c>
      <c r="Q74" s="2364" t="e">
        <f ca="1">L58</f>
        <v>#DIV/0!</v>
      </c>
      <c r="R74" s="2367" t="s">
        <v>2393</v>
      </c>
    </row>
    <row r="75" spans="1:18" ht="16.2" thickBot="1">
      <c r="O75" s="2365" t="s">
        <v>2415</v>
      </c>
      <c r="P75" s="2363" t="str">
        <f>K59</f>
        <v>建设期及建筑物耐用年限下的土地年期修正系数Kn</v>
      </c>
      <c r="Q75" s="2364" t="e">
        <f ca="1">L59</f>
        <v>#DIV/0!</v>
      </c>
      <c r="R75" s="2367" t="s">
        <v>2395</v>
      </c>
    </row>
    <row r="76" spans="1:18" ht="16.2" thickBot="1">
      <c r="O76" s="2362" t="s">
        <v>2389</v>
      </c>
      <c r="P76" s="2363" t="s">
        <v>2406</v>
      </c>
      <c r="Q76" s="2364">
        <f ca="1">Q66+Q67</f>
        <v>34784</v>
      </c>
      <c r="R76" s="2367"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563" t="s">
        <v>2469</v>
      </c>
      <c r="B1" s="3564"/>
      <c r="C1" s="3565"/>
      <c r="D1" s="3566">
        <f>SUM(I10,I15,I20,I21,I23)</f>
        <v>0</v>
      </c>
      <c r="E1" s="3566"/>
      <c r="F1" s="3566"/>
      <c r="G1" s="3566"/>
      <c r="H1" s="3566"/>
      <c r="I1" s="3567"/>
    </row>
    <row r="2" spans="1:9">
      <c r="A2" s="3553" t="s">
        <v>2470</v>
      </c>
      <c r="B2" s="3554" t="s">
        <v>2471</v>
      </c>
      <c r="C2" s="3554"/>
      <c r="D2" s="2471" t="s">
        <v>2472</v>
      </c>
      <c r="E2" s="2471" t="s">
        <v>2473</v>
      </c>
      <c r="F2" s="2471" t="s">
        <v>2474</v>
      </c>
      <c r="G2" s="2471" t="s">
        <v>2475</v>
      </c>
      <c r="H2" s="2471" t="s">
        <v>2476</v>
      </c>
      <c r="I2" s="2472" t="s">
        <v>2477</v>
      </c>
    </row>
    <row r="3" spans="1:9">
      <c r="A3" s="3553"/>
      <c r="B3" s="3554" t="s">
        <v>2478</v>
      </c>
      <c r="C3" s="3554"/>
      <c r="D3" s="2473"/>
      <c r="E3" s="2471"/>
      <c r="F3" s="2474"/>
      <c r="G3" s="2474"/>
      <c r="H3" s="2475"/>
      <c r="I3" s="2476">
        <f>ROUND(D3*E3*F3*G3*H3/10000,0)</f>
        <v>0</v>
      </c>
    </row>
    <row r="4" spans="1:9">
      <c r="A4" s="3553"/>
      <c r="B4" s="3554" t="s">
        <v>2479</v>
      </c>
      <c r="C4" s="3554"/>
      <c r="D4" s="2473"/>
      <c r="E4" s="2471"/>
      <c r="F4" s="2474"/>
      <c r="G4" s="2474"/>
      <c r="H4" s="2475"/>
      <c r="I4" s="2476">
        <f t="shared" ref="I4:I9" si="0">ROUND(D4*E4*F4*G4*H4/10000,0)</f>
        <v>0</v>
      </c>
    </row>
    <row r="5" spans="1:9">
      <c r="A5" s="3553"/>
      <c r="B5" s="3554" t="s">
        <v>2480</v>
      </c>
      <c r="C5" s="3554"/>
      <c r="D5" s="2473"/>
      <c r="E5" s="2471"/>
      <c r="F5" s="2474"/>
      <c r="G5" s="2474"/>
      <c r="H5" s="2475"/>
      <c r="I5" s="2476">
        <f t="shared" si="0"/>
        <v>0</v>
      </c>
    </row>
    <row r="6" spans="1:9">
      <c r="A6" s="3553"/>
      <c r="B6" s="3554" t="s">
        <v>2481</v>
      </c>
      <c r="C6" s="3554"/>
      <c r="D6" s="2473"/>
      <c r="E6" s="2471"/>
      <c r="F6" s="2474"/>
      <c r="G6" s="2474"/>
      <c r="H6" s="2475"/>
      <c r="I6" s="2476">
        <f t="shared" si="0"/>
        <v>0</v>
      </c>
    </row>
    <row r="7" spans="1:9">
      <c r="A7" s="3553"/>
      <c r="B7" s="3554" t="s">
        <v>2482</v>
      </c>
      <c r="C7" s="3554"/>
      <c r="D7" s="2473"/>
      <c r="E7" s="2471"/>
      <c r="F7" s="2474"/>
      <c r="G7" s="2474"/>
      <c r="H7" s="2475"/>
      <c r="I7" s="2476">
        <f t="shared" si="0"/>
        <v>0</v>
      </c>
    </row>
    <row r="8" spans="1:9">
      <c r="A8" s="3553"/>
      <c r="B8" s="3554" t="s">
        <v>2483</v>
      </c>
      <c r="C8" s="3554"/>
      <c r="D8" s="2473"/>
      <c r="E8" s="2471"/>
      <c r="F8" s="2474"/>
      <c r="G8" s="2474"/>
      <c r="H8" s="2475"/>
      <c r="I8" s="2476">
        <f t="shared" si="0"/>
        <v>0</v>
      </c>
    </row>
    <row r="9" spans="1:9">
      <c r="A9" s="3553"/>
      <c r="B9" s="3554" t="s">
        <v>2484</v>
      </c>
      <c r="C9" s="3554"/>
      <c r="D9" s="2473"/>
      <c r="E9" s="2471"/>
      <c r="F9" s="2474"/>
      <c r="G9" s="2474"/>
      <c r="H9" s="2475"/>
      <c r="I9" s="2476">
        <f t="shared" si="0"/>
        <v>0</v>
      </c>
    </row>
    <row r="10" spans="1:9">
      <c r="A10" s="3553"/>
      <c r="B10" s="3555" t="s">
        <v>2485</v>
      </c>
      <c r="C10" s="3555"/>
      <c r="D10" s="2477">
        <v>527</v>
      </c>
      <c r="E10" s="2477" t="e">
        <f>ROUND(D1*10000/D10/H9,0)</f>
        <v>#DIV/0!</v>
      </c>
      <c r="F10" s="2478"/>
      <c r="G10" s="2478"/>
      <c r="H10" s="2479"/>
      <c r="I10" s="2480">
        <f>SUM(I3:I9)</f>
        <v>0</v>
      </c>
    </row>
    <row r="11" spans="1:9" ht="15.6">
      <c r="A11" s="3553" t="s">
        <v>2486</v>
      </c>
      <c r="B11" s="3554" t="s">
        <v>2487</v>
      </c>
      <c r="C11" s="3554"/>
      <c r="D11" s="2473" t="s">
        <v>2488</v>
      </c>
      <c r="E11" s="2473" t="s">
        <v>2489</v>
      </c>
      <c r="F11" s="2474" t="s">
        <v>2490</v>
      </c>
      <c r="G11" s="2474" t="s">
        <v>2491</v>
      </c>
      <c r="H11" s="2481" t="s">
        <v>2492</v>
      </c>
      <c r="I11" s="2472" t="s">
        <v>2493</v>
      </c>
    </row>
    <row r="12" spans="1:9">
      <c r="A12" s="3553"/>
      <c r="B12" s="3554" t="s">
        <v>2494</v>
      </c>
      <c r="C12" s="3554"/>
      <c r="D12" s="2473"/>
      <c r="E12" s="2473"/>
      <c r="F12" s="2474"/>
      <c r="G12" s="2475"/>
      <c r="H12" s="2482"/>
      <c r="I12" s="2472">
        <f>ROUND(D12*E12*F12*G12/10000,0)</f>
        <v>0</v>
      </c>
    </row>
    <row r="13" spans="1:9">
      <c r="A13" s="3553"/>
      <c r="B13" s="3554" t="s">
        <v>2495</v>
      </c>
      <c r="C13" s="3554"/>
      <c r="D13" s="2473"/>
      <c r="E13" s="2473"/>
      <c r="F13" s="2474"/>
      <c r="G13" s="2475"/>
      <c r="H13" s="2482"/>
      <c r="I13" s="2472">
        <f>ROUND(D13*E13*F13*G13/10000,0)</f>
        <v>0</v>
      </c>
    </row>
    <row r="14" spans="1:9">
      <c r="A14" s="3553"/>
      <c r="B14" s="3554" t="s">
        <v>2496</v>
      </c>
      <c r="C14" s="3554"/>
      <c r="D14" s="2473"/>
      <c r="E14" s="2473"/>
      <c r="F14" s="2474"/>
      <c r="G14" s="2475"/>
      <c r="H14" s="2482"/>
      <c r="I14" s="2472">
        <f>ROUND(D14*E14*F14*G14/10000,0)</f>
        <v>0</v>
      </c>
    </row>
    <row r="15" spans="1:9">
      <c r="A15" s="3553"/>
      <c r="B15" s="3555" t="s">
        <v>2485</v>
      </c>
      <c r="C15" s="3555"/>
      <c r="D15" s="2477"/>
      <c r="E15" s="2477">
        <f>SUM(E12:E14)</f>
        <v>0</v>
      </c>
      <c r="F15" s="2478"/>
      <c r="G15" s="2475"/>
      <c r="H15" s="2482"/>
      <c r="I15" s="2483">
        <f>SUM(I12:I14)</f>
        <v>0</v>
      </c>
    </row>
    <row r="16" spans="1:9" ht="24">
      <c r="A16" s="3553" t="s">
        <v>2497</v>
      </c>
      <c r="B16" s="3554" t="s">
        <v>2498</v>
      </c>
      <c r="C16" s="3554"/>
      <c r="D16" s="2473" t="s">
        <v>2499</v>
      </c>
      <c r="E16" s="2484" t="s">
        <v>2500</v>
      </c>
      <c r="F16" s="2474" t="s">
        <v>2501</v>
      </c>
      <c r="G16" s="2475" t="s">
        <v>2491</v>
      </c>
      <c r="H16" s="2481" t="s">
        <v>2492</v>
      </c>
      <c r="I16" s="2472" t="s">
        <v>2493</v>
      </c>
    </row>
    <row r="17" spans="1:9" ht="15.6">
      <c r="A17" s="3553"/>
      <c r="B17" s="3554" t="s">
        <v>2502</v>
      </c>
      <c r="C17" s="3554"/>
      <c r="D17" s="2473"/>
      <c r="E17" s="2473"/>
      <c r="F17" s="2474"/>
      <c r="G17" s="2475"/>
      <c r="H17" s="2485"/>
      <c r="I17" s="2486">
        <f>ROUND(D17*E17*F17*G17/10000,0)</f>
        <v>0</v>
      </c>
    </row>
    <row r="18" spans="1:9" ht="15.6">
      <c r="A18" s="3553"/>
      <c r="B18" s="3554" t="s">
        <v>2503</v>
      </c>
      <c r="C18" s="3554"/>
      <c r="D18" s="2473"/>
      <c r="E18" s="2473"/>
      <c r="F18" s="2474"/>
      <c r="G18" s="2475"/>
      <c r="H18" s="2485"/>
      <c r="I18" s="2486">
        <f>ROUND(D18*E18*F18*G18/10000,0)</f>
        <v>0</v>
      </c>
    </row>
    <row r="19" spans="1:9" ht="15.6">
      <c r="A19" s="3553"/>
      <c r="B19" s="3554" t="s">
        <v>2504</v>
      </c>
      <c r="C19" s="3554"/>
      <c r="D19" s="2473"/>
      <c r="E19" s="2473"/>
      <c r="F19" s="2474"/>
      <c r="G19" s="2475"/>
      <c r="H19" s="2485"/>
      <c r="I19" s="2486">
        <f>ROUND(D19*E19*F19*G19/10000,0)</f>
        <v>0</v>
      </c>
    </row>
    <row r="20" spans="1:9">
      <c r="A20" s="3553"/>
      <c r="B20" s="3555" t="s">
        <v>2485</v>
      </c>
      <c r="C20" s="3555"/>
      <c r="D20" s="2477">
        <f>SUM(D17:D19)</f>
        <v>0</v>
      </c>
      <c r="E20" s="2477"/>
      <c r="F20" s="2478"/>
      <c r="G20" s="2475"/>
      <c r="H20" s="2482"/>
      <c r="I20" s="2483">
        <f>SUM(I17:I19)</f>
        <v>0</v>
      </c>
    </row>
    <row r="21" spans="1:9">
      <c r="A21" s="3553" t="s">
        <v>2505</v>
      </c>
      <c r="B21" s="3556"/>
      <c r="C21" s="3556"/>
      <c r="D21" s="3556"/>
      <c r="E21" s="3556"/>
      <c r="F21" s="3556"/>
      <c r="G21" s="3556"/>
      <c r="H21" s="2487">
        <v>0.1</v>
      </c>
      <c r="I21" s="2480">
        <f>ROUND(I10*H21,0)</f>
        <v>0</v>
      </c>
    </row>
    <row r="22" spans="1:9" ht="15.6">
      <c r="A22" s="3557" t="s">
        <v>2506</v>
      </c>
      <c r="B22" s="3558"/>
      <c r="C22" s="3559"/>
      <c r="D22" s="2488" t="s">
        <v>2507</v>
      </c>
      <c r="E22" s="2488" t="s">
        <v>2508</v>
      </c>
      <c r="F22" s="2489" t="s">
        <v>2509</v>
      </c>
      <c r="G22" s="2489" t="s">
        <v>2510</v>
      </c>
      <c r="H22" s="2481" t="s">
        <v>2511</v>
      </c>
      <c r="I22" s="2472" t="s">
        <v>2512</v>
      </c>
    </row>
    <row r="23" spans="1:9" ht="15" thickBot="1">
      <c r="A23" s="3560"/>
      <c r="B23" s="3561"/>
      <c r="C23" s="3562"/>
      <c r="D23" s="2490"/>
      <c r="E23" s="2490"/>
      <c r="F23" s="2490"/>
      <c r="G23" s="2491"/>
      <c r="H23" s="2492"/>
      <c r="I23" s="2493">
        <f>ROUND(E23*D23*F23*(1-G23)/10000,0)</f>
        <v>0</v>
      </c>
    </row>
    <row r="26" spans="1:9">
      <c r="A26" s="2494" t="s">
        <v>2513</v>
      </c>
      <c r="B26" s="2494"/>
      <c r="C26" s="2494"/>
      <c r="D26" s="2494"/>
      <c r="E26" s="3550">
        <f>C27-C30-C31-C32</f>
        <v>0</v>
      </c>
      <c r="F26" s="3550"/>
      <c r="G26" s="3550"/>
      <c r="H26" s="2995" t="s">
        <v>2840</v>
      </c>
    </row>
    <row r="27" spans="1:9">
      <c r="A27" s="2495">
        <v>1</v>
      </c>
      <c r="B27" s="2496" t="s">
        <v>2514</v>
      </c>
      <c r="C27" s="2496"/>
      <c r="D27" s="2496"/>
      <c r="E27" s="3551"/>
      <c r="F27" s="3551"/>
      <c r="G27" s="3551"/>
    </row>
    <row r="28" spans="1:9">
      <c r="A28" s="2497" t="s">
        <v>2515</v>
      </c>
      <c r="B28" s="2496" t="s">
        <v>2516</v>
      </c>
      <c r="C28" s="2496"/>
      <c r="D28" s="2496"/>
      <c r="E28" s="3551"/>
      <c r="F28" s="3551"/>
      <c r="G28" s="3551"/>
    </row>
    <row r="29" spans="1:9">
      <c r="A29" s="2497" t="s">
        <v>2517</v>
      </c>
      <c r="B29" s="2496" t="s">
        <v>2458</v>
      </c>
      <c r="C29" s="2496"/>
      <c r="D29" s="2496"/>
      <c r="E29" s="2496" t="s">
        <v>2518</v>
      </c>
      <c r="F29" s="2496"/>
      <c r="G29" s="2496"/>
    </row>
    <row r="30" spans="1:9">
      <c r="A30" s="2495">
        <v>2</v>
      </c>
      <c r="B30" s="2496" t="s">
        <v>2519</v>
      </c>
      <c r="C30" s="2496">
        <f>C27*D30</f>
        <v>0</v>
      </c>
      <c r="D30" s="2498">
        <v>0.2</v>
      </c>
      <c r="E30" s="2496" t="s">
        <v>2520</v>
      </c>
      <c r="F30" s="2496"/>
      <c r="G30" s="2496"/>
    </row>
    <row r="31" spans="1:9">
      <c r="A31" s="2495">
        <v>3</v>
      </c>
      <c r="B31" s="2496" t="s">
        <v>2521</v>
      </c>
      <c r="C31" s="2496">
        <f>C25*D31</f>
        <v>0</v>
      </c>
      <c r="D31" s="2498">
        <v>0.15</v>
      </c>
      <c r="E31" s="2496" t="s">
        <v>2522</v>
      </c>
      <c r="F31" s="2496"/>
      <c r="G31" s="2496"/>
    </row>
    <row r="32" spans="1:9">
      <c r="A32" s="2495">
        <v>4</v>
      </c>
      <c r="B32" s="2496" t="s">
        <v>2523</v>
      </c>
      <c r="C32" s="2496">
        <f>C27*D32</f>
        <v>0</v>
      </c>
      <c r="D32" s="2498">
        <v>0.05</v>
      </c>
      <c r="E32" s="3552"/>
      <c r="F32" s="3552"/>
      <c r="G32" s="3552"/>
    </row>
    <row r="33" spans="1:7" hidden="1">
      <c r="A33" s="3547" t="s">
        <v>2524</v>
      </c>
      <c r="B33" s="3548"/>
      <c r="C33" s="3548"/>
      <c r="D33" s="3549"/>
      <c r="E33" s="3550"/>
      <c r="F33" s="3550"/>
      <c r="G33" s="3550"/>
    </row>
    <row r="34" spans="1:7" hidden="1">
      <c r="A34" s="2499">
        <v>1</v>
      </c>
      <c r="B34" s="2496" t="s">
        <v>2525</v>
      </c>
      <c r="C34" s="2496"/>
      <c r="D34" s="2496"/>
      <c r="E34" s="3551"/>
      <c r="F34" s="3551"/>
      <c r="G34" s="3551"/>
    </row>
    <row r="35" spans="1:7" hidden="1">
      <c r="A35" s="2499">
        <v>2</v>
      </c>
      <c r="B35" s="2496" t="s">
        <v>2526</v>
      </c>
      <c r="C35" s="2496"/>
      <c r="D35" s="2496"/>
      <c r="E35" s="3551"/>
      <c r="F35" s="3551"/>
      <c r="G35" s="3551"/>
    </row>
    <row r="36" spans="1:7" hidden="1">
      <c r="A36" s="2499">
        <v>3</v>
      </c>
      <c r="B36" s="2496" t="s">
        <v>2527</v>
      </c>
      <c r="C36" s="2496"/>
      <c r="D36" s="2496"/>
      <c r="E36" s="3551"/>
      <c r="F36" s="3551"/>
      <c r="G36" s="3551"/>
    </row>
    <row r="37" spans="1:7" hidden="1">
      <c r="A37" s="2499">
        <v>4</v>
      </c>
      <c r="B37" s="2496" t="s">
        <v>2528</v>
      </c>
      <c r="C37" s="2496"/>
      <c r="D37" s="2496"/>
      <c r="E37" s="3551"/>
      <c r="F37" s="3551"/>
      <c r="G37" s="3551"/>
    </row>
    <row r="38" spans="1:7" hidden="1">
      <c r="A38" s="3547" t="s">
        <v>2529</v>
      </c>
      <c r="B38" s="3548"/>
      <c r="C38" s="3548"/>
      <c r="D38" s="3549"/>
      <c r="E38" s="3550"/>
      <c r="F38" s="3550"/>
      <c r="G38" s="35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88671875" style="2171" customWidth="1"/>
    <col min="8" max="25" width="9" style="2173" customWidth="1"/>
    <col min="26" max="254" width="9" style="2171" customWidth="1"/>
    <col min="255" max="16384" width="8.33203125" style="2171"/>
  </cols>
  <sheetData>
    <row r="1" spans="1:25" s="2044" customFormat="1" ht="21">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2438</v>
      </c>
      <c r="B8" s="2436" t="s">
        <v>2440</v>
      </c>
      <c r="C8" s="2437"/>
      <c r="D8" s="749"/>
      <c r="E8" s="750"/>
      <c r="F8" s="750"/>
      <c r="G8" s="751"/>
    </row>
    <row r="9" spans="1:25" s="2168" customFormat="1" ht="13.5" customHeight="1">
      <c r="A9" s="2433" t="s">
        <v>2439</v>
      </c>
      <c r="B9" s="2436" t="s">
        <v>2441</v>
      </c>
      <c r="C9" s="2437"/>
      <c r="D9" s="749"/>
      <c r="E9" s="750"/>
      <c r="F9" s="750"/>
      <c r="G9" s="751"/>
    </row>
    <row r="10" spans="1:25" s="2168" customFormat="1" ht="36">
      <c r="A10" s="2433">
        <v>2</v>
      </c>
      <c r="B10" s="748" t="s">
        <v>613</v>
      </c>
      <c r="C10" s="749">
        <f>C11+C14+C15</f>
        <v>0</v>
      </c>
      <c r="D10" s="760">
        <f>'数据-汇总表'!E3</f>
        <v>781063.4</v>
      </c>
      <c r="E10" s="749">
        <f>'数据-取费表'!B31</f>
        <v>100</v>
      </c>
      <c r="F10" s="761"/>
      <c r="G10" s="759" t="s">
        <v>614</v>
      </c>
    </row>
    <row r="11" spans="1:25" s="2168" customFormat="1" ht="13.5" customHeight="1">
      <c r="A11" s="2433" t="s">
        <v>2438</v>
      </c>
      <c r="B11" s="752" t="s">
        <v>610</v>
      </c>
      <c r="C11" s="753">
        <f>'数据-取费表'!B29</f>
        <v>0</v>
      </c>
      <c r="D11" s="754"/>
      <c r="E11" s="753"/>
      <c r="F11" s="755"/>
      <c r="G11" s="2442" t="s">
        <v>2449</v>
      </c>
    </row>
    <row r="12" spans="1:25" s="2168" customFormat="1" ht="13.5" customHeight="1">
      <c r="A12" s="2440" t="s">
        <v>2446</v>
      </c>
      <c r="B12" s="756" t="s">
        <v>611</v>
      </c>
      <c r="C12" s="757">
        <f>ROUND(D12*E12/10000,0)</f>
        <v>17782</v>
      </c>
      <c r="D12" s="758">
        <f>'数据-汇总表'!E5</f>
        <v>740899</v>
      </c>
      <c r="E12" s="757">
        <f>'数据-取费表'!B27</f>
        <v>240</v>
      </c>
      <c r="F12" s="755"/>
      <c r="G12" s="759"/>
    </row>
    <row r="13" spans="1:25" s="2168" customFormat="1" ht="13.5" customHeight="1">
      <c r="A13" s="2440" t="s">
        <v>2445</v>
      </c>
      <c r="B13" s="756" t="s">
        <v>612</v>
      </c>
      <c r="C13" s="757">
        <f>ROUND(D13*E13/10000,0)</f>
        <v>964</v>
      </c>
      <c r="D13" s="758">
        <f>'数据-汇总表'!E6</f>
        <v>40164.400000000023</v>
      </c>
      <c r="E13" s="757">
        <f>'数据-取费表'!B28</f>
        <v>240</v>
      </c>
      <c r="F13" s="755"/>
      <c r="G13" s="759"/>
    </row>
    <row r="14" spans="1:25" s="2168" customFormat="1" ht="13.5" customHeight="1">
      <c r="A14" s="2433" t="s">
        <v>2439</v>
      </c>
      <c r="B14" s="2439" t="s">
        <v>2442</v>
      </c>
      <c r="C14" s="2437"/>
      <c r="D14" s="758"/>
      <c r="E14" s="757"/>
      <c r="F14" s="2438"/>
      <c r="G14" s="2441" t="s">
        <v>2447</v>
      </c>
    </row>
    <row r="15" spans="1:25" s="2168" customFormat="1" ht="13.5" customHeight="1">
      <c r="A15" s="2433" t="s">
        <v>2444</v>
      </c>
      <c r="B15" s="2439" t="s">
        <v>2443</v>
      </c>
      <c r="C15" s="2437"/>
      <c r="D15" s="758"/>
      <c r="E15" s="757"/>
      <c r="F15" s="2438"/>
      <c r="G15" s="2441" t="s">
        <v>2448</v>
      </c>
    </row>
    <row r="16" spans="1:25" s="2169" customFormat="1" ht="48">
      <c r="A16" s="2433">
        <v>3</v>
      </c>
      <c r="B16" s="748" t="s">
        <v>615</v>
      </c>
      <c r="C16" s="2437"/>
      <c r="D16" s="760"/>
      <c r="E16" s="749"/>
      <c r="F16" s="761"/>
      <c r="G16" s="759" t="s">
        <v>2450</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0.2</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0.96399999999999997</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C42" sqref="C42"/>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7" style="1332" customWidth="1"/>
    <col min="6" max="6" width="12.21875" style="1332" customWidth="1"/>
    <col min="7" max="7" width="15.6640625" style="1332" customWidth="1"/>
    <col min="8" max="8" width="12.21875" style="1332" customWidth="1"/>
    <col min="9" max="9" width="15.332031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7" t="s">
        <v>719</v>
      </c>
      <c r="C1" s="2588" t="s">
        <v>720</v>
      </c>
      <c r="D1" s="2589" t="s">
        <v>923</v>
      </c>
      <c r="E1" s="2590"/>
      <c r="F1" s="2762" t="s">
        <v>3448</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f>ROUND(B3*D3/10000,0)</f>
        <v>719191</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f>C49</f>
        <v>9707</v>
      </c>
      <c r="C3" s="852" t="s">
        <v>722</v>
      </c>
      <c r="D3" s="851">
        <f>SUMIF('数据-汇总表'!$C19:$C33,D1,'数据-汇总表'!$E19:$E33)</f>
        <v>740899</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4.4">
      <c r="A4" s="512" t="s">
        <v>521</v>
      </c>
      <c r="B4" s="513"/>
      <c r="C4" s="3474" t="s">
        <v>522</v>
      </c>
      <c r="D4" s="3475"/>
      <c r="E4" s="3495" t="s">
        <v>523</v>
      </c>
      <c r="F4" s="3496"/>
      <c r="G4" s="3474" t="s">
        <v>524</v>
      </c>
      <c r="H4" s="3475"/>
      <c r="I4" s="3474" t="s">
        <v>525</v>
      </c>
      <c r="J4" s="3475"/>
      <c r="K4" s="853" t="s">
        <v>526</v>
      </c>
      <c r="L4" s="2118"/>
      <c r="M4" s="2119"/>
      <c r="N4" s="2119"/>
      <c r="O4" s="2119"/>
      <c r="P4" s="3476" t="s">
        <v>527</v>
      </c>
      <c r="Q4" s="3477"/>
      <c r="R4" s="3464" t="s">
        <v>523</v>
      </c>
      <c r="S4" s="3465"/>
      <c r="T4" s="3464" t="s">
        <v>524</v>
      </c>
      <c r="U4" s="3465"/>
      <c r="V4" s="3461" t="s">
        <v>525</v>
      </c>
      <c r="W4" s="3461"/>
      <c r="X4" s="1553"/>
      <c r="Y4" s="3464" t="s">
        <v>527</v>
      </c>
      <c r="Z4" s="3465"/>
      <c r="AA4" s="3470" t="s">
        <v>523</v>
      </c>
      <c r="AB4" s="3470" t="s">
        <v>524</v>
      </c>
      <c r="AC4" s="3470" t="s">
        <v>525</v>
      </c>
    </row>
    <row r="5" spans="1:29">
      <c r="A5" s="515"/>
      <c r="B5" s="516"/>
      <c r="C5" s="3482" t="s">
        <v>2923</v>
      </c>
      <c r="D5" s="3483"/>
      <c r="E5" s="3568" t="s">
        <v>3450</v>
      </c>
      <c r="F5" s="3498"/>
      <c r="G5" s="3570" t="s">
        <v>3449</v>
      </c>
      <c r="H5" s="3483"/>
      <c r="I5" s="3569" t="s">
        <v>3469</v>
      </c>
      <c r="J5" s="3483"/>
      <c r="K5" s="854"/>
      <c r="L5" s="2118"/>
      <c r="M5" s="2119"/>
      <c r="N5" s="2119"/>
      <c r="O5" s="2119"/>
      <c r="P5" s="3478"/>
      <c r="Q5" s="3479"/>
      <c r="R5" s="3466"/>
      <c r="S5" s="3467"/>
      <c r="T5" s="3466"/>
      <c r="U5" s="3467"/>
      <c r="V5" s="3461"/>
      <c r="W5" s="3461"/>
      <c r="X5" s="1553"/>
      <c r="Y5" s="3466"/>
      <c r="Z5" s="3467"/>
      <c r="AA5" s="3471"/>
      <c r="AB5" s="3471"/>
      <c r="AC5" s="3471"/>
    </row>
    <row r="6" spans="1:29" ht="15" thickBot="1">
      <c r="A6" s="517"/>
      <c r="B6" s="518"/>
      <c r="C6" s="3488" t="s">
        <v>2927</v>
      </c>
      <c r="D6" s="3489"/>
      <c r="E6" s="3499" t="s">
        <v>2927</v>
      </c>
      <c r="F6" s="3500"/>
      <c r="G6" s="3488" t="s">
        <v>2927</v>
      </c>
      <c r="H6" s="3489"/>
      <c r="I6" s="3488" t="s">
        <v>2927</v>
      </c>
      <c r="J6" s="3489"/>
      <c r="K6" s="854" t="s">
        <v>528</v>
      </c>
      <c r="L6" s="2118"/>
      <c r="M6" s="2119"/>
      <c r="N6" s="2119"/>
      <c r="O6" s="2119"/>
      <c r="P6" s="3480"/>
      <c r="Q6" s="3481"/>
      <c r="R6" s="3466"/>
      <c r="S6" s="3467"/>
      <c r="T6" s="3468"/>
      <c r="U6" s="3469"/>
      <c r="V6" s="3461"/>
      <c r="W6" s="3461"/>
      <c r="X6" s="1553"/>
      <c r="Y6" s="3468"/>
      <c r="Z6" s="3469"/>
      <c r="AA6" s="3472"/>
      <c r="AB6" s="3472"/>
      <c r="AC6" s="3472"/>
    </row>
    <row r="7" spans="1:29" s="1215" customFormat="1" ht="15" thickBot="1">
      <c r="A7" s="2867"/>
      <c r="B7" s="2874" t="s">
        <v>529</v>
      </c>
      <c r="C7" s="519">
        <f>'数据-取费表'!B2</f>
        <v>43902</v>
      </c>
      <c r="D7" s="520">
        <v>100</v>
      </c>
      <c r="E7" s="521">
        <f>C7</f>
        <v>43902</v>
      </c>
      <c r="F7" s="522">
        <f>SUMIF(58:58,YEAR(E7)&amp;"-"&amp;MONTH(E7),59:59)</f>
        <v>100</v>
      </c>
      <c r="G7" s="521">
        <f>E7</f>
        <v>43902</v>
      </c>
      <c r="H7" s="520">
        <f>SUMIF(58:58,YEAR(G7)&amp;"-"&amp;MONTH(G7),59:59)</f>
        <v>100</v>
      </c>
      <c r="I7" s="521">
        <f>G7</f>
        <v>43902</v>
      </c>
      <c r="J7" s="520">
        <f>SUMIF(58:58,YEAR(I7)&amp;"-"&amp;MONTH(I7),59:59)</f>
        <v>100</v>
      </c>
      <c r="K7" s="855"/>
      <c r="L7" s="2120"/>
      <c r="M7" s="2121"/>
      <c r="N7" s="2121"/>
      <c r="O7" s="2121"/>
      <c r="P7" s="3462" t="s">
        <v>530</v>
      </c>
      <c r="Q7" s="3473"/>
      <c r="R7" s="1554" t="s">
        <v>13</v>
      </c>
      <c r="S7" s="1555">
        <f t="shared" ref="S7:S15" si="0">F7</f>
        <v>100</v>
      </c>
      <c r="T7" s="1554" t="s">
        <v>13</v>
      </c>
      <c r="U7" s="1555">
        <f t="shared" ref="U7:U15" si="1">H7</f>
        <v>100</v>
      </c>
      <c r="V7" s="1554" t="s">
        <v>13</v>
      </c>
      <c r="W7" s="1555">
        <f t="shared" ref="W7:W15" si="2">J7</f>
        <v>100</v>
      </c>
      <c r="X7" s="1556"/>
      <c r="Y7" s="3462" t="s">
        <v>530</v>
      </c>
      <c r="Z7" s="3463"/>
      <c r="AA7" s="1557">
        <f>D7/F7</f>
        <v>1</v>
      </c>
      <c r="AB7" s="1557">
        <f>D7/H7</f>
        <v>1</v>
      </c>
      <c r="AC7" s="1557">
        <f>D7/J7</f>
        <v>1</v>
      </c>
    </row>
    <row r="8" spans="1:29" s="1215" customFormat="1" ht="15" thickBot="1">
      <c r="A8" s="2868"/>
      <c r="B8" s="2875" t="s">
        <v>531</v>
      </c>
      <c r="C8" s="525" t="s">
        <v>576</v>
      </c>
      <c r="D8" s="520">
        <v>100</v>
      </c>
      <c r="E8" s="856" t="s">
        <v>3415</v>
      </c>
      <c r="F8" s="522">
        <f>SUMIF(61:61,E8,62:62)-SUMIF(61:61,C8,62:62)+100</f>
        <v>100</v>
      </c>
      <c r="G8" s="856" t="s">
        <v>3415</v>
      </c>
      <c r="H8" s="520">
        <f>SUMIF(61:61,G8,62:62)-SUMIF(61:61,C8,62:62)+100</f>
        <v>100</v>
      </c>
      <c r="I8" s="856" t="s">
        <v>3415</v>
      </c>
      <c r="J8" s="520">
        <f>SUMIF(61:61,I8,62:62)-SUMIF(61:61,C8,62:62)+100</f>
        <v>100</v>
      </c>
      <c r="K8" s="855"/>
      <c r="L8" s="2120"/>
      <c r="M8" s="2121"/>
      <c r="N8" s="2121"/>
      <c r="O8" s="2121"/>
      <c r="P8" s="3462" t="s">
        <v>533</v>
      </c>
      <c r="Q8" s="3463"/>
      <c r="R8" s="1554" t="s">
        <v>13</v>
      </c>
      <c r="S8" s="1555">
        <f t="shared" si="0"/>
        <v>100</v>
      </c>
      <c r="T8" s="1554" t="s">
        <v>13</v>
      </c>
      <c r="U8" s="1555">
        <f t="shared" si="1"/>
        <v>100</v>
      </c>
      <c r="V8" s="1554" t="s">
        <v>13</v>
      </c>
      <c r="W8" s="1555">
        <f t="shared" si="2"/>
        <v>100</v>
      </c>
      <c r="X8" s="1556"/>
      <c r="Y8" s="3462" t="s">
        <v>533</v>
      </c>
      <c r="Z8" s="3463"/>
      <c r="AA8" s="1557">
        <f t="shared" ref="AA8:AA46" si="3">D8/F8</f>
        <v>1</v>
      </c>
      <c r="AB8" s="1557">
        <f t="shared" ref="AB8:AB46" si="4">D8/H8</f>
        <v>1</v>
      </c>
      <c r="AC8" s="1557">
        <f t="shared" ref="AC8:AC46" si="5">D8/J8</f>
        <v>1</v>
      </c>
    </row>
    <row r="9" spans="1:29" s="1215" customFormat="1" ht="14.4">
      <c r="A9" s="2869"/>
      <c r="B9" s="2876" t="s">
        <v>2753</v>
      </c>
      <c r="C9" s="3207" t="s">
        <v>3454</v>
      </c>
      <c r="D9" s="254">
        <v>100</v>
      </c>
      <c r="E9" s="858" t="s">
        <v>923</v>
      </c>
      <c r="F9" s="859">
        <f>SUMIF(63:63,E9,64:64)-SUMIF(63:63,C9,64:64)+100</f>
        <v>100</v>
      </c>
      <c r="G9" s="858" t="s">
        <v>923</v>
      </c>
      <c r="H9" s="254">
        <f>SUMIF(63:63,G9,64:64)-SUMIF(63:63,C9,64:64)+100</f>
        <v>100</v>
      </c>
      <c r="I9" s="858" t="s">
        <v>923</v>
      </c>
      <c r="J9" s="254">
        <f>SUMIF(63:63,I9,64:64)-SUMIF(63:63,C9,64:64)+100</f>
        <v>100</v>
      </c>
      <c r="K9" s="855"/>
      <c r="L9" s="2120"/>
      <c r="M9" s="2121"/>
      <c r="N9" s="2121"/>
      <c r="O9" s="2122"/>
      <c r="P9" s="3452" t="s">
        <v>535</v>
      </c>
      <c r="Q9" s="1146" t="str">
        <f t="shared" ref="Q9:Q15" si="6">B9</f>
        <v>用途</v>
      </c>
      <c r="R9" s="1554" t="s">
        <v>8</v>
      </c>
      <c r="S9" s="1555">
        <f t="shared" si="0"/>
        <v>100</v>
      </c>
      <c r="T9" s="1554" t="s">
        <v>8</v>
      </c>
      <c r="U9" s="1555">
        <f t="shared" si="1"/>
        <v>100</v>
      </c>
      <c r="V9" s="1554" t="s">
        <v>8</v>
      </c>
      <c r="W9" s="1555">
        <f t="shared" si="2"/>
        <v>100</v>
      </c>
      <c r="X9" s="1556"/>
      <c r="Y9" s="3416" t="s">
        <v>536</v>
      </c>
      <c r="Z9" s="1145" t="str">
        <f t="shared" ref="Z9:Z15" si="7">Q9</f>
        <v>用途</v>
      </c>
      <c r="AA9" s="1557">
        <f t="shared" si="3"/>
        <v>1</v>
      </c>
      <c r="AB9" s="1557">
        <f t="shared" si="4"/>
        <v>1</v>
      </c>
      <c r="AC9" s="1557">
        <f t="shared" si="5"/>
        <v>1</v>
      </c>
    </row>
    <row r="10" spans="1:29" s="1333" customFormat="1" ht="28.8">
      <c r="A10" s="2870"/>
      <c r="B10" s="2875" t="s">
        <v>2754</v>
      </c>
      <c r="C10" s="861" t="s">
        <v>3455</v>
      </c>
      <c r="D10" s="255">
        <v>100</v>
      </c>
      <c r="E10" s="861" t="s">
        <v>3455</v>
      </c>
      <c r="F10" s="863">
        <f>SUMIF(65:65,E10,66:66)-SUMIF(65:65,C10,66:66)+100</f>
        <v>100</v>
      </c>
      <c r="G10" s="861" t="s">
        <v>3455</v>
      </c>
      <c r="H10" s="255">
        <f>SUMIF(65:65,G10,66:66)-SUMIF(65:65,C10,66:66)+100</f>
        <v>100</v>
      </c>
      <c r="I10" s="861" t="s">
        <v>3455</v>
      </c>
      <c r="J10" s="255">
        <f>SUMIF(65:65,I10,66:66)-SUMIF(65:65,C10,66:66)+100</f>
        <v>100</v>
      </c>
      <c r="K10" s="864">
        <v>2</v>
      </c>
      <c r="L10" s="2123"/>
      <c r="M10" s="2163"/>
      <c r="N10" s="2163"/>
      <c r="O10" s="2124"/>
      <c r="P10" s="3452"/>
      <c r="Q10" s="1146" t="str">
        <f t="shared" si="6"/>
        <v>土地使用年限（年）</v>
      </c>
      <c r="R10" s="1554" t="s">
        <v>8</v>
      </c>
      <c r="S10" s="1555">
        <f t="shared" si="0"/>
        <v>100</v>
      </c>
      <c r="T10" s="1554" t="s">
        <v>8</v>
      </c>
      <c r="U10" s="1555">
        <f t="shared" si="1"/>
        <v>100</v>
      </c>
      <c r="V10" s="1554" t="s">
        <v>8</v>
      </c>
      <c r="W10" s="1555">
        <f t="shared" si="2"/>
        <v>100</v>
      </c>
      <c r="X10" s="1556"/>
      <c r="Y10" s="3416"/>
      <c r="Z10" s="1145" t="str">
        <f t="shared" si="7"/>
        <v>土地使用年限（年）</v>
      </c>
      <c r="AA10" s="1557">
        <f t="shared" si="3"/>
        <v>1</v>
      </c>
      <c r="AB10" s="1557">
        <f t="shared" si="4"/>
        <v>1</v>
      </c>
      <c r="AC10" s="1557">
        <f t="shared" si="5"/>
        <v>1</v>
      </c>
    </row>
    <row r="11" spans="1:29" ht="15">
      <c r="A11" s="2871"/>
      <c r="B11" s="2875" t="s">
        <v>2755</v>
      </c>
      <c r="C11" s="533">
        <v>3.5</v>
      </c>
      <c r="D11" s="255">
        <v>100</v>
      </c>
      <c r="E11" s="534">
        <v>2.9</v>
      </c>
      <c r="F11" s="863">
        <f>LOOKUP(E11,68:68,69:69)-LOOKUP(C11,68:68,69:69)+100</f>
        <v>102</v>
      </c>
      <c r="G11" s="533">
        <v>3.1</v>
      </c>
      <c r="H11" s="255">
        <f>LOOKUP(G11,68:68,69:69)-LOOKUP(C11,68:68,69:69)+100</f>
        <v>100</v>
      </c>
      <c r="I11" s="533">
        <v>3.5</v>
      </c>
      <c r="J11" s="255">
        <f>LOOKUP(I11,68:68,69:69)-LOOKUP(C11,68:68,69:69)+100</f>
        <v>100</v>
      </c>
      <c r="K11" s="864">
        <v>2</v>
      </c>
      <c r="L11" s="2125"/>
      <c r="M11" s="2119"/>
      <c r="N11" s="2119"/>
      <c r="O11" s="2126"/>
      <c r="P11" s="3452"/>
      <c r="Q11" s="1146" t="str">
        <f t="shared" si="6"/>
        <v>容积率</v>
      </c>
      <c r="R11" s="1554" t="s">
        <v>11</v>
      </c>
      <c r="S11" s="1555">
        <f t="shared" si="0"/>
        <v>102</v>
      </c>
      <c r="T11" s="1554" t="s">
        <v>11</v>
      </c>
      <c r="U11" s="1555">
        <f t="shared" si="1"/>
        <v>100</v>
      </c>
      <c r="V11" s="1554" t="s">
        <v>11</v>
      </c>
      <c r="W11" s="1555">
        <f t="shared" si="2"/>
        <v>100</v>
      </c>
      <c r="X11" s="1556"/>
      <c r="Y11" s="3416"/>
      <c r="Z11" s="1145" t="str">
        <f t="shared" si="7"/>
        <v>容积率</v>
      </c>
      <c r="AA11" s="1557">
        <f t="shared" si="3"/>
        <v>0.98039215686274506</v>
      </c>
      <c r="AB11" s="1557">
        <f t="shared" si="4"/>
        <v>1</v>
      </c>
      <c r="AC11" s="1557">
        <f t="shared" si="5"/>
        <v>1</v>
      </c>
    </row>
    <row r="12" spans="1:29" s="1215"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52"/>
      <c r="Q12" s="1146">
        <f t="shared" si="6"/>
        <v>111</v>
      </c>
      <c r="R12" s="1554" t="s">
        <v>11</v>
      </c>
      <c r="S12" s="1555">
        <f t="shared" si="0"/>
        <v>100</v>
      </c>
      <c r="T12" s="1554" t="s">
        <v>11</v>
      </c>
      <c r="U12" s="1555">
        <f t="shared" si="1"/>
        <v>100</v>
      </c>
      <c r="V12" s="1554" t="s">
        <v>11</v>
      </c>
      <c r="W12" s="1555">
        <f t="shared" si="2"/>
        <v>100</v>
      </c>
      <c r="X12" s="1556"/>
      <c r="Y12" s="3416"/>
      <c r="Z12" s="1145">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52"/>
      <c r="Q13" s="1146">
        <f t="shared" si="6"/>
        <v>111</v>
      </c>
      <c r="R13" s="1554" t="s">
        <v>11</v>
      </c>
      <c r="S13" s="1555">
        <f t="shared" si="0"/>
        <v>100</v>
      </c>
      <c r="T13" s="1554" t="s">
        <v>11</v>
      </c>
      <c r="U13" s="1555">
        <f t="shared" si="1"/>
        <v>100</v>
      </c>
      <c r="V13" s="1554" t="s">
        <v>11</v>
      </c>
      <c r="W13" s="1555">
        <f t="shared" si="2"/>
        <v>100</v>
      </c>
      <c r="X13" s="1556"/>
      <c r="Y13" s="3416"/>
      <c r="Z13" s="1145">
        <f t="shared" si="7"/>
        <v>111</v>
      </c>
      <c r="AA13" s="1557">
        <f t="shared" si="3"/>
        <v>1</v>
      </c>
      <c r="AB13" s="1557">
        <f t="shared" si="4"/>
        <v>1</v>
      </c>
      <c r="AC13" s="1557">
        <f t="shared" si="5"/>
        <v>1</v>
      </c>
    </row>
    <row r="14" spans="1:29" ht="15.6"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52"/>
      <c r="Q14" s="1146">
        <f t="shared" si="6"/>
        <v>111</v>
      </c>
      <c r="R14" s="1554" t="s">
        <v>11</v>
      </c>
      <c r="S14" s="1555">
        <f t="shared" si="0"/>
        <v>100</v>
      </c>
      <c r="T14" s="1554" t="s">
        <v>11</v>
      </c>
      <c r="U14" s="1555">
        <f t="shared" si="1"/>
        <v>100</v>
      </c>
      <c r="V14" s="1554" t="s">
        <v>11</v>
      </c>
      <c r="W14" s="1555">
        <f t="shared" si="2"/>
        <v>100</v>
      </c>
      <c r="X14" s="1556"/>
      <c r="Y14" s="3416"/>
      <c r="Z14" s="1145">
        <f t="shared" si="7"/>
        <v>111</v>
      </c>
      <c r="AA14" s="1557">
        <f t="shared" si="3"/>
        <v>1</v>
      </c>
      <c r="AB14" s="1557">
        <f t="shared" si="4"/>
        <v>1</v>
      </c>
      <c r="AC14" s="1557">
        <f t="shared" si="5"/>
        <v>1</v>
      </c>
    </row>
    <row r="15" spans="1:29" ht="15">
      <c r="A15" s="3220" t="s">
        <v>2751</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v>3</v>
      </c>
      <c r="L15" s="2127"/>
      <c r="M15" s="2119"/>
      <c r="N15" s="2119"/>
      <c r="O15" s="2126"/>
      <c r="P15" s="3454" t="s">
        <v>540</v>
      </c>
      <c r="Q15" s="1558" t="str">
        <f t="shared" si="6"/>
        <v>居住社区成熟度</v>
      </c>
      <c r="R15" s="1559" t="s">
        <v>11</v>
      </c>
      <c r="S15" s="1560">
        <f t="shared" si="0"/>
        <v>100</v>
      </c>
      <c r="T15" s="1559" t="s">
        <v>11</v>
      </c>
      <c r="U15" s="1560">
        <f t="shared" si="1"/>
        <v>100</v>
      </c>
      <c r="V15" s="1559" t="s">
        <v>11</v>
      </c>
      <c r="W15" s="1560">
        <f t="shared" si="2"/>
        <v>100</v>
      </c>
      <c r="X15" s="1553"/>
      <c r="Y15" s="3454" t="s">
        <v>540</v>
      </c>
      <c r="Z15" s="1561" t="str">
        <f t="shared" si="7"/>
        <v>居住社区成熟度</v>
      </c>
      <c r="AA15" s="1562">
        <f t="shared" si="3"/>
        <v>1</v>
      </c>
      <c r="AB15" s="1562">
        <f t="shared" si="4"/>
        <v>1</v>
      </c>
      <c r="AC15" s="1562">
        <f t="shared" si="5"/>
        <v>1</v>
      </c>
    </row>
    <row r="16" spans="1:29" ht="15">
      <c r="A16" s="532"/>
      <c r="B16" s="869"/>
      <c r="C16" s="576" t="s">
        <v>3423</v>
      </c>
      <c r="D16" s="555"/>
      <c r="E16" s="576" t="s">
        <v>3423</v>
      </c>
      <c r="F16" s="557"/>
      <c r="G16" s="576" t="s">
        <v>3423</v>
      </c>
      <c r="H16" s="559"/>
      <c r="I16" s="576" t="s">
        <v>3423</v>
      </c>
      <c r="J16" s="555"/>
      <c r="K16" s="870"/>
      <c r="L16" s="2127"/>
      <c r="M16" s="2119"/>
      <c r="N16" s="2119"/>
      <c r="O16" s="2126"/>
      <c r="P16" s="3455"/>
      <c r="Q16" s="1558"/>
      <c r="R16" s="1559"/>
      <c r="S16" s="1560"/>
      <c r="T16" s="1559"/>
      <c r="U16" s="1560"/>
      <c r="V16" s="1559"/>
      <c r="W16" s="1560"/>
      <c r="X16" s="1553"/>
      <c r="Y16" s="3455"/>
      <c r="Z16" s="1561"/>
      <c r="AA16" s="1562">
        <v>1</v>
      </c>
      <c r="AB16" s="1562">
        <v>1</v>
      </c>
      <c r="AC16" s="1562">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v>3</v>
      </c>
      <c r="L17" s="2127"/>
      <c r="M17" s="2119"/>
      <c r="N17" s="2119"/>
      <c r="O17" s="2126"/>
      <c r="P17" s="3455"/>
      <c r="Q17" s="1558" t="str">
        <f>B17</f>
        <v>交通便捷度</v>
      </c>
      <c r="R17" s="1559" t="s">
        <v>11</v>
      </c>
      <c r="S17" s="1560">
        <f>F17</f>
        <v>100</v>
      </c>
      <c r="T17" s="1559" t="s">
        <v>11</v>
      </c>
      <c r="U17" s="1560">
        <f>H17</f>
        <v>100</v>
      </c>
      <c r="V17" s="1559" t="s">
        <v>11</v>
      </c>
      <c r="W17" s="1560">
        <f>J17</f>
        <v>100</v>
      </c>
      <c r="X17" s="1553"/>
      <c r="Y17" s="3455"/>
      <c r="Z17" s="1561" t="str">
        <f>Q17</f>
        <v>交通便捷度</v>
      </c>
      <c r="AA17" s="1562">
        <f t="shared" si="3"/>
        <v>1</v>
      </c>
      <c r="AB17" s="1562">
        <f t="shared" si="4"/>
        <v>1</v>
      </c>
      <c r="AC17" s="1562">
        <f t="shared" si="5"/>
        <v>1</v>
      </c>
    </row>
    <row r="18" spans="1:29" ht="15">
      <c r="A18" s="532"/>
      <c r="B18" s="595"/>
      <c r="C18" s="576" t="s">
        <v>3423</v>
      </c>
      <c r="D18" s="559"/>
      <c r="E18" s="576" t="s">
        <v>3423</v>
      </c>
      <c r="F18" s="563"/>
      <c r="G18" s="576" t="s">
        <v>3423</v>
      </c>
      <c r="H18" s="555"/>
      <c r="I18" s="576" t="s">
        <v>3423</v>
      </c>
      <c r="J18" s="555"/>
      <c r="K18" s="870"/>
      <c r="L18" s="2127"/>
      <c r="M18" s="2119"/>
      <c r="N18" s="2119"/>
      <c r="O18" s="2126"/>
      <c r="P18" s="3455"/>
      <c r="Q18" s="1558"/>
      <c r="R18" s="1559"/>
      <c r="S18" s="1560"/>
      <c r="T18" s="1559"/>
      <c r="U18" s="1560"/>
      <c r="V18" s="1559"/>
      <c r="W18" s="1560"/>
      <c r="X18" s="1553"/>
      <c r="Y18" s="3455"/>
      <c r="Z18" s="1561"/>
      <c r="AA18" s="1562">
        <v>1</v>
      </c>
      <c r="AB18" s="1562">
        <v>1</v>
      </c>
      <c r="AC18" s="1562">
        <v>1</v>
      </c>
    </row>
    <row r="19" spans="1:29" ht="15">
      <c r="A19" s="532"/>
      <c r="B19" s="2564" t="s">
        <v>2544</v>
      </c>
      <c r="C19" s="872" t="str">
        <f>估价对象房地状况!C7</f>
        <v>一般</v>
      </c>
      <c r="D19" s="565">
        <v>100</v>
      </c>
      <c r="E19" s="570"/>
      <c r="F19" s="571">
        <f>SUMIF(80:80,E20,81:81)-SUMIF(80:80,C20,81:81)+100</f>
        <v>103</v>
      </c>
      <c r="G19" s="572"/>
      <c r="H19" s="559">
        <f>SUMIF(80:80,G20,81:81)-SUMIF(80:80,C20,81:81)+100</f>
        <v>103</v>
      </c>
      <c r="I19" s="570"/>
      <c r="J19" s="559">
        <f>SUMIF(80:80,I20,81:81)-SUMIF(80:80,C20,81:81)+100</f>
        <v>103</v>
      </c>
      <c r="K19" s="868">
        <v>3</v>
      </c>
      <c r="L19" s="2127"/>
      <c r="M19" s="2119"/>
      <c r="N19" s="2119"/>
      <c r="O19" s="2126"/>
      <c r="P19" s="3455"/>
      <c r="Q19" s="1558" t="str">
        <f>B19</f>
        <v>公共配套设施</v>
      </c>
      <c r="R19" s="1559" t="s">
        <v>11</v>
      </c>
      <c r="S19" s="1560">
        <f>F19</f>
        <v>103</v>
      </c>
      <c r="T19" s="1559" t="s">
        <v>11</v>
      </c>
      <c r="U19" s="1560">
        <f>H19</f>
        <v>103</v>
      </c>
      <c r="V19" s="1559" t="s">
        <v>11</v>
      </c>
      <c r="W19" s="1560">
        <f>J19</f>
        <v>103</v>
      </c>
      <c r="X19" s="1553"/>
      <c r="Y19" s="3455"/>
      <c r="Z19" s="1561" t="str">
        <f>Q19</f>
        <v>公共配套设施</v>
      </c>
      <c r="AA19" s="1562">
        <f t="shared" si="3"/>
        <v>0.970873786407767</v>
      </c>
      <c r="AB19" s="1562">
        <f t="shared" si="4"/>
        <v>0.970873786407767</v>
      </c>
      <c r="AC19" s="1562">
        <f t="shared" si="5"/>
        <v>0.970873786407767</v>
      </c>
    </row>
    <row r="20" spans="1:29" ht="15">
      <c r="A20" s="532"/>
      <c r="B20" s="595"/>
      <c r="C20" s="576" t="s">
        <v>3423</v>
      </c>
      <c r="D20" s="555"/>
      <c r="E20" s="556" t="s">
        <v>3429</v>
      </c>
      <c r="F20" s="557"/>
      <c r="G20" s="558" t="s">
        <v>3429</v>
      </c>
      <c r="H20" s="555"/>
      <c r="I20" s="556" t="s">
        <v>3429</v>
      </c>
      <c r="J20" s="555"/>
      <c r="K20" s="870"/>
      <c r="L20" s="2127"/>
      <c r="M20" s="2119"/>
      <c r="N20" s="2119"/>
      <c r="O20" s="2126"/>
      <c r="P20" s="3455"/>
      <c r="Q20" s="1558"/>
      <c r="R20" s="1559"/>
      <c r="S20" s="1560"/>
      <c r="T20" s="1559"/>
      <c r="U20" s="1560"/>
      <c r="V20" s="1559"/>
      <c r="W20" s="1560"/>
      <c r="X20" s="1553"/>
      <c r="Y20" s="3455"/>
      <c r="Z20" s="1561"/>
      <c r="AA20" s="1562">
        <v>1</v>
      </c>
      <c r="AB20" s="1562">
        <v>1</v>
      </c>
      <c r="AC20" s="1562">
        <v>1</v>
      </c>
    </row>
    <row r="21" spans="1:29" ht="15">
      <c r="A21" s="532"/>
      <c r="B21" s="2557" t="s">
        <v>2556</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2</v>
      </c>
      <c r="L21" s="2127"/>
      <c r="M21" s="2119"/>
      <c r="N21" s="2119"/>
      <c r="O21" s="2126"/>
      <c r="P21" s="3455"/>
      <c r="Q21" s="2543" t="str">
        <f>B21</f>
        <v>基础设施水平</v>
      </c>
      <c r="R21" s="1559" t="s">
        <v>11</v>
      </c>
      <c r="S21" s="1560">
        <f>F21</f>
        <v>100</v>
      </c>
      <c r="T21" s="1559" t="s">
        <v>11</v>
      </c>
      <c r="U21" s="1560">
        <f>H21</f>
        <v>100</v>
      </c>
      <c r="V21" s="1559" t="s">
        <v>11</v>
      </c>
      <c r="W21" s="1560">
        <f>J21</f>
        <v>100</v>
      </c>
      <c r="X21" s="2545"/>
      <c r="Y21" s="3455"/>
      <c r="Z21" s="2544" t="str">
        <f>Q21</f>
        <v>基础设施水平</v>
      </c>
      <c r="AA21" s="1562">
        <f t="shared" ref="AA21" si="8">D21/F21</f>
        <v>1</v>
      </c>
      <c r="AB21" s="1562">
        <f t="shared" ref="AB21" si="9">D21/H21</f>
        <v>1</v>
      </c>
      <c r="AC21" s="1562">
        <f t="shared" ref="AC21" si="10">D21/J21</f>
        <v>1</v>
      </c>
    </row>
    <row r="22" spans="1:29" ht="15">
      <c r="A22" s="532"/>
      <c r="B22" s="921"/>
      <c r="C22" s="873" t="s">
        <v>3426</v>
      </c>
      <c r="D22" s="555"/>
      <c r="E22" s="873" t="s">
        <v>3426</v>
      </c>
      <c r="F22" s="557"/>
      <c r="G22" s="873" t="s">
        <v>3426</v>
      </c>
      <c r="H22" s="555"/>
      <c r="I22" s="873" t="s">
        <v>3426</v>
      </c>
      <c r="J22" s="555"/>
      <c r="K22" s="2563"/>
      <c r="L22" s="2127"/>
      <c r="M22" s="2119"/>
      <c r="N22" s="2119"/>
      <c r="O22" s="2126"/>
      <c r="P22" s="3455"/>
      <c r="Q22" s="2543"/>
      <c r="R22" s="1559"/>
      <c r="S22" s="1560"/>
      <c r="T22" s="1559"/>
      <c r="U22" s="1560"/>
      <c r="V22" s="1559"/>
      <c r="W22" s="1560"/>
      <c r="X22" s="2545"/>
      <c r="Y22" s="3455"/>
      <c r="Z22" s="2544"/>
      <c r="AA22" s="1562">
        <v>1</v>
      </c>
      <c r="AB22" s="1562">
        <v>1</v>
      </c>
      <c r="AC22" s="1562">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103</v>
      </c>
      <c r="I23" s="562"/>
      <c r="J23" s="559">
        <f>SUMIF(84:84,I24,85:85)-SUMIF(84:84,C24,85:85)+100</f>
        <v>100</v>
      </c>
      <c r="K23" s="868">
        <v>3</v>
      </c>
      <c r="L23" s="2127"/>
      <c r="M23" s="2119"/>
      <c r="N23" s="2119"/>
      <c r="O23" s="2126"/>
      <c r="P23" s="3455"/>
      <c r="Q23" s="1558" t="str">
        <f>B23</f>
        <v>自然及人文环境</v>
      </c>
      <c r="R23" s="1559" t="s">
        <v>11</v>
      </c>
      <c r="S23" s="1560">
        <f>F23</f>
        <v>100</v>
      </c>
      <c r="T23" s="1559" t="s">
        <v>11</v>
      </c>
      <c r="U23" s="1560">
        <f>H23</f>
        <v>103</v>
      </c>
      <c r="V23" s="1559" t="s">
        <v>11</v>
      </c>
      <c r="W23" s="1560">
        <f>J23</f>
        <v>100</v>
      </c>
      <c r="X23" s="1553"/>
      <c r="Y23" s="3455"/>
      <c r="Z23" s="1561" t="str">
        <f>Q23</f>
        <v>自然及人文环境</v>
      </c>
      <c r="AA23" s="1562">
        <f t="shared" si="3"/>
        <v>1</v>
      </c>
      <c r="AB23" s="1562">
        <f t="shared" si="4"/>
        <v>0.970873786407767</v>
      </c>
      <c r="AC23" s="1562">
        <f t="shared" si="5"/>
        <v>1</v>
      </c>
    </row>
    <row r="24" spans="1:29" ht="15">
      <c r="A24" s="532"/>
      <c r="B24" s="595"/>
      <c r="C24" s="576" t="s">
        <v>3423</v>
      </c>
      <c r="D24" s="555"/>
      <c r="E24" s="556" t="s">
        <v>3423</v>
      </c>
      <c r="F24" s="557"/>
      <c r="G24" s="556" t="s">
        <v>3429</v>
      </c>
      <c r="H24" s="555"/>
      <c r="I24" s="556" t="s">
        <v>3423</v>
      </c>
      <c r="J24" s="555"/>
      <c r="K24" s="870"/>
      <c r="L24" s="2127"/>
      <c r="M24" s="2119"/>
      <c r="N24" s="2119"/>
      <c r="O24" s="2126"/>
      <c r="P24" s="3455"/>
      <c r="Q24" s="1558"/>
      <c r="R24" s="1559"/>
      <c r="S24" s="1560"/>
      <c r="T24" s="1559"/>
      <c r="U24" s="1560"/>
      <c r="V24" s="1559"/>
      <c r="W24" s="1560"/>
      <c r="X24" s="1553"/>
      <c r="Y24" s="3455"/>
      <c r="Z24" s="1561"/>
      <c r="AA24" s="1562">
        <v>1</v>
      </c>
      <c r="AB24" s="1562">
        <v>1</v>
      </c>
      <c r="AC24" s="1562">
        <v>1</v>
      </c>
    </row>
    <row r="25" spans="1:29" ht="15">
      <c r="A25" s="532"/>
      <c r="B25" s="1880" t="s">
        <v>2254</v>
      </c>
      <c r="C25" s="574"/>
      <c r="D25" s="540">
        <v>100</v>
      </c>
      <c r="E25" s="874"/>
      <c r="F25" s="575">
        <f>SUMIF(86:86,E25,87:87)-SUMIF(86:86,C25,87:87)+100</f>
        <v>100</v>
      </c>
      <c r="G25" s="599"/>
      <c r="H25" s="540">
        <f>SUMIF(86:86,G25,87:87)-SUMIF(86:86,C25,87:87)+100</f>
        <v>100</v>
      </c>
      <c r="I25" s="874"/>
      <c r="J25" s="540">
        <f>SUMIF(86:86,I25,87:87)-SUMIF(86:86,C25,87:87)+100</f>
        <v>100</v>
      </c>
      <c r="K25" s="864">
        <v>2</v>
      </c>
      <c r="L25" s="2127"/>
      <c r="M25" s="2119"/>
      <c r="N25" s="2119"/>
      <c r="O25" s="2126"/>
      <c r="P25" s="3455"/>
      <c r="Q25" s="1558" t="str">
        <f t="shared" ref="Q25:Q46" si="11">B25</f>
        <v>楼层-1</v>
      </c>
      <c r="R25" s="1559" t="s">
        <v>11</v>
      </c>
      <c r="S25" s="1560">
        <f>F25</f>
        <v>100</v>
      </c>
      <c r="T25" s="1559" t="s">
        <v>11</v>
      </c>
      <c r="U25" s="1560">
        <f>H25</f>
        <v>100</v>
      </c>
      <c r="V25" s="1559" t="s">
        <v>11</v>
      </c>
      <c r="W25" s="1560">
        <f>J25</f>
        <v>100</v>
      </c>
      <c r="X25" s="1553"/>
      <c r="Y25" s="3455"/>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2</v>
      </c>
      <c r="L26" s="2127"/>
      <c r="M26" s="2119"/>
      <c r="N26" s="2119"/>
      <c r="O26" s="2126"/>
      <c r="P26" s="3455"/>
      <c r="Q26" s="1558" t="str">
        <f t="shared" si="11"/>
        <v>朝向</v>
      </c>
      <c r="R26" s="1559" t="s">
        <v>11</v>
      </c>
      <c r="S26" s="1560">
        <f>F26</f>
        <v>100</v>
      </c>
      <c r="T26" s="1559" t="s">
        <v>11</v>
      </c>
      <c r="U26" s="1560">
        <f>H26</f>
        <v>100</v>
      </c>
      <c r="V26" s="1559" t="s">
        <v>11</v>
      </c>
      <c r="W26" s="1560">
        <f>J26</f>
        <v>100</v>
      </c>
      <c r="X26" s="1553"/>
      <c r="Y26" s="3455"/>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55"/>
      <c r="Q27" s="1146" t="str">
        <f t="shared" si="11"/>
        <v>道路级别</v>
      </c>
      <c r="R27" s="1554" t="s">
        <v>11</v>
      </c>
      <c r="S27" s="1555">
        <f>F27</f>
        <v>100</v>
      </c>
      <c r="T27" s="1554" t="s">
        <v>11</v>
      </c>
      <c r="U27" s="1555">
        <f>H27</f>
        <v>100</v>
      </c>
      <c r="V27" s="1554" t="s">
        <v>11</v>
      </c>
      <c r="W27" s="1555">
        <f>J27</f>
        <v>100</v>
      </c>
      <c r="X27" s="1556"/>
      <c r="Y27" s="3455"/>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55"/>
      <c r="Q28" s="1558">
        <f t="shared" si="11"/>
        <v>111</v>
      </c>
      <c r="R28" s="1559" t="s">
        <v>11</v>
      </c>
      <c r="S28" s="1560">
        <f t="shared" ref="S28:S46" si="12">F28</f>
        <v>100</v>
      </c>
      <c r="T28" s="1559" t="s">
        <v>11</v>
      </c>
      <c r="U28" s="1560">
        <f t="shared" ref="U28:U46" si="13">H28</f>
        <v>100</v>
      </c>
      <c r="V28" s="1559" t="s">
        <v>11</v>
      </c>
      <c r="W28" s="1560">
        <f t="shared" ref="W28:W46" si="14">J28</f>
        <v>100</v>
      </c>
      <c r="X28" s="1553"/>
      <c r="Y28" s="3455"/>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55"/>
      <c r="Q29" s="1558">
        <f t="shared" si="11"/>
        <v>111</v>
      </c>
      <c r="R29" s="1559" t="s">
        <v>11</v>
      </c>
      <c r="S29" s="1560">
        <f t="shared" si="12"/>
        <v>100</v>
      </c>
      <c r="T29" s="1559" t="s">
        <v>11</v>
      </c>
      <c r="U29" s="1560">
        <f t="shared" si="13"/>
        <v>100</v>
      </c>
      <c r="V29" s="1559" t="s">
        <v>11</v>
      </c>
      <c r="W29" s="1560">
        <f t="shared" si="14"/>
        <v>100</v>
      </c>
      <c r="X29" s="1553"/>
      <c r="Y29" s="3455"/>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55"/>
      <c r="Q30" s="1558">
        <f t="shared" si="11"/>
        <v>111</v>
      </c>
      <c r="R30" s="1559" t="s">
        <v>11</v>
      </c>
      <c r="S30" s="1560">
        <f t="shared" si="12"/>
        <v>100</v>
      </c>
      <c r="T30" s="1559" t="s">
        <v>11</v>
      </c>
      <c r="U30" s="1560">
        <f t="shared" si="13"/>
        <v>100</v>
      </c>
      <c r="V30" s="1559" t="s">
        <v>11</v>
      </c>
      <c r="W30" s="1560">
        <f t="shared" si="14"/>
        <v>100</v>
      </c>
      <c r="X30" s="1553"/>
      <c r="Y30" s="3455"/>
      <c r="Z30" s="1561">
        <f t="shared" si="15"/>
        <v>111</v>
      </c>
      <c r="AA30" s="1562">
        <f t="shared" si="3"/>
        <v>1</v>
      </c>
      <c r="AB30" s="1562">
        <f t="shared" si="4"/>
        <v>1</v>
      </c>
      <c r="AC30" s="1562">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55"/>
      <c r="Q31" s="1558">
        <f t="shared" si="11"/>
        <v>111</v>
      </c>
      <c r="R31" s="1559" t="s">
        <v>11</v>
      </c>
      <c r="S31" s="1560">
        <f t="shared" si="12"/>
        <v>100</v>
      </c>
      <c r="T31" s="1559" t="s">
        <v>11</v>
      </c>
      <c r="U31" s="1560">
        <f t="shared" si="13"/>
        <v>100</v>
      </c>
      <c r="V31" s="1559" t="s">
        <v>11</v>
      </c>
      <c r="W31" s="1560">
        <f t="shared" si="14"/>
        <v>100</v>
      </c>
      <c r="X31" s="1553"/>
      <c r="Y31" s="3455"/>
      <c r="Z31" s="1561">
        <f t="shared" si="15"/>
        <v>111</v>
      </c>
      <c r="AA31" s="1562">
        <f t="shared" si="3"/>
        <v>1</v>
      </c>
      <c r="AB31" s="1562">
        <f t="shared" si="4"/>
        <v>1</v>
      </c>
      <c r="AC31" s="1562">
        <f t="shared" si="5"/>
        <v>1</v>
      </c>
    </row>
    <row r="32" spans="1:29" ht="15">
      <c r="A32" s="2862" t="s">
        <v>2752</v>
      </c>
      <c r="B32" s="172" t="s">
        <v>725</v>
      </c>
      <c r="C32" s="878" t="s">
        <v>3507</v>
      </c>
      <c r="D32" s="597">
        <v>100</v>
      </c>
      <c r="E32" s="878" t="s">
        <v>3507</v>
      </c>
      <c r="F32" s="575">
        <f>SUMIF(100:100,E32,101:101)-SUMIF(100:100,C32,101:101)+100</f>
        <v>100</v>
      </c>
      <c r="G32" s="878" t="s">
        <v>3507</v>
      </c>
      <c r="H32" s="597">
        <f>SUMIF(100:100,G32,101:101)-SUMIF(100:100,C32,101:101)+100</f>
        <v>100</v>
      </c>
      <c r="I32" s="878" t="s">
        <v>3507</v>
      </c>
      <c r="J32" s="540">
        <f>SUMIF(100:100,I32,101:101)-SUMIF(100:100,C32,101:101)+100</f>
        <v>100</v>
      </c>
      <c r="K32" s="864">
        <v>2</v>
      </c>
      <c r="L32" s="2127"/>
      <c r="M32" s="2119"/>
      <c r="N32" s="2119"/>
      <c r="O32" s="2126"/>
      <c r="P32" s="3459" t="s">
        <v>550</v>
      </c>
      <c r="Q32" s="1558" t="str">
        <f t="shared" si="11"/>
        <v>建筑类型</v>
      </c>
      <c r="R32" s="1559" t="s">
        <v>11</v>
      </c>
      <c r="S32" s="1560">
        <f t="shared" si="12"/>
        <v>100</v>
      </c>
      <c r="T32" s="1559" t="s">
        <v>11</v>
      </c>
      <c r="U32" s="1560">
        <f t="shared" si="13"/>
        <v>100</v>
      </c>
      <c r="V32" s="1559" t="s">
        <v>11</v>
      </c>
      <c r="W32" s="1560">
        <f t="shared" si="14"/>
        <v>100</v>
      </c>
      <c r="X32" s="1553"/>
      <c r="Y32" s="3460" t="s">
        <v>550</v>
      </c>
      <c r="Z32" s="1561" t="str">
        <f t="shared" si="15"/>
        <v>建筑类型</v>
      </c>
      <c r="AA32" s="1562">
        <f t="shared" si="3"/>
        <v>1</v>
      </c>
      <c r="AB32" s="1562">
        <f t="shared" si="4"/>
        <v>1</v>
      </c>
      <c r="AC32" s="1562">
        <f t="shared" si="5"/>
        <v>1</v>
      </c>
    </row>
    <row r="33" spans="1:29" s="1334" customFormat="1" ht="15">
      <c r="A33" s="603"/>
      <c r="B33" s="527" t="s">
        <v>726</v>
      </c>
      <c r="C33" s="879">
        <f>面积表!D12</f>
        <v>781032</v>
      </c>
      <c r="D33" s="255">
        <v>100</v>
      </c>
      <c r="E33" s="534">
        <v>252497</v>
      </c>
      <c r="F33" s="863">
        <f>LOOKUP(E33,103:103,104:104)-LOOKUP(C33,103:103,104:104)+100</f>
        <v>98</v>
      </c>
      <c r="G33" s="533">
        <v>731400</v>
      </c>
      <c r="H33" s="255">
        <f>LOOKUP(G33,103:103,104:104)-LOOKUP(C33,103:103,104:104)+100</f>
        <v>100</v>
      </c>
      <c r="I33" s="534">
        <v>400000</v>
      </c>
      <c r="J33" s="255">
        <f>LOOKUP(I33,103:103,104:104)-LOOKUP(C33,103:103,104:104)+100</f>
        <v>100</v>
      </c>
      <c r="K33" s="865"/>
      <c r="L33" s="2125"/>
      <c r="M33" s="2156"/>
      <c r="N33" s="2156"/>
      <c r="O33" s="2128"/>
      <c r="P33" s="3460"/>
      <c r="Q33" s="1590" t="str">
        <f t="shared" si="11"/>
        <v>项目建筑规模</v>
      </c>
      <c r="R33" s="1563" t="s">
        <v>11</v>
      </c>
      <c r="S33" s="1564">
        <f t="shared" si="12"/>
        <v>98</v>
      </c>
      <c r="T33" s="1563" t="s">
        <v>11</v>
      </c>
      <c r="U33" s="1564">
        <f t="shared" si="13"/>
        <v>100</v>
      </c>
      <c r="V33" s="1563" t="s">
        <v>11</v>
      </c>
      <c r="W33" s="1564">
        <f t="shared" si="14"/>
        <v>100</v>
      </c>
      <c r="X33" s="1565"/>
      <c r="Y33" s="3460"/>
      <c r="Z33" s="1566" t="str">
        <f t="shared" si="15"/>
        <v>项目建筑规模</v>
      </c>
      <c r="AA33" s="1562">
        <f t="shared" si="3"/>
        <v>1.0204081632653061</v>
      </c>
      <c r="AB33" s="1562">
        <f t="shared" si="4"/>
        <v>1</v>
      </c>
      <c r="AC33" s="1562">
        <f t="shared" si="5"/>
        <v>1</v>
      </c>
    </row>
    <row r="34" spans="1:29" ht="15">
      <c r="A34" s="594"/>
      <c r="B34" s="527" t="s">
        <v>727</v>
      </c>
      <c r="C34" s="880" t="s">
        <v>3437</v>
      </c>
      <c r="D34" s="540">
        <v>100</v>
      </c>
      <c r="E34" s="880" t="s">
        <v>3437</v>
      </c>
      <c r="F34" s="575">
        <f>SUMIF(105:105,E34,106:106)-SUMIF(105:105,C34,106:106)+100</f>
        <v>100</v>
      </c>
      <c r="G34" s="880" t="s">
        <v>3437</v>
      </c>
      <c r="H34" s="540">
        <f>SUMIF(105:105,G34,106:106)-SUMIF(105:105,C34,106:106)+100</f>
        <v>100</v>
      </c>
      <c r="I34" s="880" t="s">
        <v>3437</v>
      </c>
      <c r="J34" s="540">
        <f>SUMIF(105:105,I34,106:106)-SUMIF(105:105,C34,106:106)+100</f>
        <v>100</v>
      </c>
      <c r="K34" s="864">
        <v>2</v>
      </c>
      <c r="L34" s="2127"/>
      <c r="M34" s="2119"/>
      <c r="N34" s="2119"/>
      <c r="O34" s="2126"/>
      <c r="P34" s="3460"/>
      <c r="Q34" s="1558" t="str">
        <f t="shared" si="11"/>
        <v>建筑结构</v>
      </c>
      <c r="R34" s="1559" t="s">
        <v>11</v>
      </c>
      <c r="S34" s="1560">
        <f t="shared" si="12"/>
        <v>100</v>
      </c>
      <c r="T34" s="1559" t="s">
        <v>11</v>
      </c>
      <c r="U34" s="1560">
        <f t="shared" si="13"/>
        <v>100</v>
      </c>
      <c r="V34" s="1559" t="s">
        <v>11</v>
      </c>
      <c r="W34" s="1560">
        <f t="shared" si="14"/>
        <v>100</v>
      </c>
      <c r="X34" s="1553"/>
      <c r="Y34" s="3460"/>
      <c r="Z34" s="1561" t="str">
        <f t="shared" si="15"/>
        <v>建筑结构</v>
      </c>
      <c r="AA34" s="1562">
        <f t="shared" si="3"/>
        <v>1</v>
      </c>
      <c r="AB34" s="1562">
        <f t="shared" si="4"/>
        <v>1</v>
      </c>
      <c r="AC34" s="1562">
        <f t="shared" si="5"/>
        <v>1</v>
      </c>
    </row>
    <row r="35" spans="1:29" ht="15">
      <c r="A35" s="594"/>
      <c r="B35" s="527" t="s">
        <v>728</v>
      </c>
      <c r="C35" s="599" t="s">
        <v>3511</v>
      </c>
      <c r="D35" s="540">
        <v>100</v>
      </c>
      <c r="E35" s="599" t="s">
        <v>3511</v>
      </c>
      <c r="F35" s="575">
        <f>SUMIF(107:107,E35,108:108)-SUMIF(107:107,C35,108:108)+100</f>
        <v>100</v>
      </c>
      <c r="G35" s="599" t="s">
        <v>3511</v>
      </c>
      <c r="H35" s="540">
        <f>SUMIF(107:107,G35,108:108)-SUMIF(107:107,C35,108:108)+100</f>
        <v>100</v>
      </c>
      <c r="I35" s="599" t="s">
        <v>3511</v>
      </c>
      <c r="J35" s="540">
        <f>SUMIF(107:107,I35,108:108)-SUMIF(107:107,C35,108:108)+100</f>
        <v>100</v>
      </c>
      <c r="K35" s="864">
        <v>2</v>
      </c>
      <c r="L35" s="2127"/>
      <c r="M35" s="2119"/>
      <c r="N35" s="2119"/>
      <c r="O35" s="2126"/>
      <c r="P35" s="3460"/>
      <c r="Q35" s="1558" t="str">
        <f t="shared" si="11"/>
        <v>建筑品质</v>
      </c>
      <c r="R35" s="1559" t="s">
        <v>11</v>
      </c>
      <c r="S35" s="1560">
        <f t="shared" si="12"/>
        <v>100</v>
      </c>
      <c r="T35" s="1559" t="s">
        <v>11</v>
      </c>
      <c r="U35" s="1560">
        <f t="shared" si="13"/>
        <v>100</v>
      </c>
      <c r="V35" s="1559" t="s">
        <v>11</v>
      </c>
      <c r="W35" s="1560">
        <f t="shared" si="14"/>
        <v>100</v>
      </c>
      <c r="X35" s="1553"/>
      <c r="Y35" s="3460"/>
      <c r="Z35" s="1561" t="str">
        <f t="shared" si="15"/>
        <v>建筑品质</v>
      </c>
      <c r="AA35" s="1562">
        <f t="shared" si="3"/>
        <v>1</v>
      </c>
      <c r="AB35" s="1562">
        <f t="shared" si="4"/>
        <v>1</v>
      </c>
      <c r="AC35" s="1562">
        <f t="shared" si="5"/>
        <v>1</v>
      </c>
    </row>
    <row r="36" spans="1:29" ht="15">
      <c r="A36" s="594"/>
      <c r="B36" s="527" t="s">
        <v>729</v>
      </c>
      <c r="C36" s="599" t="s">
        <v>3456</v>
      </c>
      <c r="D36" s="540">
        <v>100</v>
      </c>
      <c r="E36" s="599" t="s">
        <v>3456</v>
      </c>
      <c r="F36" s="575">
        <f>SUMIF(109:109,E36,110:110)-SUMIF(109:109,C36,110:110)+100</f>
        <v>100</v>
      </c>
      <c r="G36" s="599" t="s">
        <v>3456</v>
      </c>
      <c r="H36" s="540">
        <f>SUMIF(109:109,G36,110:110)-SUMIF(109:109,C36,110:110)+100</f>
        <v>100</v>
      </c>
      <c r="I36" s="599" t="s">
        <v>3456</v>
      </c>
      <c r="J36" s="540">
        <f>SUMIF(109:109,I36,110:110)-SUMIF(109:109,C36,110:110)+100</f>
        <v>100</v>
      </c>
      <c r="K36" s="864">
        <v>2</v>
      </c>
      <c r="L36" s="2127"/>
      <c r="M36" s="2119"/>
      <c r="N36" s="2119"/>
      <c r="O36" s="2126"/>
      <c r="P36" s="3460"/>
      <c r="Q36" s="1558" t="str">
        <f t="shared" si="11"/>
        <v>公共部分装修</v>
      </c>
      <c r="R36" s="1559" t="s">
        <v>11</v>
      </c>
      <c r="S36" s="1560">
        <f t="shared" si="12"/>
        <v>100</v>
      </c>
      <c r="T36" s="1559" t="s">
        <v>11</v>
      </c>
      <c r="U36" s="1560">
        <f t="shared" si="13"/>
        <v>100</v>
      </c>
      <c r="V36" s="1559" t="s">
        <v>11</v>
      </c>
      <c r="W36" s="1560">
        <f t="shared" si="14"/>
        <v>100</v>
      </c>
      <c r="X36" s="1553"/>
      <c r="Y36" s="3460"/>
      <c r="Z36" s="1561" t="str">
        <f t="shared" si="15"/>
        <v>公共部分装修</v>
      </c>
      <c r="AA36" s="1562">
        <f t="shared" si="3"/>
        <v>1</v>
      </c>
      <c r="AB36" s="1562">
        <f t="shared" si="4"/>
        <v>1</v>
      </c>
      <c r="AC36" s="1562">
        <f t="shared" si="5"/>
        <v>1</v>
      </c>
    </row>
    <row r="37" spans="1:29" s="1215" customFormat="1" ht="15">
      <c r="A37" s="600"/>
      <c r="B37" s="527" t="s">
        <v>730</v>
      </c>
      <c r="C37" s="882">
        <v>1</v>
      </c>
      <c r="D37" s="255">
        <v>100</v>
      </c>
      <c r="E37" s="883">
        <f>C37</f>
        <v>1</v>
      </c>
      <c r="F37" s="863">
        <f>LOOKUP(E37,112:112,113:113)-LOOKUP(C37,112:112,113:113)+100</f>
        <v>100</v>
      </c>
      <c r="G37" s="884">
        <f>C37</f>
        <v>1</v>
      </c>
      <c r="H37" s="255">
        <f>LOOKUP(G37,112:112,113:113)-LOOKUP(C37,112:112,113:113)+100</f>
        <v>100</v>
      </c>
      <c r="I37" s="883">
        <f>C37</f>
        <v>1</v>
      </c>
      <c r="J37" s="255">
        <f>LOOKUP(I37,112:112,113:113)-LOOKUP(C37,112:112,113:113)+100</f>
        <v>100</v>
      </c>
      <c r="K37" s="864">
        <v>2</v>
      </c>
      <c r="L37" s="2120"/>
      <c r="M37" s="2121"/>
      <c r="N37" s="2121"/>
      <c r="O37" s="2122"/>
      <c r="P37" s="3460"/>
      <c r="Q37" s="1146" t="str">
        <f t="shared" si="11"/>
        <v>成新度</v>
      </c>
      <c r="R37" s="1554" t="s">
        <v>11</v>
      </c>
      <c r="S37" s="1555">
        <f t="shared" si="12"/>
        <v>100</v>
      </c>
      <c r="T37" s="1554" t="s">
        <v>11</v>
      </c>
      <c r="U37" s="1555">
        <f t="shared" si="13"/>
        <v>100</v>
      </c>
      <c r="V37" s="1554" t="s">
        <v>11</v>
      </c>
      <c r="W37" s="1555">
        <f t="shared" si="14"/>
        <v>100</v>
      </c>
      <c r="X37" s="1556"/>
      <c r="Y37" s="3460"/>
      <c r="Z37" s="1145" t="str">
        <f t="shared" si="15"/>
        <v>成新度</v>
      </c>
      <c r="AA37" s="1557">
        <f t="shared" si="3"/>
        <v>1</v>
      </c>
      <c r="AB37" s="1557">
        <f t="shared" si="4"/>
        <v>1</v>
      </c>
      <c r="AC37" s="1557">
        <f t="shared" si="5"/>
        <v>1</v>
      </c>
    </row>
    <row r="38" spans="1:29" ht="15">
      <c r="A38" s="594"/>
      <c r="B38" s="527" t="s">
        <v>731</v>
      </c>
      <c r="C38" s="599" t="s">
        <v>3516</v>
      </c>
      <c r="D38" s="540">
        <v>100</v>
      </c>
      <c r="E38" s="599" t="s">
        <v>3516</v>
      </c>
      <c r="F38" s="575">
        <f>SUMIF(114:114,E38,115:115)-SUMIF(114:114,C38,115:115)+100</f>
        <v>100</v>
      </c>
      <c r="G38" s="599" t="s">
        <v>3516</v>
      </c>
      <c r="H38" s="540">
        <f>SUMIF(114:114,G38,115:115)-SUMIF(114:114,C38,115:115)+100</f>
        <v>100</v>
      </c>
      <c r="I38" s="599" t="s">
        <v>3516</v>
      </c>
      <c r="J38" s="540">
        <f>SUMIF(114:114,I38,115:115)-SUMIF(114:114,C38,115:115)+100</f>
        <v>100</v>
      </c>
      <c r="K38" s="864">
        <v>2</v>
      </c>
      <c r="L38" s="2127"/>
      <c r="M38" s="2119"/>
      <c r="N38" s="2119"/>
      <c r="O38" s="2126"/>
      <c r="P38" s="3460" t="s">
        <v>550</v>
      </c>
      <c r="Q38" s="1558" t="str">
        <f t="shared" si="11"/>
        <v>物业管理</v>
      </c>
      <c r="R38" s="1559" t="s">
        <v>11</v>
      </c>
      <c r="S38" s="1560">
        <f t="shared" si="12"/>
        <v>100</v>
      </c>
      <c r="T38" s="1559" t="s">
        <v>11</v>
      </c>
      <c r="U38" s="1560">
        <f t="shared" si="13"/>
        <v>100</v>
      </c>
      <c r="V38" s="1559" t="s">
        <v>11</v>
      </c>
      <c r="W38" s="1560">
        <f t="shared" si="14"/>
        <v>100</v>
      </c>
      <c r="X38" s="1553"/>
      <c r="Y38" s="3460" t="s">
        <v>550</v>
      </c>
      <c r="Z38" s="1561" t="str">
        <f t="shared" si="15"/>
        <v>物业管理</v>
      </c>
      <c r="AA38" s="1562">
        <f t="shared" si="3"/>
        <v>1</v>
      </c>
      <c r="AB38" s="1562">
        <f t="shared" si="4"/>
        <v>1</v>
      </c>
      <c r="AC38" s="1562">
        <f t="shared" si="5"/>
        <v>1</v>
      </c>
    </row>
    <row r="39" spans="1:29" ht="15">
      <c r="A39" s="594"/>
      <c r="B39" s="1880" t="s">
        <v>2562</v>
      </c>
      <c r="C39" s="599" t="s">
        <v>3445</v>
      </c>
      <c r="D39" s="540">
        <v>100</v>
      </c>
      <c r="E39" s="599" t="s">
        <v>3445</v>
      </c>
      <c r="F39" s="575">
        <f>SUMIF(116:116,E39,117:117)-SUMIF(116:116,C39,117:117)+100</f>
        <v>100</v>
      </c>
      <c r="G39" s="599" t="s">
        <v>3445</v>
      </c>
      <c r="H39" s="540">
        <f>SUMIF(116:116,G39,117:117)-SUMIF(116:116,C39,117:117)+100</f>
        <v>100</v>
      </c>
      <c r="I39" s="599" t="s">
        <v>3445</v>
      </c>
      <c r="J39" s="540">
        <f>SUMIF(116:116,I39,117:117)-SUMIF(116:116,C39,117:117)+100</f>
        <v>100</v>
      </c>
      <c r="K39" s="864">
        <v>2</v>
      </c>
      <c r="L39" s="2127"/>
      <c r="M39" s="2119"/>
      <c r="N39" s="2119"/>
      <c r="O39" s="2126"/>
      <c r="P39" s="3460"/>
      <c r="Q39" s="1558" t="str">
        <f t="shared" si="11"/>
        <v>市政基础设施</v>
      </c>
      <c r="R39" s="1559" t="s">
        <v>11</v>
      </c>
      <c r="S39" s="1560">
        <f t="shared" si="12"/>
        <v>100</v>
      </c>
      <c r="T39" s="1559" t="s">
        <v>11</v>
      </c>
      <c r="U39" s="1560">
        <f t="shared" si="13"/>
        <v>100</v>
      </c>
      <c r="V39" s="1559" t="s">
        <v>11</v>
      </c>
      <c r="W39" s="1560">
        <f t="shared" si="14"/>
        <v>100</v>
      </c>
      <c r="X39" s="1553"/>
      <c r="Y39" s="3460"/>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7"/>
      <c r="M40" s="2119"/>
      <c r="N40" s="2119"/>
      <c r="O40" s="2126"/>
      <c r="P40" s="3460"/>
      <c r="Q40" s="1558" t="str">
        <f t="shared" si="11"/>
        <v>房型</v>
      </c>
      <c r="R40" s="1559" t="s">
        <v>11</v>
      </c>
      <c r="S40" s="1560">
        <f t="shared" si="12"/>
        <v>100</v>
      </c>
      <c r="T40" s="1559" t="s">
        <v>11</v>
      </c>
      <c r="U40" s="1560">
        <f t="shared" si="13"/>
        <v>100</v>
      </c>
      <c r="V40" s="1559" t="s">
        <v>11</v>
      </c>
      <c r="W40" s="1560">
        <f t="shared" si="14"/>
        <v>100</v>
      </c>
      <c r="X40" s="1553"/>
      <c r="Y40" s="3460"/>
      <c r="Z40" s="1561" t="str">
        <f t="shared" si="15"/>
        <v>房型</v>
      </c>
      <c r="AA40" s="1562">
        <f t="shared" si="3"/>
        <v>1</v>
      </c>
      <c r="AB40" s="1562">
        <f t="shared" si="4"/>
        <v>1</v>
      </c>
      <c r="AC40" s="1562">
        <f t="shared" si="5"/>
        <v>1</v>
      </c>
    </row>
    <row r="41" spans="1:29" s="1334" customFormat="1" ht="28.8">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60"/>
      <c r="Q41" s="1590" t="str">
        <f t="shared" si="11"/>
        <v>单套/主力户型建筑面积</v>
      </c>
      <c r="R41" s="1563" t="s">
        <v>11</v>
      </c>
      <c r="S41" s="1564">
        <f t="shared" si="12"/>
        <v>100</v>
      </c>
      <c r="T41" s="1563" t="s">
        <v>11</v>
      </c>
      <c r="U41" s="1564">
        <f t="shared" si="13"/>
        <v>100</v>
      </c>
      <c r="V41" s="1563" t="s">
        <v>11</v>
      </c>
      <c r="W41" s="1564">
        <f t="shared" si="14"/>
        <v>100</v>
      </c>
      <c r="X41" s="1565"/>
      <c r="Y41" s="3460"/>
      <c r="Z41" s="1566" t="str">
        <f t="shared" si="15"/>
        <v>单套/主力户型建筑面积</v>
      </c>
      <c r="AA41" s="1562">
        <f t="shared" si="3"/>
        <v>1</v>
      </c>
      <c r="AB41" s="1562">
        <f t="shared" si="4"/>
        <v>1</v>
      </c>
      <c r="AC41" s="1562">
        <f t="shared" si="5"/>
        <v>1</v>
      </c>
    </row>
    <row r="42" spans="1:29" ht="15">
      <c r="A42" s="594"/>
      <c r="B42" s="527" t="s">
        <v>734</v>
      </c>
      <c r="C42" s="599" t="s">
        <v>3456</v>
      </c>
      <c r="D42" s="540">
        <v>100</v>
      </c>
      <c r="E42" s="874" t="s">
        <v>3456</v>
      </c>
      <c r="F42" s="575">
        <f>SUMIF(122:122,E42,123:123)-SUMIF(122:122,C42,123:123)+100</f>
        <v>100</v>
      </c>
      <c r="G42" s="599" t="s">
        <v>3460</v>
      </c>
      <c r="H42" s="540">
        <f>SUMIF(122:122,G42,123:123)-SUMIF(122:122,C42,123:123)+100</f>
        <v>91</v>
      </c>
      <c r="I42" s="3221" t="s">
        <v>3460</v>
      </c>
      <c r="J42" s="540">
        <f>SUMIF(122:122,I42,123:123)-SUMIF(122:122,C42,123:123)+100</f>
        <v>91</v>
      </c>
      <c r="K42" s="3223">
        <v>3</v>
      </c>
      <c r="L42" s="2127"/>
      <c r="M42" s="2119"/>
      <c r="N42" s="2119"/>
      <c r="O42" s="2126"/>
      <c r="P42" s="3460"/>
      <c r="Q42" s="1558" t="str">
        <f t="shared" si="11"/>
        <v>内部装修</v>
      </c>
      <c r="R42" s="1559" t="s">
        <v>11</v>
      </c>
      <c r="S42" s="1560">
        <f t="shared" si="12"/>
        <v>100</v>
      </c>
      <c r="T42" s="1559" t="s">
        <v>11</v>
      </c>
      <c r="U42" s="1560">
        <f t="shared" si="13"/>
        <v>91</v>
      </c>
      <c r="V42" s="1559" t="s">
        <v>11</v>
      </c>
      <c r="W42" s="1560">
        <f t="shared" si="14"/>
        <v>91</v>
      </c>
      <c r="X42" s="1553"/>
      <c r="Y42" s="3460"/>
      <c r="Z42" s="1561" t="str">
        <f t="shared" si="15"/>
        <v>内部装修</v>
      </c>
      <c r="AA42" s="1562">
        <f t="shared" si="3"/>
        <v>1</v>
      </c>
      <c r="AB42" s="1562">
        <f t="shared" si="4"/>
        <v>1.098901098901099</v>
      </c>
      <c r="AC42" s="1562">
        <f t="shared" si="5"/>
        <v>1.098901098901099</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27"/>
      <c r="M43" s="2119"/>
      <c r="N43" s="2119"/>
      <c r="O43" s="2126"/>
      <c r="P43" s="3460"/>
      <c r="Q43" s="1558" t="str">
        <f t="shared" si="11"/>
        <v>内部装修维护情况</v>
      </c>
      <c r="R43" s="1559" t="s">
        <v>11</v>
      </c>
      <c r="S43" s="1560">
        <f t="shared" si="12"/>
        <v>100</v>
      </c>
      <c r="T43" s="1559" t="s">
        <v>11</v>
      </c>
      <c r="U43" s="1560">
        <f t="shared" si="13"/>
        <v>100</v>
      </c>
      <c r="V43" s="1559" t="s">
        <v>11</v>
      </c>
      <c r="W43" s="1560">
        <f t="shared" si="14"/>
        <v>100</v>
      </c>
      <c r="X43" s="1553"/>
      <c r="Y43" s="3460"/>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20"/>
      <c r="M44" s="2121"/>
      <c r="N44" s="2121"/>
      <c r="O44" s="2122"/>
      <c r="P44" s="3460"/>
      <c r="Q44" s="1146">
        <f t="shared" si="11"/>
        <v>111</v>
      </c>
      <c r="R44" s="1554" t="s">
        <v>11</v>
      </c>
      <c r="S44" s="1555">
        <f t="shared" si="12"/>
        <v>100</v>
      </c>
      <c r="T44" s="1554" t="s">
        <v>11</v>
      </c>
      <c r="U44" s="1555">
        <f t="shared" si="13"/>
        <v>100</v>
      </c>
      <c r="V44" s="1554" t="s">
        <v>11</v>
      </c>
      <c r="W44" s="1555">
        <f t="shared" si="14"/>
        <v>100</v>
      </c>
      <c r="X44" s="1556"/>
      <c r="Y44" s="3460"/>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60"/>
      <c r="Q45" s="1558">
        <f t="shared" si="11"/>
        <v>111</v>
      </c>
      <c r="R45" s="1559" t="s">
        <v>11</v>
      </c>
      <c r="S45" s="1560">
        <f t="shared" si="12"/>
        <v>100</v>
      </c>
      <c r="T45" s="1559" t="s">
        <v>11</v>
      </c>
      <c r="U45" s="1560">
        <f t="shared" si="13"/>
        <v>100</v>
      </c>
      <c r="V45" s="1559" t="s">
        <v>11</v>
      </c>
      <c r="W45" s="1560">
        <f t="shared" si="14"/>
        <v>100</v>
      </c>
      <c r="X45" s="1553"/>
      <c r="Y45" s="3460"/>
      <c r="Z45" s="1561">
        <f t="shared" si="15"/>
        <v>111</v>
      </c>
      <c r="AA45" s="1562">
        <f t="shared" si="3"/>
        <v>1</v>
      </c>
      <c r="AB45" s="1562">
        <f t="shared" si="4"/>
        <v>1</v>
      </c>
      <c r="AC45" s="1562">
        <f t="shared" si="5"/>
        <v>1</v>
      </c>
    </row>
    <row r="46" spans="1:29" ht="15.6"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73"/>
      <c r="Q46" s="1558">
        <f t="shared" si="11"/>
        <v>111</v>
      </c>
      <c r="R46" s="1559" t="s">
        <v>10</v>
      </c>
      <c r="S46" s="1560">
        <f t="shared" si="12"/>
        <v>100</v>
      </c>
      <c r="T46" s="1559" t="s">
        <v>10</v>
      </c>
      <c r="U46" s="1560">
        <f t="shared" si="13"/>
        <v>100</v>
      </c>
      <c r="V46" s="1559" t="s">
        <v>10</v>
      </c>
      <c r="W46" s="1560">
        <f t="shared" si="14"/>
        <v>100</v>
      </c>
      <c r="X46" s="1553"/>
      <c r="Y46" s="3573"/>
      <c r="Z46" s="1561">
        <f t="shared" si="15"/>
        <v>111</v>
      </c>
      <c r="AA46" s="1562">
        <f t="shared" si="3"/>
        <v>1</v>
      </c>
      <c r="AB46" s="1562">
        <f t="shared" si="4"/>
        <v>1</v>
      </c>
      <c r="AC46" s="1562">
        <f t="shared" si="5"/>
        <v>1</v>
      </c>
    </row>
    <row r="47" spans="1:29" ht="14.4">
      <c r="A47" s="607" t="s">
        <v>736</v>
      </c>
      <c r="B47" s="886"/>
      <c r="C47" s="2591" t="s">
        <v>9</v>
      </c>
      <c r="D47" s="2592"/>
      <c r="E47" s="2593">
        <v>10300</v>
      </c>
      <c r="F47" s="2594"/>
      <c r="G47" s="3209">
        <v>9700</v>
      </c>
      <c r="H47" s="2596"/>
      <c r="I47" s="3222">
        <v>8500</v>
      </c>
      <c r="J47" s="2596"/>
      <c r="K47" s="1591"/>
      <c r="L47" s="2129"/>
      <c r="M47" s="2130"/>
      <c r="N47" s="2119"/>
      <c r="O47" s="2130"/>
      <c r="P47" s="3452" t="str">
        <f>A47</f>
        <v>成交单价（元/平方米）</v>
      </c>
      <c r="Q47" s="3452"/>
      <c r="R47" s="3572">
        <f>E47</f>
        <v>10300</v>
      </c>
      <c r="S47" s="3572"/>
      <c r="T47" s="3572">
        <f>G47</f>
        <v>9700</v>
      </c>
      <c r="U47" s="3572"/>
      <c r="V47" s="3572">
        <f>I47</f>
        <v>8500</v>
      </c>
      <c r="W47" s="3572"/>
      <c r="X47" s="1545"/>
      <c r="Y47" s="1567"/>
      <c r="Z47" s="1545"/>
      <c r="AA47" s="1545"/>
      <c r="AB47" s="1545"/>
      <c r="AC47" s="1545"/>
    </row>
    <row r="48" spans="1:29" ht="15" thickBot="1">
      <c r="A48" s="615" t="s">
        <v>2757</v>
      </c>
      <c r="B48" s="887"/>
      <c r="C48" s="2597">
        <f>R49</f>
        <v>9707</v>
      </c>
      <c r="D48" s="2598"/>
      <c r="E48" s="2599">
        <f>R48</f>
        <v>10004</v>
      </c>
      <c r="F48" s="2599"/>
      <c r="G48" s="2597">
        <f>T48</f>
        <v>10047</v>
      </c>
      <c r="H48" s="2598"/>
      <c r="I48" s="2599">
        <f>V48</f>
        <v>9069</v>
      </c>
      <c r="J48" s="2598"/>
      <c r="K48" s="1592"/>
      <c r="L48" s="2129"/>
      <c r="M48" s="2130"/>
      <c r="N48" s="2130"/>
      <c r="O48" s="2130"/>
      <c r="P48" s="3452" t="str">
        <f>A48</f>
        <v>比较价格（元/平方米）</v>
      </c>
      <c r="Q48" s="3452"/>
      <c r="R48" s="3572">
        <f>IF(F1="售价",ROUND(PRODUCT(R47,AA7:AA46),0),ROUND(PRODUCT(R47,AA7:AA46),1))</f>
        <v>10004</v>
      </c>
      <c r="S48" s="3572"/>
      <c r="T48" s="3572">
        <f>IF(F1="售价",ROUND(PRODUCT(T47,AB7:AB46),0),ROUND(PRODUCT(T47,AB7:AB46),1))</f>
        <v>10047</v>
      </c>
      <c r="U48" s="3572"/>
      <c r="V48" s="3572">
        <f>IF(F1="售价",ROUND(PRODUCT(V47,AC7:AC46),0),ROUND(PRODUCT(V47,AC7:AC46),1))</f>
        <v>9069</v>
      </c>
      <c r="W48" s="3572"/>
      <c r="X48" s="1545"/>
      <c r="Y48" s="1545"/>
      <c r="Z48" s="1545"/>
      <c r="AA48" s="1545"/>
      <c r="AB48" s="1545"/>
      <c r="AC48" s="1545"/>
    </row>
    <row r="49" spans="1:29" ht="15" thickBot="1">
      <c r="A49" s="621" t="s">
        <v>2929</v>
      </c>
      <c r="B49" s="622"/>
      <c r="C49" s="2600">
        <f>R49</f>
        <v>9707</v>
      </c>
      <c r="D49" s="2600"/>
      <c r="E49" s="2600"/>
      <c r="F49" s="2600"/>
      <c r="G49" s="2600"/>
      <c r="H49" s="2600"/>
      <c r="I49" s="2600"/>
      <c r="J49" s="2600"/>
      <c r="K49" s="1593"/>
      <c r="L49" s="2129"/>
      <c r="M49" s="2130"/>
      <c r="N49" s="2130"/>
      <c r="O49" s="2130"/>
      <c r="P49" s="3456" t="str">
        <f>A49</f>
        <v>估价对象XX用房的比较价格（楼面单价，元/平方米）</v>
      </c>
      <c r="Q49" s="3457"/>
      <c r="R49" s="3571">
        <f>IF(F1="售价",ROUND(AVERAGE(R48:V48),0),ROUND(AVERAGE(R48:V48),1))</f>
        <v>9707</v>
      </c>
      <c r="S49" s="3571"/>
      <c r="T49" s="3571"/>
      <c r="U49" s="3571"/>
      <c r="V49" s="3571"/>
      <c r="W49" s="3571"/>
      <c r="X49" s="1545"/>
      <c r="Y49" s="1545"/>
      <c r="Z49" s="1545"/>
      <c r="AA49" s="1545"/>
      <c r="AB49" s="1545"/>
      <c r="AC49" s="1545"/>
    </row>
    <row r="50" spans="1:29" ht="14.4" thickBot="1">
      <c r="A50" s="2130"/>
      <c r="B50" s="2130"/>
      <c r="C50" s="2130"/>
      <c r="D50" s="2130"/>
      <c r="E50" s="2130"/>
      <c r="F50" s="2130"/>
      <c r="G50" s="3595">
        <f>G47*0.09</f>
        <v>873</v>
      </c>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2.9588164734106304E-2</v>
      </c>
      <c r="F52" s="627" t="str">
        <f>IF(OR(E52&gt;=0.3,E52&lt;=-0.3),"超过30%","")</f>
        <v/>
      </c>
      <c r="G52" s="626">
        <f>IF(G47&lt;G48,G48/G47-1,G47/G48-1)</f>
        <v>3.5773195876288577E-2</v>
      </c>
      <c r="H52" s="627" t="str">
        <f>IF(OR(G52&gt;=0.3,G52&lt;=-0.3),"超过30%","")</f>
        <v/>
      </c>
      <c r="I52" s="626">
        <f>IF(I47&lt;I48,I48/I47-1,I47/I48-1)</f>
        <v>6.6941176470588282E-2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4.2982806877249757E-3</v>
      </c>
      <c r="F53" s="627" t="str">
        <f>IF(OR(E53&gt;=0.2,E53&lt;=-0.2),"超过20%","")</f>
        <v/>
      </c>
      <c r="G53" s="626">
        <f>IF(G48&lt;I48,I48/G48-1,G48/I48-1)</f>
        <v>0.10783989414488926</v>
      </c>
      <c r="H53" s="627" t="str">
        <f>IF(OR(G53&gt;=0.2,G53&lt;=-0.2),"超过20%","")</f>
        <v/>
      </c>
      <c r="I53" s="626">
        <f>IF(I48&lt;E48,E48/I48-1,I48/E48-1)</f>
        <v>0.10309846730620786</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f>IF(E47&lt;G47,G47/E47-1,E47/G47-1)</f>
        <v>6.1855670103092786E-2</v>
      </c>
      <c r="F54" s="627" t="str">
        <f>IF(OR(E54&gt;=0.3,E54&lt;=-0.3),"超过30%","")</f>
        <v/>
      </c>
      <c r="G54" s="626">
        <f>IF(G47&lt;I47,I47/G47-1,G47/I47-1)</f>
        <v>0.14117647058823524</v>
      </c>
      <c r="H54" s="627" t="str">
        <f>IF(OR(G54&gt;=0.3,G54&lt;=-0.3),"超过30%","")</f>
        <v/>
      </c>
      <c r="I54" s="626">
        <f>IF(I47&lt;E47,E47/I47-1,I47/E47-1)</f>
        <v>0.21176470588235285</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529</v>
      </c>
      <c r="B58" s="646"/>
      <c r="C58" s="2759"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4.4">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v>100</v>
      </c>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v>0</v>
      </c>
      <c r="D68" s="541">
        <v>1</v>
      </c>
      <c r="E68" s="541">
        <v>2</v>
      </c>
      <c r="F68" s="541">
        <v>3</v>
      </c>
      <c r="G68" s="541">
        <v>4</v>
      </c>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97</v>
      </c>
      <c r="E77" s="679">
        <f>D77-$K15</f>
        <v>94</v>
      </c>
      <c r="F77" s="679">
        <f>E77-$K15</f>
        <v>91</v>
      </c>
      <c r="G77" s="679">
        <f>F77-$K15</f>
        <v>88</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97</v>
      </c>
      <c r="E79" s="679">
        <f>D79-$K17</f>
        <v>94</v>
      </c>
      <c r="F79" s="679">
        <f>E79-$K17</f>
        <v>91</v>
      </c>
      <c r="G79" s="679">
        <f>F79-$K17</f>
        <v>88</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97</v>
      </c>
      <c r="E81" s="679">
        <f>D81-$K19</f>
        <v>94</v>
      </c>
      <c r="F81" s="679">
        <f>E81-$K19</f>
        <v>91</v>
      </c>
      <c r="G81" s="679">
        <f>F81-$K19</f>
        <v>88</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98</v>
      </c>
      <c r="E83" s="679">
        <f>D83-$K21</f>
        <v>96</v>
      </c>
      <c r="F83" s="679">
        <f>E83-$K21</f>
        <v>94</v>
      </c>
      <c r="G83" s="679">
        <f>F83-$K21</f>
        <v>92</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97</v>
      </c>
      <c r="E85" s="679">
        <f>D85-$K23</f>
        <v>94</v>
      </c>
      <c r="F85" s="679">
        <f>E85-$K23</f>
        <v>91</v>
      </c>
      <c r="G85" s="679">
        <f>F85-$K23</f>
        <v>88</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1881" t="s">
        <v>2255</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 thickTop="1">
      <c r="A88" s="709"/>
      <c r="B88" s="673" t="s">
        <v>746</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712">
        <v>100</v>
      </c>
      <c r="D89" s="679">
        <f t="shared" ref="D89:M89" si="21">C89-$K26</f>
        <v>98</v>
      </c>
      <c r="E89" s="679">
        <f t="shared" si="21"/>
        <v>96</v>
      </c>
      <c r="F89" s="679">
        <f t="shared" si="21"/>
        <v>94</v>
      </c>
      <c r="G89" s="679">
        <f t="shared" si="21"/>
        <v>92</v>
      </c>
      <c r="H89" s="679">
        <f t="shared" si="21"/>
        <v>90</v>
      </c>
      <c r="I89" s="679">
        <f t="shared" si="21"/>
        <v>88</v>
      </c>
      <c r="J89" s="679">
        <f t="shared" si="21"/>
        <v>86</v>
      </c>
      <c r="K89" s="679">
        <f t="shared" si="21"/>
        <v>84</v>
      </c>
      <c r="L89" s="679">
        <f t="shared" si="21"/>
        <v>82</v>
      </c>
      <c r="M89" s="679">
        <f t="shared" si="21"/>
        <v>80</v>
      </c>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4.4"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747</v>
      </c>
      <c r="C100" s="3250" t="s">
        <v>3508</v>
      </c>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1"/>
      <c r="O101" s="2151"/>
      <c r="P101" s="2150"/>
      <c r="Q101" s="2143"/>
      <c r="R101" s="2130"/>
      <c r="S101" s="2130"/>
      <c r="T101" s="2130"/>
      <c r="U101" s="2130"/>
      <c r="V101" s="2130"/>
      <c r="W101" s="2130"/>
      <c r="X101" s="2130"/>
      <c r="Y101" s="2130"/>
      <c r="Z101" s="2130"/>
      <c r="AA101" s="2130"/>
      <c r="AB101" s="2130"/>
      <c r="AC101" s="2130"/>
    </row>
    <row r="102" spans="1:29" ht="28.2" thickTop="1">
      <c r="A102" s="669"/>
      <c r="B102" s="673" t="s">
        <v>748</v>
      </c>
      <c r="C102" s="708" t="str">
        <f>C103&amp;"(含)"&amp;"-"&amp;D103</f>
        <v>0(含)-200000</v>
      </c>
      <c r="D102" s="708" t="str">
        <f t="shared" ref="D102:L102" si="23">D103&amp;"(含)"&amp;"-"&amp;E103</f>
        <v>200000(含)-400000</v>
      </c>
      <c r="E102" s="708" t="str">
        <f t="shared" si="23"/>
        <v>400000(含)-800000</v>
      </c>
      <c r="F102" s="708" t="str">
        <f t="shared" si="23"/>
        <v>800000(含)-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v>0</v>
      </c>
      <c r="D103" s="730">
        <v>200000</v>
      </c>
      <c r="E103" s="730">
        <v>400000</v>
      </c>
      <c r="F103" s="730">
        <v>800000</v>
      </c>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v>100</v>
      </c>
      <c r="D104" s="671">
        <v>102</v>
      </c>
      <c r="E104" s="671">
        <v>104</v>
      </c>
      <c r="F104" s="671">
        <v>106</v>
      </c>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204" t="s">
        <v>3509</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203" t="s">
        <v>3510</v>
      </c>
      <c r="D107" s="3203" t="s">
        <v>3512</v>
      </c>
      <c r="E107" s="3203" t="s">
        <v>3513</v>
      </c>
      <c r="F107" s="3203" t="s">
        <v>3514</v>
      </c>
      <c r="G107" s="3203" t="s">
        <v>3515</v>
      </c>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204" t="s">
        <v>3457</v>
      </c>
      <c r="D109" s="3204" t="s">
        <v>3458</v>
      </c>
      <c r="E109" s="3204" t="s">
        <v>3459</v>
      </c>
      <c r="F109" s="3203" t="s">
        <v>3461</v>
      </c>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204" t="s">
        <v>3517</v>
      </c>
      <c r="D114" s="3204" t="s">
        <v>3518</v>
      </c>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2554</v>
      </c>
      <c r="C116" s="3204" t="s">
        <v>3519</v>
      </c>
      <c r="D116" s="3204" t="s">
        <v>3520</v>
      </c>
      <c r="E116" s="3204" t="s">
        <v>3521</v>
      </c>
      <c r="F116" s="3204" t="s">
        <v>3522</v>
      </c>
      <c r="G116" s="3204" t="s">
        <v>3523</v>
      </c>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3203" t="s">
        <v>3524</v>
      </c>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51"/>
      <c r="O119" s="2151"/>
      <c r="P119" s="2150"/>
      <c r="Q119" s="2143"/>
      <c r="R119" s="2130"/>
      <c r="S119" s="2130"/>
      <c r="T119" s="2130"/>
      <c r="U119" s="2130"/>
      <c r="V119" s="2130"/>
      <c r="W119" s="2130"/>
      <c r="X119" s="2130"/>
      <c r="Y119" s="2130"/>
      <c r="Z119" s="2130"/>
      <c r="AA119" s="2130"/>
      <c r="AB119" s="2130"/>
      <c r="AC119" s="2130"/>
    </row>
    <row r="120" spans="1:29" s="1334" customFormat="1" ht="29.4" thickTop="1">
      <c r="A120" s="728"/>
      <c r="B120" s="673" t="s">
        <v>733</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204" t="s">
        <v>3457</v>
      </c>
      <c r="D122" s="3204" t="s">
        <v>3458</v>
      </c>
      <c r="E122" s="3204" t="s">
        <v>3459</v>
      </c>
      <c r="F122" s="3203" t="s">
        <v>3461</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8">
        <v>5</v>
      </c>
      <c r="C140" s="1889">
        <v>100</v>
      </c>
      <c r="D140" s="1917"/>
      <c r="E140" s="1890"/>
      <c r="F140" s="1891">
        <v>102</v>
      </c>
      <c r="G140" s="1917"/>
      <c r="H140" s="1892"/>
      <c r="I140" s="1918" t="s">
        <v>2270</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8">
        <v>4</v>
      </c>
      <c r="C141" s="1889">
        <v>102</v>
      </c>
      <c r="D141" s="1917"/>
      <c r="E141" s="1890"/>
      <c r="F141" s="1891">
        <v>101.5</v>
      </c>
      <c r="G141" s="1917"/>
      <c r="H141" s="1892"/>
      <c r="I141" s="1918" t="s">
        <v>2271</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8">
        <v>3</v>
      </c>
      <c r="C142" s="1889">
        <v>103</v>
      </c>
      <c r="D142" s="1917"/>
      <c r="E142" s="1890"/>
      <c r="F142" s="1891">
        <v>101</v>
      </c>
      <c r="G142" s="1917"/>
      <c r="H142" s="1892"/>
      <c r="I142" s="1918" t="s">
        <v>2272</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AB75"/>
  <sheetViews>
    <sheetView topLeftCell="A22" workbookViewId="0">
      <selection activeCell="U22" sqref="U22"/>
    </sheetView>
  </sheetViews>
  <sheetFormatPr defaultRowHeight="14.4"/>
  <sheetData>
    <row r="28" spans="1:28">
      <c r="T28" s="3206" t="s">
        <v>3453</v>
      </c>
      <c r="AB28" s="3206" t="s">
        <v>3462</v>
      </c>
    </row>
    <row r="29" spans="1:28">
      <c r="A29" s="3206" t="s">
        <v>3451</v>
      </c>
      <c r="K29" s="3206" t="s">
        <v>3452</v>
      </c>
    </row>
    <row r="75" spans="1:1">
      <c r="A75" s="3206" t="s">
        <v>3463</v>
      </c>
    </row>
  </sheetData>
  <phoneticPr fontId="22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受贵公司委托，我公司对咸阳市秦都区文兴路335亩项目出让国有建设用地使用权抵押价格进行了预评估。</v>
      </c>
    </row>
    <row r="5" spans="1:4" ht="17.399999999999999">
      <c r="A5" s="1779" t="s">
        <v>1905</v>
      </c>
    </row>
    <row r="6" spans="1:4" ht="69.599999999999994">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咸阳市秦都区文兴路335亩项目出让国有建设用地使用权。根据《国有土地使用证》[]，估价对象（分摊）出让国有建设用地使用权面积为223160.97平方米。根据《建设工程规划许可证》[]、《出让合同》[]，估价对象规划建筑面积为781063.4平方米。</v>
      </c>
    </row>
    <row r="7" spans="1:4" ht="87">
      <c r="A7" s="2828" t="s">
        <v>2745</v>
      </c>
    </row>
    <row r="8" spans="1:4" ht="17.399999999999999">
      <c r="A8" s="1779" t="s">
        <v>1906</v>
      </c>
    </row>
    <row r="9" spans="1:4" ht="69.599999999999994">
      <c r="A9" s="178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2024</v>
      </c>
    </row>
    <row r="11" spans="1:4" ht="17.399999999999999">
      <c r="A11" s="1765" t="str">
        <f>TEXT(项目基本情况!D3,"yyyy年m月d日;;")&amp;IF(项目基本情况!B3=项目基本情况!D3,"（评估专业人员勘察现场之日）","")</f>
        <v>2020年3月12日</v>
      </c>
    </row>
    <row r="12" spans="1:4" ht="17.399999999999999">
      <c r="A12" s="1782" t="s">
        <v>2023</v>
      </c>
    </row>
    <row r="13" spans="1:4" ht="17.399999999999999">
      <c r="A13" s="1776" t="s">
        <v>2069</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2070</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2071</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根据《国有土地使用证》[]，估价对象（分摊）出让国有建设用地使用权面积为223160.97平方米。根据《建设工程规划许可证》[]、《出让合同》[]，估价对象规划建筑面积为781063.4平方米。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2072</v>
      </c>
    </row>
    <row r="23" spans="1:1" ht="17.399999999999999">
      <c r="A23" s="2830" t="s">
        <v>2746</v>
      </c>
    </row>
    <row r="24" spans="1:1" ht="17.399999999999999">
      <c r="A24" s="1776" t="s">
        <v>2073</v>
      </c>
    </row>
    <row r="25" spans="1:1" ht="87">
      <c r="A25" s="1776" t="str">
        <f>定义!C53</f>
        <v>本次估价的“出让国有建设用地使用权价格”是指在估价对象土地所有权为国家所有，使用权性质为出让，在公开市场条件下、于估价期日2020年3月12日，在规划利用条件下、设定土地开发程度为红线外“七通”、宗地内场地，设定用途为，剩余土地使用年限为的出让国有建设用地使用权价格。</v>
      </c>
    </row>
    <row r="26" spans="1:1" ht="52.2">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2025</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3:I54"/>
  <sheetViews>
    <sheetView topLeftCell="I1" workbookViewId="0">
      <selection activeCell="N55" sqref="N55"/>
    </sheetView>
  </sheetViews>
  <sheetFormatPr defaultRowHeight="14.4"/>
  <cols>
    <col min="4" max="4" width="19.88671875" customWidth="1"/>
    <col min="5" max="5" width="11.44140625" customWidth="1"/>
    <col min="6" max="6" width="10.109375" customWidth="1"/>
    <col min="7" max="7" width="12.21875" customWidth="1"/>
    <col min="8" max="8" width="9.88671875" customWidth="1"/>
    <col min="9" max="9" width="10.5546875" customWidth="1"/>
  </cols>
  <sheetData>
    <row r="53" spans="4:9" ht="31.2" customHeight="1">
      <c r="D53" s="3224" t="s">
        <v>3470</v>
      </c>
      <c r="E53" s="3228" t="s">
        <v>3476</v>
      </c>
      <c r="F53" s="3228" t="s">
        <v>3475</v>
      </c>
      <c r="G53" s="3228" t="s">
        <v>3474</v>
      </c>
      <c r="H53" s="3228" t="s">
        <v>3472</v>
      </c>
      <c r="I53" s="3228" t="s">
        <v>3473</v>
      </c>
    </row>
    <row r="54" spans="4:9" ht="31.8" customHeight="1">
      <c r="D54" s="3225" t="str">
        <f>面积表!C3</f>
        <v>咸阳市秦都区文兴路335亩项目</v>
      </c>
      <c r="E54" s="3226">
        <f>系统读取表!B2</f>
        <v>223160.97</v>
      </c>
      <c r="F54" s="3226">
        <f>系统读取表!B1</f>
        <v>781063.4</v>
      </c>
      <c r="G54" s="3226">
        <f ca="1">系统读取表!B5</f>
        <v>192955</v>
      </c>
      <c r="H54" s="3226">
        <f ca="1">系统读取表!C5</f>
        <v>2470</v>
      </c>
      <c r="I54" s="3226">
        <f ca="1">系统读取表!D5</f>
        <v>8646</v>
      </c>
    </row>
  </sheetData>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4.4">
      <c r="A4" s="512" t="s">
        <v>521</v>
      </c>
      <c r="B4" s="513"/>
      <c r="C4" s="3474" t="s">
        <v>522</v>
      </c>
      <c r="D4" s="3475"/>
      <c r="E4" s="3495" t="s">
        <v>523</v>
      </c>
      <c r="F4" s="3496"/>
      <c r="G4" s="3474" t="s">
        <v>524</v>
      </c>
      <c r="H4" s="3475"/>
      <c r="I4" s="3474" t="s">
        <v>525</v>
      </c>
      <c r="J4" s="3475"/>
      <c r="K4" s="514" t="s">
        <v>526</v>
      </c>
      <c r="L4" s="2118"/>
      <c r="M4" s="2119"/>
      <c r="N4" s="2119"/>
      <c r="O4" s="2119"/>
      <c r="P4" s="3476" t="s">
        <v>527</v>
      </c>
      <c r="Q4" s="3477"/>
      <c r="R4" s="3464" t="s">
        <v>523</v>
      </c>
      <c r="S4" s="3465"/>
      <c r="T4" s="3464" t="s">
        <v>524</v>
      </c>
      <c r="U4" s="3465"/>
      <c r="V4" s="3461" t="s">
        <v>525</v>
      </c>
      <c r="W4" s="3461"/>
      <c r="X4" s="1553"/>
      <c r="Y4" s="3464" t="s">
        <v>527</v>
      </c>
      <c r="Z4" s="3465"/>
      <c r="AA4" s="3470" t="s">
        <v>523</v>
      </c>
      <c r="AB4" s="3461" t="s">
        <v>524</v>
      </c>
      <c r="AC4" s="3470" t="s">
        <v>525</v>
      </c>
    </row>
    <row r="5" spans="1:29">
      <c r="A5" s="515"/>
      <c r="B5" s="516"/>
      <c r="C5" s="3482" t="s">
        <v>2923</v>
      </c>
      <c r="D5" s="3483"/>
      <c r="E5" s="3497" t="s">
        <v>2924</v>
      </c>
      <c r="F5" s="3498"/>
      <c r="G5" s="3482" t="s">
        <v>2925</v>
      </c>
      <c r="H5" s="3483"/>
      <c r="I5" s="3482" t="s">
        <v>2926</v>
      </c>
      <c r="J5" s="3483"/>
      <c r="K5" s="514"/>
      <c r="L5" s="2118"/>
      <c r="M5" s="2119"/>
      <c r="N5" s="2119"/>
      <c r="O5" s="2119"/>
      <c r="P5" s="3478"/>
      <c r="Q5" s="3479"/>
      <c r="R5" s="3466"/>
      <c r="S5" s="3467"/>
      <c r="T5" s="3466"/>
      <c r="U5" s="3467"/>
      <c r="V5" s="3461"/>
      <c r="W5" s="3461"/>
      <c r="X5" s="1553"/>
      <c r="Y5" s="3466"/>
      <c r="Z5" s="3467"/>
      <c r="AA5" s="3471"/>
      <c r="AB5" s="3461"/>
      <c r="AC5" s="3471"/>
    </row>
    <row r="6" spans="1:29" ht="15" thickBot="1">
      <c r="A6" s="517"/>
      <c r="B6" s="518"/>
      <c r="C6" s="3488" t="s">
        <v>2927</v>
      </c>
      <c r="D6" s="3489"/>
      <c r="E6" s="3499" t="s">
        <v>2927</v>
      </c>
      <c r="F6" s="3500"/>
      <c r="G6" s="3488" t="s">
        <v>2927</v>
      </c>
      <c r="H6" s="3489"/>
      <c r="I6" s="3488" t="s">
        <v>2927</v>
      </c>
      <c r="J6" s="3489"/>
      <c r="K6" s="514" t="s">
        <v>528</v>
      </c>
      <c r="L6" s="2118"/>
      <c r="M6" s="2119"/>
      <c r="N6" s="2119"/>
      <c r="O6" s="2119"/>
      <c r="P6" s="3480"/>
      <c r="Q6" s="3481"/>
      <c r="R6" s="3466"/>
      <c r="S6" s="3467"/>
      <c r="T6" s="3468"/>
      <c r="U6" s="3469"/>
      <c r="V6" s="3461"/>
      <c r="W6" s="3461"/>
      <c r="X6" s="1553"/>
      <c r="Y6" s="3468"/>
      <c r="Z6" s="3469"/>
      <c r="AA6" s="3472"/>
      <c r="AB6" s="3461"/>
      <c r="AC6" s="3472"/>
    </row>
    <row r="7" spans="1:29" s="1215" customFormat="1" ht="15" thickBot="1">
      <c r="A7" s="2867"/>
      <c r="B7" s="2874" t="s">
        <v>529</v>
      </c>
      <c r="C7" s="519">
        <f>'数据-取费表'!B2</f>
        <v>43902</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62" t="s">
        <v>530</v>
      </c>
      <c r="Q7" s="3473"/>
      <c r="R7" s="1554" t="s">
        <v>8</v>
      </c>
      <c r="S7" s="1555">
        <f t="shared" ref="S7:S15" si="0">F7</f>
        <v>0</v>
      </c>
      <c r="T7" s="1554" t="s">
        <v>8</v>
      </c>
      <c r="U7" s="1555">
        <f t="shared" ref="U7:U15" si="1">H7</f>
        <v>0</v>
      </c>
      <c r="V7" s="1554" t="s">
        <v>8</v>
      </c>
      <c r="W7" s="1555">
        <f t="shared" ref="W7:W15" si="2">J7</f>
        <v>0</v>
      </c>
      <c r="X7" s="1556"/>
      <c r="Y7" s="3462" t="s">
        <v>530</v>
      </c>
      <c r="Z7" s="3463"/>
      <c r="AA7" s="1557" t="e">
        <f>D7/F7</f>
        <v>#DIV/0!</v>
      </c>
      <c r="AB7" s="1557" t="e">
        <f>D7/H7</f>
        <v>#DIV/0!</v>
      </c>
      <c r="AC7" s="1557" t="e">
        <f>D7/J7</f>
        <v>#DIV/0!</v>
      </c>
    </row>
    <row r="8" spans="1:29" s="1215" customFormat="1" ht="1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62" t="s">
        <v>533</v>
      </c>
      <c r="Q8" s="3463"/>
      <c r="R8" s="1554" t="s">
        <v>8</v>
      </c>
      <c r="S8" s="1555">
        <f t="shared" si="0"/>
        <v>0</v>
      </c>
      <c r="T8" s="1554" t="s">
        <v>8</v>
      </c>
      <c r="U8" s="1555">
        <f t="shared" si="1"/>
        <v>0</v>
      </c>
      <c r="V8" s="1554" t="s">
        <v>8</v>
      </c>
      <c r="W8" s="1555">
        <f t="shared" si="2"/>
        <v>0</v>
      </c>
      <c r="X8" s="1556"/>
      <c r="Y8" s="3462" t="s">
        <v>533</v>
      </c>
      <c r="Z8" s="3463"/>
      <c r="AA8" s="1557" t="e">
        <f t="shared" ref="AA8:AA46" si="3">D8/F8</f>
        <v>#DIV/0!</v>
      </c>
      <c r="AB8" s="1557" t="e">
        <f t="shared" ref="AB8:AB46" si="4">D8/H8</f>
        <v>#DIV/0!</v>
      </c>
      <c r="AC8" s="1557" t="e">
        <f t="shared" ref="AC8:AC46" si="5">D8/J8</f>
        <v>#DIV/0!</v>
      </c>
    </row>
    <row r="9" spans="1:29" s="1215" customFormat="1" ht="14.4">
      <c r="A9" s="2869"/>
      <c r="B9" s="2876" t="s">
        <v>2753</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52" t="s">
        <v>535</v>
      </c>
      <c r="Q9" s="1146" t="str">
        <f t="shared" ref="Q9:Q15" si="6">B9</f>
        <v>用途</v>
      </c>
      <c r="R9" s="1554" t="s">
        <v>8</v>
      </c>
      <c r="S9" s="1555">
        <f t="shared" si="0"/>
        <v>100</v>
      </c>
      <c r="T9" s="1554" t="s">
        <v>8</v>
      </c>
      <c r="U9" s="1555">
        <f t="shared" si="1"/>
        <v>100</v>
      </c>
      <c r="V9" s="1554" t="s">
        <v>8</v>
      </c>
      <c r="W9" s="1555">
        <f t="shared" si="2"/>
        <v>100</v>
      </c>
      <c r="X9" s="1556"/>
      <c r="Y9" s="3416" t="s">
        <v>536</v>
      </c>
      <c r="Z9" s="1145" t="str">
        <f t="shared" ref="Z9:Z15" si="7">Q9</f>
        <v>用途</v>
      </c>
      <c r="AA9" s="1557">
        <f t="shared" si="3"/>
        <v>1</v>
      </c>
      <c r="AB9" s="1557">
        <f t="shared" si="4"/>
        <v>1</v>
      </c>
      <c r="AC9" s="1557">
        <f t="shared" si="5"/>
        <v>1</v>
      </c>
    </row>
    <row r="10" spans="1:29" s="1333" customFormat="1" ht="28.8">
      <c r="A10" s="2870"/>
      <c r="B10" s="2875" t="s">
        <v>2754</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52"/>
      <c r="Q10" s="1146" t="str">
        <f t="shared" si="6"/>
        <v>土地使用年限（年）</v>
      </c>
      <c r="R10" s="1554" t="s">
        <v>8</v>
      </c>
      <c r="S10" s="1555">
        <f t="shared" si="0"/>
        <v>100</v>
      </c>
      <c r="T10" s="1554" t="s">
        <v>8</v>
      </c>
      <c r="U10" s="1555">
        <f t="shared" si="1"/>
        <v>100</v>
      </c>
      <c r="V10" s="1554" t="s">
        <v>8</v>
      </c>
      <c r="W10" s="1555">
        <f t="shared" si="2"/>
        <v>100</v>
      </c>
      <c r="X10" s="1556"/>
      <c r="Y10" s="3416"/>
      <c r="Z10" s="1145"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52"/>
      <c r="Q11" s="1146" t="str">
        <f t="shared" si="6"/>
        <v>容积率</v>
      </c>
      <c r="R11" s="1554" t="s">
        <v>8</v>
      </c>
      <c r="S11" s="1555" t="e">
        <f t="shared" si="0"/>
        <v>#N/A</v>
      </c>
      <c r="T11" s="1554" t="s">
        <v>8</v>
      </c>
      <c r="U11" s="1555" t="e">
        <f t="shared" si="1"/>
        <v>#N/A</v>
      </c>
      <c r="V11" s="1554" t="s">
        <v>8</v>
      </c>
      <c r="W11" s="1555" t="e">
        <f t="shared" si="2"/>
        <v>#N/A</v>
      </c>
      <c r="X11" s="1556"/>
      <c r="Y11" s="3416"/>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452"/>
      <c r="Q12" s="1146">
        <f t="shared" si="6"/>
        <v>111</v>
      </c>
      <c r="R12" s="1554" t="s">
        <v>8</v>
      </c>
      <c r="S12" s="1555">
        <f t="shared" si="0"/>
        <v>100</v>
      </c>
      <c r="T12" s="1554" t="s">
        <v>8</v>
      </c>
      <c r="U12" s="1555">
        <f t="shared" si="1"/>
        <v>100</v>
      </c>
      <c r="V12" s="1554" t="s">
        <v>8</v>
      </c>
      <c r="W12" s="1555">
        <f t="shared" si="2"/>
        <v>100</v>
      </c>
      <c r="X12" s="1556"/>
      <c r="Y12" s="3416"/>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452"/>
      <c r="Q13" s="1146">
        <f t="shared" si="6"/>
        <v>111</v>
      </c>
      <c r="R13" s="1554" t="s">
        <v>8</v>
      </c>
      <c r="S13" s="1555">
        <f t="shared" si="0"/>
        <v>100</v>
      </c>
      <c r="T13" s="1554" t="s">
        <v>8</v>
      </c>
      <c r="U13" s="1555">
        <f t="shared" si="1"/>
        <v>100</v>
      </c>
      <c r="V13" s="1554" t="s">
        <v>8</v>
      </c>
      <c r="W13" s="1555">
        <f t="shared" si="2"/>
        <v>100</v>
      </c>
      <c r="X13" s="1556"/>
      <c r="Y13" s="3416"/>
      <c r="Z13" s="1145">
        <f t="shared" si="7"/>
        <v>111</v>
      </c>
      <c r="AA13" s="1557">
        <f t="shared" si="3"/>
        <v>1</v>
      </c>
      <c r="AB13" s="1557">
        <f t="shared" si="4"/>
        <v>1</v>
      </c>
      <c r="AC13" s="1557">
        <f t="shared" si="5"/>
        <v>1</v>
      </c>
    </row>
    <row r="14" spans="1:29" ht="15.6" thickBot="1">
      <c r="A14" s="2873"/>
      <c r="B14" s="2879">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452"/>
      <c r="Q14" s="1146">
        <f t="shared" si="6"/>
        <v>111</v>
      </c>
      <c r="R14" s="1554" t="s">
        <v>8</v>
      </c>
      <c r="S14" s="1555">
        <f t="shared" si="0"/>
        <v>100</v>
      </c>
      <c r="T14" s="1554" t="s">
        <v>8</v>
      </c>
      <c r="U14" s="1555">
        <f t="shared" si="1"/>
        <v>100</v>
      </c>
      <c r="V14" s="1554" t="s">
        <v>8</v>
      </c>
      <c r="W14" s="1555">
        <f t="shared" si="2"/>
        <v>100</v>
      </c>
      <c r="X14" s="1556"/>
      <c r="Y14" s="3416"/>
      <c r="Z14" s="1145">
        <f t="shared" si="7"/>
        <v>111</v>
      </c>
      <c r="AA14" s="1557">
        <f t="shared" si="3"/>
        <v>1</v>
      </c>
      <c r="AB14" s="1557">
        <f t="shared" si="4"/>
        <v>1</v>
      </c>
      <c r="AC14" s="1557">
        <f t="shared" si="5"/>
        <v>1</v>
      </c>
    </row>
    <row r="15" spans="1:29" ht="15">
      <c r="A15" s="2865" t="s">
        <v>2751</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454" t="s">
        <v>540</v>
      </c>
      <c r="Q15" s="1558" t="str">
        <f t="shared" si="6"/>
        <v>商业繁华度</v>
      </c>
      <c r="R15" s="1559" t="s">
        <v>8</v>
      </c>
      <c r="S15" s="1560">
        <f t="shared" si="0"/>
        <v>100</v>
      </c>
      <c r="T15" s="1559" t="s">
        <v>8</v>
      </c>
      <c r="U15" s="1560">
        <f t="shared" si="1"/>
        <v>100</v>
      </c>
      <c r="V15" s="1559" t="s">
        <v>8</v>
      </c>
      <c r="W15" s="1560">
        <f t="shared" si="2"/>
        <v>100</v>
      </c>
      <c r="X15" s="1553"/>
      <c r="Y15" s="3454"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55"/>
      <c r="Q16" s="1558"/>
      <c r="R16" s="1559"/>
      <c r="S16" s="1560"/>
      <c r="T16" s="1559"/>
      <c r="U16" s="1560"/>
      <c r="V16" s="1559"/>
      <c r="W16" s="1560"/>
      <c r="X16" s="1553"/>
      <c r="Y16" s="3455"/>
      <c r="Z16" s="1561"/>
      <c r="AA16" s="1562">
        <v>1</v>
      </c>
      <c r="AB16" s="1562">
        <v>1</v>
      </c>
      <c r="AC16" s="1562">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455"/>
      <c r="Q17" s="1558" t="str">
        <f>B17</f>
        <v>交通便捷度</v>
      </c>
      <c r="R17" s="1559" t="s">
        <v>8</v>
      </c>
      <c r="S17" s="1560">
        <f>F17</f>
        <v>100</v>
      </c>
      <c r="T17" s="1559" t="s">
        <v>8</v>
      </c>
      <c r="U17" s="1560">
        <f>H17</f>
        <v>100</v>
      </c>
      <c r="V17" s="1559" t="s">
        <v>8</v>
      </c>
      <c r="W17" s="1560">
        <f>J17</f>
        <v>100</v>
      </c>
      <c r="X17" s="1553"/>
      <c r="Y17" s="3455"/>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55"/>
      <c r="Q18" s="1558"/>
      <c r="R18" s="1559"/>
      <c r="S18" s="1560"/>
      <c r="T18" s="1559"/>
      <c r="U18" s="1560"/>
      <c r="V18" s="1559"/>
      <c r="W18" s="1560"/>
      <c r="X18" s="1553"/>
      <c r="Y18" s="3455"/>
      <c r="Z18" s="1561"/>
      <c r="AA18" s="1562">
        <v>1</v>
      </c>
      <c r="AB18" s="1562">
        <v>1</v>
      </c>
      <c r="AC18" s="1562">
        <v>1</v>
      </c>
    </row>
    <row r="19" spans="1:29" ht="15">
      <c r="A19" s="532"/>
      <c r="B19" s="2564" t="s">
        <v>2544</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455"/>
      <c r="Q19" s="1558" t="str">
        <f>B19</f>
        <v>公共配套设施</v>
      </c>
      <c r="R19" s="1559" t="s">
        <v>8</v>
      </c>
      <c r="S19" s="1560">
        <f>F19</f>
        <v>100</v>
      </c>
      <c r="T19" s="1559" t="s">
        <v>8</v>
      </c>
      <c r="U19" s="1560">
        <f>H19</f>
        <v>100</v>
      </c>
      <c r="V19" s="1559" t="s">
        <v>8</v>
      </c>
      <c r="W19" s="1560">
        <f>J19</f>
        <v>100</v>
      </c>
      <c r="X19" s="1553"/>
      <c r="Y19" s="3455"/>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455"/>
      <c r="Q20" s="1558"/>
      <c r="R20" s="1559"/>
      <c r="S20" s="1560"/>
      <c r="T20" s="1559"/>
      <c r="U20" s="1560"/>
      <c r="V20" s="1559"/>
      <c r="W20" s="1560"/>
      <c r="X20" s="1553"/>
      <c r="Y20" s="3455"/>
      <c r="Z20" s="1561"/>
      <c r="AA20" s="1562">
        <v>1</v>
      </c>
      <c r="AB20" s="1562">
        <v>1</v>
      </c>
      <c r="AC20" s="1562">
        <v>1</v>
      </c>
    </row>
    <row r="21" spans="1:29" ht="15">
      <c r="A21" s="532"/>
      <c r="B21" s="2557" t="s">
        <v>2556</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455"/>
      <c r="Q21" s="2543" t="str">
        <f>B21</f>
        <v>基础设施水平</v>
      </c>
      <c r="R21" s="1559" t="s">
        <v>8</v>
      </c>
      <c r="S21" s="1560">
        <f>F21</f>
        <v>100</v>
      </c>
      <c r="T21" s="1559" t="s">
        <v>8</v>
      </c>
      <c r="U21" s="1560">
        <f>H21</f>
        <v>100</v>
      </c>
      <c r="V21" s="1559" t="s">
        <v>8</v>
      </c>
      <c r="W21" s="1560">
        <f>J21</f>
        <v>100</v>
      </c>
      <c r="X21" s="2545"/>
      <c r="Y21" s="3455"/>
      <c r="Z21" s="2544"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6"/>
      <c r="L22" s="2127"/>
      <c r="M22" s="2119"/>
      <c r="N22" s="2119"/>
      <c r="O22" s="2126"/>
      <c r="P22" s="3455"/>
      <c r="Q22" s="2543"/>
      <c r="R22" s="1559"/>
      <c r="S22" s="1560"/>
      <c r="T22" s="1559"/>
      <c r="U22" s="1560"/>
      <c r="V22" s="1559"/>
      <c r="W22" s="1560"/>
      <c r="X22" s="2545"/>
      <c r="Y22" s="3455"/>
      <c r="Z22" s="2544"/>
      <c r="AA22" s="1562">
        <v>1</v>
      </c>
      <c r="AB22" s="1562">
        <v>1</v>
      </c>
      <c r="AC22" s="1562">
        <v>1</v>
      </c>
    </row>
    <row r="23" spans="1:29" ht="15">
      <c r="A23" s="532"/>
      <c r="B23" s="871" t="s">
        <v>297</v>
      </c>
      <c r="C23" s="899"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455"/>
      <c r="Q23" s="1558" t="str">
        <f>B23</f>
        <v>自然及人文环境</v>
      </c>
      <c r="R23" s="1559" t="s">
        <v>8</v>
      </c>
      <c r="S23" s="1560">
        <f>F23</f>
        <v>100</v>
      </c>
      <c r="T23" s="1559" t="s">
        <v>8</v>
      </c>
      <c r="U23" s="1560">
        <f>H23</f>
        <v>100</v>
      </c>
      <c r="V23" s="1559" t="s">
        <v>8</v>
      </c>
      <c r="W23" s="1560">
        <f>J23</f>
        <v>100</v>
      </c>
      <c r="X23" s="1553"/>
      <c r="Y23" s="3455"/>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455"/>
      <c r="Q24" s="1558"/>
      <c r="R24" s="1559"/>
      <c r="S24" s="1560"/>
      <c r="T24" s="1559"/>
      <c r="U24" s="1560"/>
      <c r="V24" s="1559"/>
      <c r="W24" s="1560"/>
      <c r="X24" s="1553"/>
      <c r="Y24" s="3455"/>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55"/>
      <c r="Q25" s="1558" t="str">
        <f t="shared" ref="Q25:Q46" si="11">B25</f>
        <v>临街状况</v>
      </c>
      <c r="R25" s="1559" t="s">
        <v>8</v>
      </c>
      <c r="S25" s="1560">
        <f>F25</f>
        <v>100</v>
      </c>
      <c r="T25" s="1559" t="s">
        <v>8</v>
      </c>
      <c r="U25" s="1560">
        <f>H25</f>
        <v>100</v>
      </c>
      <c r="V25" s="1559" t="s">
        <v>8</v>
      </c>
      <c r="W25" s="1560">
        <f>J25</f>
        <v>100</v>
      </c>
      <c r="X25" s="1553"/>
      <c r="Y25" s="3455"/>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55"/>
      <c r="Q26" s="1558" t="str">
        <f t="shared" si="11"/>
        <v>平面位置/可视性</v>
      </c>
      <c r="R26" s="1559" t="s">
        <v>8</v>
      </c>
      <c r="S26" s="1560">
        <f>F26</f>
        <v>100</v>
      </c>
      <c r="T26" s="1559" t="s">
        <v>8</v>
      </c>
      <c r="U26" s="1560">
        <f>H26</f>
        <v>100</v>
      </c>
      <c r="V26" s="1559" t="s">
        <v>8</v>
      </c>
      <c r="W26" s="1560">
        <f>J26</f>
        <v>100</v>
      </c>
      <c r="X26" s="1553"/>
      <c r="Y26" s="3455"/>
      <c r="Z26" s="1561" t="str">
        <f>Q26</f>
        <v>平面位置/可视性</v>
      </c>
      <c r="AA26" s="1562">
        <f t="shared" si="3"/>
        <v>1</v>
      </c>
      <c r="AB26" s="1562">
        <f t="shared" si="4"/>
        <v>1</v>
      </c>
      <c r="AC26" s="1562">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455"/>
      <c r="Q27" s="1146" t="str">
        <f t="shared" si="11"/>
        <v>人流量</v>
      </c>
      <c r="R27" s="1554" t="s">
        <v>8</v>
      </c>
      <c r="S27" s="1555">
        <f>F27</f>
        <v>100</v>
      </c>
      <c r="T27" s="1554" t="s">
        <v>8</v>
      </c>
      <c r="U27" s="1555">
        <f>H27</f>
        <v>100</v>
      </c>
      <c r="V27" s="1554" t="s">
        <v>8</v>
      </c>
      <c r="W27" s="1555">
        <f>J27</f>
        <v>100</v>
      </c>
      <c r="X27" s="1556"/>
      <c r="Y27" s="3455"/>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55"/>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55"/>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55"/>
      <c r="Q29" s="1558">
        <f t="shared" si="11"/>
        <v>111</v>
      </c>
      <c r="R29" s="1559" t="s">
        <v>8</v>
      </c>
      <c r="S29" s="1560">
        <f t="shared" si="12"/>
        <v>100</v>
      </c>
      <c r="T29" s="1559" t="s">
        <v>8</v>
      </c>
      <c r="U29" s="1560">
        <f t="shared" si="13"/>
        <v>100</v>
      </c>
      <c r="V29" s="1559" t="s">
        <v>8</v>
      </c>
      <c r="W29" s="1560">
        <f t="shared" si="14"/>
        <v>100</v>
      </c>
      <c r="X29" s="1553"/>
      <c r="Y29" s="3455"/>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55"/>
      <c r="Q30" s="1558">
        <f t="shared" si="11"/>
        <v>111</v>
      </c>
      <c r="R30" s="1559" t="s">
        <v>8</v>
      </c>
      <c r="S30" s="1560">
        <f t="shared" si="12"/>
        <v>100</v>
      </c>
      <c r="T30" s="1559" t="s">
        <v>8</v>
      </c>
      <c r="U30" s="1560">
        <f t="shared" si="13"/>
        <v>100</v>
      </c>
      <c r="V30" s="1559" t="s">
        <v>8</v>
      </c>
      <c r="W30" s="1560">
        <f t="shared" si="14"/>
        <v>100</v>
      </c>
      <c r="X30" s="1553"/>
      <c r="Y30" s="3455"/>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55"/>
      <c r="Q31" s="1558">
        <f t="shared" si="11"/>
        <v>111</v>
      </c>
      <c r="R31" s="1559" t="s">
        <v>8</v>
      </c>
      <c r="S31" s="1560">
        <f t="shared" si="12"/>
        <v>100</v>
      </c>
      <c r="T31" s="1559" t="s">
        <v>8</v>
      </c>
      <c r="U31" s="1560">
        <f t="shared" si="13"/>
        <v>100</v>
      </c>
      <c r="V31" s="1559" t="s">
        <v>8</v>
      </c>
      <c r="W31" s="1560">
        <f t="shared" si="14"/>
        <v>100</v>
      </c>
      <c r="X31" s="1553"/>
      <c r="Y31" s="3455"/>
      <c r="Z31" s="1561">
        <f t="shared" si="15"/>
        <v>111</v>
      </c>
      <c r="AA31" s="1562">
        <f t="shared" si="3"/>
        <v>1</v>
      </c>
      <c r="AB31" s="1562">
        <f t="shared" si="4"/>
        <v>1</v>
      </c>
      <c r="AC31" s="1562">
        <f t="shared" si="5"/>
        <v>1</v>
      </c>
    </row>
    <row r="32" spans="1:29" ht="15">
      <c r="A32" s="2862"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59" t="s">
        <v>550</v>
      </c>
      <c r="Q32" s="1558" t="str">
        <f t="shared" si="11"/>
        <v>商业类型</v>
      </c>
      <c r="R32" s="1559" t="s">
        <v>8</v>
      </c>
      <c r="S32" s="1560">
        <f t="shared" si="12"/>
        <v>100</v>
      </c>
      <c r="T32" s="1559" t="s">
        <v>8</v>
      </c>
      <c r="U32" s="1560">
        <f t="shared" si="13"/>
        <v>100</v>
      </c>
      <c r="V32" s="1559" t="s">
        <v>8</v>
      </c>
      <c r="W32" s="1560">
        <f t="shared" si="14"/>
        <v>100</v>
      </c>
      <c r="X32" s="1553"/>
      <c r="Y32" s="3460" t="s">
        <v>550</v>
      </c>
      <c r="Z32" s="1561" t="str">
        <f t="shared" si="15"/>
        <v>商业类型</v>
      </c>
      <c r="AA32" s="1562">
        <f t="shared" si="3"/>
        <v>1</v>
      </c>
      <c r="AB32" s="1562">
        <f t="shared" si="4"/>
        <v>1</v>
      </c>
      <c r="AC32" s="1562">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60"/>
      <c r="Q33" s="1590" t="str">
        <f t="shared" si="11"/>
        <v>项目建筑规模</v>
      </c>
      <c r="R33" s="1563" t="s">
        <v>8</v>
      </c>
      <c r="S33" s="1564" t="e">
        <f t="shared" si="12"/>
        <v>#N/A</v>
      </c>
      <c r="T33" s="1563" t="s">
        <v>8</v>
      </c>
      <c r="U33" s="1564" t="e">
        <f t="shared" si="13"/>
        <v>#N/A</v>
      </c>
      <c r="V33" s="1563" t="s">
        <v>8</v>
      </c>
      <c r="W33" s="1564" t="e">
        <f t="shared" si="14"/>
        <v>#N/A</v>
      </c>
      <c r="X33" s="1565"/>
      <c r="Y33" s="3460"/>
      <c r="Z33" s="1566" t="str">
        <f t="shared" si="15"/>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460"/>
      <c r="Q34" s="1558" t="str">
        <f t="shared" si="11"/>
        <v>建筑结构</v>
      </c>
      <c r="R34" s="1559" t="s">
        <v>8</v>
      </c>
      <c r="S34" s="1560">
        <f t="shared" si="12"/>
        <v>100</v>
      </c>
      <c r="T34" s="1559" t="s">
        <v>8</v>
      </c>
      <c r="U34" s="1560">
        <f t="shared" si="13"/>
        <v>100</v>
      </c>
      <c r="V34" s="1559" t="s">
        <v>8</v>
      </c>
      <c r="W34" s="1560">
        <f t="shared" si="14"/>
        <v>100</v>
      </c>
      <c r="X34" s="1553"/>
      <c r="Y34" s="3460"/>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60"/>
      <c r="Q35" s="1558" t="str">
        <f t="shared" si="11"/>
        <v>公共部分装修</v>
      </c>
      <c r="R35" s="1559" t="s">
        <v>8</v>
      </c>
      <c r="S35" s="1560">
        <f t="shared" si="12"/>
        <v>100</v>
      </c>
      <c r="T35" s="1559" t="s">
        <v>8</v>
      </c>
      <c r="U35" s="1560">
        <f t="shared" si="13"/>
        <v>100</v>
      </c>
      <c r="V35" s="1559" t="s">
        <v>8</v>
      </c>
      <c r="W35" s="1560">
        <f t="shared" si="14"/>
        <v>100</v>
      </c>
      <c r="X35" s="1553"/>
      <c r="Y35" s="3460"/>
      <c r="Z35" s="1561" t="str">
        <f t="shared" si="15"/>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460"/>
      <c r="Q36" s="1558" t="str">
        <f t="shared" si="11"/>
        <v>成新度</v>
      </c>
      <c r="R36" s="1559" t="s">
        <v>8</v>
      </c>
      <c r="S36" s="1560" t="e">
        <f t="shared" si="12"/>
        <v>#N/A</v>
      </c>
      <c r="T36" s="1559" t="s">
        <v>8</v>
      </c>
      <c r="U36" s="1560" t="e">
        <f t="shared" si="13"/>
        <v>#N/A</v>
      </c>
      <c r="V36" s="1559" t="s">
        <v>8</v>
      </c>
      <c r="W36" s="1560" t="e">
        <f t="shared" si="14"/>
        <v>#N/A</v>
      </c>
      <c r="X36" s="1553"/>
      <c r="Y36" s="3460"/>
      <c r="Z36" s="1561" t="str">
        <f t="shared" si="15"/>
        <v>成新度</v>
      </c>
      <c r="AA36" s="1562" t="e">
        <f t="shared" si="3"/>
        <v>#N/A</v>
      </c>
      <c r="AB36" s="1562" t="e">
        <f t="shared" si="4"/>
        <v>#N/A</v>
      </c>
      <c r="AC36" s="1562" t="e">
        <f t="shared" si="5"/>
        <v>#N/A</v>
      </c>
    </row>
    <row r="37" spans="1:29" s="1215" customFormat="1" ht="15">
      <c r="A37" s="600"/>
      <c r="B37" s="1880"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60"/>
      <c r="Q37" s="1146" t="str">
        <f t="shared" si="11"/>
        <v>市政基础设施</v>
      </c>
      <c r="R37" s="1554" t="s">
        <v>8</v>
      </c>
      <c r="S37" s="1555">
        <f t="shared" si="12"/>
        <v>100</v>
      </c>
      <c r="T37" s="1554" t="s">
        <v>8</v>
      </c>
      <c r="U37" s="1555">
        <f t="shared" si="13"/>
        <v>100</v>
      </c>
      <c r="V37" s="1554" t="s">
        <v>8</v>
      </c>
      <c r="W37" s="1555">
        <f t="shared" si="14"/>
        <v>100</v>
      </c>
      <c r="X37" s="1556"/>
      <c r="Y37" s="3460"/>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60" t="s">
        <v>766</v>
      </c>
      <c r="Q38" s="1558" t="str">
        <f t="shared" si="11"/>
        <v>业态</v>
      </c>
      <c r="R38" s="1559" t="s">
        <v>8</v>
      </c>
      <c r="S38" s="1560">
        <f t="shared" si="12"/>
        <v>100</v>
      </c>
      <c r="T38" s="1559" t="s">
        <v>8</v>
      </c>
      <c r="U38" s="1560">
        <f t="shared" si="13"/>
        <v>100</v>
      </c>
      <c r="V38" s="1559" t="s">
        <v>8</v>
      </c>
      <c r="W38" s="1560">
        <f t="shared" si="14"/>
        <v>100</v>
      </c>
      <c r="X38" s="1553"/>
      <c r="Y38" s="3460"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60"/>
      <c r="Q39" s="1558" t="str">
        <f t="shared" si="11"/>
        <v>层高</v>
      </c>
      <c r="R39" s="1559" t="s">
        <v>8</v>
      </c>
      <c r="S39" s="1560">
        <f t="shared" si="12"/>
        <v>100</v>
      </c>
      <c r="T39" s="1559" t="s">
        <v>8</v>
      </c>
      <c r="U39" s="1560">
        <f t="shared" si="13"/>
        <v>100</v>
      </c>
      <c r="V39" s="1559" t="s">
        <v>8</v>
      </c>
      <c r="W39" s="1560">
        <f t="shared" si="14"/>
        <v>100</v>
      </c>
      <c r="X39" s="1553"/>
      <c r="Y39" s="3460"/>
      <c r="Z39" s="1561" t="str">
        <f t="shared" si="15"/>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460"/>
      <c r="Q40" s="1558" t="str">
        <f t="shared" si="11"/>
        <v>单套建筑面积</v>
      </c>
      <c r="R40" s="1559" t="s">
        <v>8</v>
      </c>
      <c r="S40" s="1560">
        <f t="shared" si="12"/>
        <v>100</v>
      </c>
      <c r="T40" s="1559" t="s">
        <v>8</v>
      </c>
      <c r="U40" s="1560">
        <f t="shared" si="13"/>
        <v>100</v>
      </c>
      <c r="V40" s="1559" t="s">
        <v>8</v>
      </c>
      <c r="W40" s="1560">
        <f t="shared" si="14"/>
        <v>100</v>
      </c>
      <c r="X40" s="1553"/>
      <c r="Y40" s="3460"/>
      <c r="Z40" s="1561" t="str">
        <f t="shared" si="15"/>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60"/>
      <c r="Q41" s="1590" t="str">
        <f t="shared" si="11"/>
        <v>进深比</v>
      </c>
      <c r="R41" s="1563" t="s">
        <v>8</v>
      </c>
      <c r="S41" s="1564">
        <f t="shared" si="12"/>
        <v>100</v>
      </c>
      <c r="T41" s="1563" t="s">
        <v>8</v>
      </c>
      <c r="U41" s="1564">
        <f t="shared" si="13"/>
        <v>100</v>
      </c>
      <c r="V41" s="1563" t="s">
        <v>8</v>
      </c>
      <c r="W41" s="1564">
        <f t="shared" si="14"/>
        <v>100</v>
      </c>
      <c r="X41" s="1565"/>
      <c r="Y41" s="3460"/>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60"/>
      <c r="Q42" s="1558" t="str">
        <f t="shared" si="11"/>
        <v>内部装修</v>
      </c>
      <c r="R42" s="1559" t="s">
        <v>8</v>
      </c>
      <c r="S42" s="1560">
        <f t="shared" si="12"/>
        <v>100</v>
      </c>
      <c r="T42" s="1559" t="s">
        <v>8</v>
      </c>
      <c r="U42" s="1560">
        <f t="shared" si="13"/>
        <v>100</v>
      </c>
      <c r="V42" s="1559" t="s">
        <v>8</v>
      </c>
      <c r="W42" s="1560">
        <f t="shared" si="14"/>
        <v>100</v>
      </c>
      <c r="X42" s="1553"/>
      <c r="Y42" s="3460"/>
      <c r="Z42" s="1561" t="str">
        <f t="shared" si="15"/>
        <v>内部装修</v>
      </c>
      <c r="AA42" s="1562">
        <f t="shared" si="3"/>
        <v>1</v>
      </c>
      <c r="AB42" s="1562">
        <f t="shared" si="4"/>
        <v>1</v>
      </c>
      <c r="AC42" s="1562">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60"/>
      <c r="Q43" s="1558" t="str">
        <f t="shared" si="11"/>
        <v>内部装修维护情况</v>
      </c>
      <c r="R43" s="1559" t="s">
        <v>8</v>
      </c>
      <c r="S43" s="1560">
        <f t="shared" si="12"/>
        <v>100</v>
      </c>
      <c r="T43" s="1559" t="s">
        <v>8</v>
      </c>
      <c r="U43" s="1560">
        <f t="shared" si="13"/>
        <v>100</v>
      </c>
      <c r="V43" s="1559" t="s">
        <v>8</v>
      </c>
      <c r="W43" s="1560">
        <f t="shared" si="14"/>
        <v>100</v>
      </c>
      <c r="X43" s="1553"/>
      <c r="Y43" s="3460"/>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60"/>
      <c r="Q44" s="1146">
        <f t="shared" si="11"/>
        <v>111</v>
      </c>
      <c r="R44" s="1554" t="s">
        <v>8</v>
      </c>
      <c r="S44" s="1555">
        <f t="shared" si="12"/>
        <v>100</v>
      </c>
      <c r="T44" s="1554" t="s">
        <v>8</v>
      </c>
      <c r="U44" s="1555">
        <f t="shared" si="13"/>
        <v>100</v>
      </c>
      <c r="V44" s="1554" t="s">
        <v>8</v>
      </c>
      <c r="W44" s="1555">
        <f t="shared" si="14"/>
        <v>100</v>
      </c>
      <c r="X44" s="1556"/>
      <c r="Y44" s="3460"/>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60"/>
      <c r="Q45" s="1558">
        <f t="shared" si="11"/>
        <v>111</v>
      </c>
      <c r="R45" s="1559" t="s">
        <v>8</v>
      </c>
      <c r="S45" s="1560">
        <f t="shared" si="12"/>
        <v>100</v>
      </c>
      <c r="T45" s="1559" t="s">
        <v>8</v>
      </c>
      <c r="U45" s="1560">
        <f t="shared" si="13"/>
        <v>100</v>
      </c>
      <c r="V45" s="1559" t="s">
        <v>8</v>
      </c>
      <c r="W45" s="1560">
        <f t="shared" si="14"/>
        <v>100</v>
      </c>
      <c r="X45" s="1553"/>
      <c r="Y45" s="3460"/>
      <c r="Z45" s="1561">
        <f t="shared" si="15"/>
        <v>111</v>
      </c>
      <c r="AA45" s="1562">
        <f t="shared" si="3"/>
        <v>1</v>
      </c>
      <c r="AB45" s="1562">
        <f t="shared" si="4"/>
        <v>1</v>
      </c>
      <c r="AC45" s="1562">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73"/>
      <c r="Q46" s="1558">
        <f t="shared" si="11"/>
        <v>111</v>
      </c>
      <c r="R46" s="1559" t="s">
        <v>8</v>
      </c>
      <c r="S46" s="1560">
        <f t="shared" si="12"/>
        <v>100</v>
      </c>
      <c r="T46" s="1559" t="s">
        <v>8</v>
      </c>
      <c r="U46" s="1560">
        <f t="shared" si="13"/>
        <v>100</v>
      </c>
      <c r="V46" s="1559" t="s">
        <v>8</v>
      </c>
      <c r="W46" s="1560">
        <f t="shared" si="14"/>
        <v>100</v>
      </c>
      <c r="X46" s="1553"/>
      <c r="Y46" s="3573"/>
      <c r="Z46" s="1561">
        <f t="shared" si="15"/>
        <v>111</v>
      </c>
      <c r="AA46" s="1562">
        <f t="shared" si="3"/>
        <v>1</v>
      </c>
      <c r="AB46" s="1562">
        <f t="shared" si="4"/>
        <v>1</v>
      </c>
      <c r="AC46" s="1562">
        <f t="shared" si="5"/>
        <v>1</v>
      </c>
    </row>
    <row r="47" spans="1:29" ht="14.4">
      <c r="A47" s="607" t="s">
        <v>736</v>
      </c>
      <c r="B47" s="886"/>
      <c r="C47" s="2591" t="s">
        <v>1</v>
      </c>
      <c r="D47" s="2592"/>
      <c r="E47" s="2593"/>
      <c r="F47" s="2594"/>
      <c r="G47" s="2595"/>
      <c r="H47" s="2596"/>
      <c r="I47" s="2593"/>
      <c r="J47" s="2596"/>
      <c r="K47" s="1596"/>
      <c r="L47" s="2129"/>
      <c r="M47" s="2130"/>
      <c r="N47" s="2119"/>
      <c r="O47" s="2130"/>
      <c r="P47" s="3452" t="str">
        <f>A47</f>
        <v>成交单价（元/平方米）</v>
      </c>
      <c r="Q47" s="3452"/>
      <c r="R47" s="3572">
        <f>E47</f>
        <v>0</v>
      </c>
      <c r="S47" s="3572"/>
      <c r="T47" s="3572">
        <f>G47</f>
        <v>0</v>
      </c>
      <c r="U47" s="3572"/>
      <c r="V47" s="3572">
        <f>I47</f>
        <v>0</v>
      </c>
      <c r="W47" s="3572"/>
      <c r="X47" s="1545"/>
      <c r="Y47" s="1567"/>
      <c r="Z47" s="1545"/>
      <c r="AA47" s="1545"/>
      <c r="AB47" s="1545"/>
      <c r="AC47" s="1545"/>
    </row>
    <row r="48" spans="1:29" ht="15" thickBot="1">
      <c r="A48" s="615" t="s">
        <v>2757</v>
      </c>
      <c r="B48" s="887"/>
      <c r="C48" s="2597" t="e">
        <f>R49</f>
        <v>#DIV/0!</v>
      </c>
      <c r="D48" s="2598"/>
      <c r="E48" s="2599" t="e">
        <f>R48</f>
        <v>#DIV/0!</v>
      </c>
      <c r="F48" s="2599"/>
      <c r="G48" s="2597" t="e">
        <f>T48</f>
        <v>#DIV/0!</v>
      </c>
      <c r="H48" s="2598"/>
      <c r="I48" s="2599" t="e">
        <f>V48</f>
        <v>#DIV/0!</v>
      </c>
      <c r="J48" s="2598"/>
      <c r="K48" s="1597"/>
      <c r="L48" s="2129"/>
      <c r="M48" s="2130"/>
      <c r="N48" s="2119"/>
      <c r="O48" s="2130"/>
      <c r="P48" s="3452" t="str">
        <f>A48</f>
        <v>比较价格（元/平方米）</v>
      </c>
      <c r="Q48" s="3452"/>
      <c r="R48" s="3572" t="e">
        <f>IF(F1="售价",ROUND(PRODUCT(R47,AA7:AA46),0),ROUND(PRODUCT(R47,AA7:AA46),1))</f>
        <v>#DIV/0!</v>
      </c>
      <c r="S48" s="3572"/>
      <c r="T48" s="3572" t="e">
        <f>IF(F1="售价",ROUND(PRODUCT(T47,AB7:AB46),0),ROUND(PRODUCT(T47,AB7:AB46),1))</f>
        <v>#DIV/0!</v>
      </c>
      <c r="U48" s="3572"/>
      <c r="V48" s="3572" t="e">
        <f>IF(F1="售价",ROUND(PRODUCT(V47,AC7:AC46),0),ROUND(PRODUCT(V47,AC7:AC46),1))</f>
        <v>#DIV/0!</v>
      </c>
      <c r="W48" s="3572"/>
      <c r="X48" s="1545"/>
      <c r="Y48" s="1545"/>
      <c r="Z48" s="1545"/>
      <c r="AA48" s="1545"/>
      <c r="AB48" s="1545"/>
      <c r="AC48" s="1545"/>
    </row>
    <row r="49" spans="1:29" ht="15" thickBot="1">
      <c r="A49" s="621" t="s">
        <v>2929</v>
      </c>
      <c r="B49" s="622"/>
      <c r="C49" s="2600" t="e">
        <f>R49</f>
        <v>#DIV/0!</v>
      </c>
      <c r="D49" s="2600"/>
      <c r="E49" s="2600"/>
      <c r="F49" s="2600"/>
      <c r="G49" s="2600"/>
      <c r="H49" s="2600"/>
      <c r="I49" s="2600"/>
      <c r="J49" s="2600"/>
      <c r="K49" s="1598"/>
      <c r="L49" s="2129"/>
      <c r="M49" s="2130"/>
      <c r="N49" s="2119"/>
      <c r="O49" s="2130"/>
      <c r="P49" s="3456" t="str">
        <f>A49</f>
        <v>估价对象XX用房的比较价格（楼面单价，元/平方米）</v>
      </c>
      <c r="Q49" s="3457"/>
      <c r="R49" s="3571" t="e">
        <f>IF(F1="售价",ROUND(AVERAGE(R48:V48),0),ROUND(AVERAGE(R48:V48),1))</f>
        <v>#DIV/0!</v>
      </c>
      <c r="S49" s="3571"/>
      <c r="T49" s="3571"/>
      <c r="U49" s="3571"/>
      <c r="V49" s="3571"/>
      <c r="W49" s="3571"/>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529</v>
      </c>
      <c r="B58" s="646"/>
      <c r="C58" s="2757"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673" t="s">
        <v>771</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4.4"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4.4"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2554</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6"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4.4">
      <c r="A4" s="512" t="s">
        <v>521</v>
      </c>
      <c r="B4" s="513"/>
      <c r="C4" s="3474" t="s">
        <v>522</v>
      </c>
      <c r="D4" s="3475"/>
      <c r="E4" s="3495" t="s">
        <v>523</v>
      </c>
      <c r="F4" s="3496"/>
      <c r="G4" s="3474" t="s">
        <v>524</v>
      </c>
      <c r="H4" s="3475"/>
      <c r="I4" s="3474" t="s">
        <v>525</v>
      </c>
      <c r="J4" s="3475"/>
      <c r="K4" s="514" t="s">
        <v>526</v>
      </c>
      <c r="L4" s="2118"/>
      <c r="M4" s="2119"/>
      <c r="N4" s="2119"/>
      <c r="O4" s="2119"/>
      <c r="P4" s="3574" t="s">
        <v>527</v>
      </c>
      <c r="Q4" s="3477"/>
      <c r="R4" s="3464" t="s">
        <v>523</v>
      </c>
      <c r="S4" s="3465"/>
      <c r="T4" s="3464" t="s">
        <v>524</v>
      </c>
      <c r="U4" s="3465"/>
      <c r="V4" s="3461" t="s">
        <v>525</v>
      </c>
      <c r="W4" s="3461"/>
      <c r="X4" s="1553"/>
      <c r="Y4" s="3464" t="s">
        <v>527</v>
      </c>
      <c r="Z4" s="3465"/>
      <c r="AA4" s="3470" t="s">
        <v>523</v>
      </c>
      <c r="AB4" s="3470" t="s">
        <v>524</v>
      </c>
      <c r="AC4" s="3470" t="s">
        <v>525</v>
      </c>
    </row>
    <row r="5" spans="1:29">
      <c r="A5" s="515"/>
      <c r="B5" s="516"/>
      <c r="C5" s="3482" t="s">
        <v>2923</v>
      </c>
      <c r="D5" s="3483"/>
      <c r="E5" s="3497" t="s">
        <v>2924</v>
      </c>
      <c r="F5" s="3498"/>
      <c r="G5" s="3482" t="s">
        <v>2925</v>
      </c>
      <c r="H5" s="3483"/>
      <c r="I5" s="3482" t="s">
        <v>2926</v>
      </c>
      <c r="J5" s="3483"/>
      <c r="K5" s="514"/>
      <c r="L5" s="2118"/>
      <c r="M5" s="2119"/>
      <c r="N5" s="2119"/>
      <c r="O5" s="2119"/>
      <c r="P5" s="3575"/>
      <c r="Q5" s="3479"/>
      <c r="R5" s="3466"/>
      <c r="S5" s="3467"/>
      <c r="T5" s="3466"/>
      <c r="U5" s="3467"/>
      <c r="V5" s="3461"/>
      <c r="W5" s="3461"/>
      <c r="X5" s="1553"/>
      <c r="Y5" s="3466"/>
      <c r="Z5" s="3467"/>
      <c r="AA5" s="3471"/>
      <c r="AB5" s="3471"/>
      <c r="AC5" s="3471"/>
    </row>
    <row r="6" spans="1:29" ht="15" thickBot="1">
      <c r="A6" s="517"/>
      <c r="B6" s="518"/>
      <c r="C6" s="3488" t="s">
        <v>2927</v>
      </c>
      <c r="D6" s="3489"/>
      <c r="E6" s="3499" t="s">
        <v>2927</v>
      </c>
      <c r="F6" s="3500"/>
      <c r="G6" s="3488" t="s">
        <v>2927</v>
      </c>
      <c r="H6" s="3489"/>
      <c r="I6" s="3488" t="s">
        <v>2927</v>
      </c>
      <c r="J6" s="3489"/>
      <c r="K6" s="514" t="s">
        <v>528</v>
      </c>
      <c r="L6" s="2118"/>
      <c r="M6" s="2119"/>
      <c r="N6" s="2119"/>
      <c r="O6" s="2119"/>
      <c r="P6" s="3576"/>
      <c r="Q6" s="3481"/>
      <c r="R6" s="3466"/>
      <c r="S6" s="3467"/>
      <c r="T6" s="3468"/>
      <c r="U6" s="3469"/>
      <c r="V6" s="3461"/>
      <c r="W6" s="3461"/>
      <c r="X6" s="1553"/>
      <c r="Y6" s="3468"/>
      <c r="Z6" s="3469"/>
      <c r="AA6" s="3472"/>
      <c r="AB6" s="3472"/>
      <c r="AC6" s="3472"/>
    </row>
    <row r="7" spans="1:29" s="1215" customFormat="1" ht="15" thickBot="1">
      <c r="A7" s="2867"/>
      <c r="B7" s="2874" t="s">
        <v>529</v>
      </c>
      <c r="C7" s="519">
        <f>'数据-取费表'!B2</f>
        <v>43902</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73" t="s">
        <v>530</v>
      </c>
      <c r="Q7" s="3473"/>
      <c r="R7" s="1554" t="s">
        <v>8</v>
      </c>
      <c r="S7" s="1555">
        <f t="shared" ref="S7:S15" si="0">F7</f>
        <v>0</v>
      </c>
      <c r="T7" s="1554" t="s">
        <v>8</v>
      </c>
      <c r="U7" s="1555">
        <f t="shared" ref="U7:U15" si="1">H7</f>
        <v>0</v>
      </c>
      <c r="V7" s="1554" t="s">
        <v>8</v>
      </c>
      <c r="W7" s="1555">
        <f t="shared" ref="W7:W15" si="2">J7</f>
        <v>0</v>
      </c>
      <c r="X7" s="1556"/>
      <c r="Y7" s="3462" t="s">
        <v>530</v>
      </c>
      <c r="Z7" s="3463"/>
      <c r="AA7" s="1557" t="e">
        <f>D7/F7</f>
        <v>#DIV/0!</v>
      </c>
      <c r="AB7" s="1557" t="e">
        <f>D7/H7</f>
        <v>#DIV/0!</v>
      </c>
      <c r="AC7" s="1557" t="e">
        <f>D7/J7</f>
        <v>#DIV/0!</v>
      </c>
    </row>
    <row r="8" spans="1:29" s="1215" customFormat="1" ht="1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73" t="s">
        <v>533</v>
      </c>
      <c r="Q8" s="3463"/>
      <c r="R8" s="1554" t="s">
        <v>8</v>
      </c>
      <c r="S8" s="1555">
        <f t="shared" si="0"/>
        <v>0</v>
      </c>
      <c r="T8" s="1554" t="s">
        <v>8</v>
      </c>
      <c r="U8" s="1555">
        <f t="shared" si="1"/>
        <v>0</v>
      </c>
      <c r="V8" s="1554" t="s">
        <v>8</v>
      </c>
      <c r="W8" s="1555">
        <f t="shared" si="2"/>
        <v>0</v>
      </c>
      <c r="X8" s="1556"/>
      <c r="Y8" s="3462" t="s">
        <v>533</v>
      </c>
      <c r="Z8" s="3463"/>
      <c r="AA8" s="1557" t="e">
        <f t="shared" ref="AA8:AA47" si="3">D8/F8</f>
        <v>#DIV/0!</v>
      </c>
      <c r="AB8" s="1557" t="e">
        <f t="shared" ref="AB8:AB47" si="4">D8/H8</f>
        <v>#DIV/0!</v>
      </c>
      <c r="AC8" s="1557" t="e">
        <f t="shared" ref="AC8:AC47" si="5">D8/J8</f>
        <v>#DIV/0!</v>
      </c>
    </row>
    <row r="9" spans="1:29" s="1215" customFormat="1" ht="14.4">
      <c r="A9" s="2869"/>
      <c r="B9" s="2876" t="s">
        <v>2753</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52" t="s">
        <v>535</v>
      </c>
      <c r="Q9" s="1146" t="str">
        <f t="shared" ref="Q9:Q15" si="6">B9</f>
        <v>用途</v>
      </c>
      <c r="R9" s="1554" t="s">
        <v>8</v>
      </c>
      <c r="S9" s="1555">
        <f t="shared" si="0"/>
        <v>100</v>
      </c>
      <c r="T9" s="1554" t="s">
        <v>8</v>
      </c>
      <c r="U9" s="1555">
        <f t="shared" si="1"/>
        <v>100</v>
      </c>
      <c r="V9" s="1554" t="s">
        <v>8</v>
      </c>
      <c r="W9" s="1555">
        <f t="shared" si="2"/>
        <v>100</v>
      </c>
      <c r="X9" s="1556"/>
      <c r="Y9" s="3416" t="s">
        <v>536</v>
      </c>
      <c r="Z9" s="1145" t="str">
        <f t="shared" ref="Z9:Z15" si="7">Q9</f>
        <v>用途</v>
      </c>
      <c r="AA9" s="1557">
        <f t="shared" si="3"/>
        <v>1</v>
      </c>
      <c r="AB9" s="1557">
        <f t="shared" si="4"/>
        <v>1</v>
      </c>
      <c r="AC9" s="1557">
        <f t="shared" si="5"/>
        <v>1</v>
      </c>
    </row>
    <row r="10" spans="1:29" s="1333" customFormat="1" ht="28.8">
      <c r="A10" s="2870"/>
      <c r="B10" s="2875" t="s">
        <v>2754</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52"/>
      <c r="Q10" s="1146" t="str">
        <f t="shared" si="6"/>
        <v>土地使用年限（年）</v>
      </c>
      <c r="R10" s="1554" t="s">
        <v>8</v>
      </c>
      <c r="S10" s="1555">
        <f t="shared" si="0"/>
        <v>100</v>
      </c>
      <c r="T10" s="1554" t="s">
        <v>8</v>
      </c>
      <c r="U10" s="1555">
        <f t="shared" si="1"/>
        <v>100</v>
      </c>
      <c r="V10" s="1554" t="s">
        <v>8</v>
      </c>
      <c r="W10" s="1555">
        <f t="shared" si="2"/>
        <v>100</v>
      </c>
      <c r="X10" s="1556"/>
      <c r="Y10" s="3416"/>
      <c r="Z10" s="1145"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52"/>
      <c r="Q11" s="1146" t="str">
        <f t="shared" si="6"/>
        <v>容积率</v>
      </c>
      <c r="R11" s="1554" t="s">
        <v>8</v>
      </c>
      <c r="S11" s="1555" t="e">
        <f t="shared" si="0"/>
        <v>#N/A</v>
      </c>
      <c r="T11" s="1554" t="s">
        <v>8</v>
      </c>
      <c r="U11" s="1555" t="e">
        <f t="shared" si="1"/>
        <v>#N/A</v>
      </c>
      <c r="V11" s="1554" t="s">
        <v>8</v>
      </c>
      <c r="W11" s="1555" t="e">
        <f t="shared" si="2"/>
        <v>#N/A</v>
      </c>
      <c r="X11" s="1556"/>
      <c r="Y11" s="3416"/>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452"/>
      <c r="Q12" s="1146">
        <f t="shared" si="6"/>
        <v>111</v>
      </c>
      <c r="R12" s="1554" t="s">
        <v>8</v>
      </c>
      <c r="S12" s="1555">
        <f t="shared" si="0"/>
        <v>100</v>
      </c>
      <c r="T12" s="1554" t="s">
        <v>8</v>
      </c>
      <c r="U12" s="1555">
        <f t="shared" si="1"/>
        <v>100</v>
      </c>
      <c r="V12" s="1554" t="s">
        <v>8</v>
      </c>
      <c r="W12" s="1555">
        <f t="shared" si="2"/>
        <v>100</v>
      </c>
      <c r="X12" s="1556"/>
      <c r="Y12" s="3416"/>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452"/>
      <c r="Q13" s="1146">
        <f t="shared" si="6"/>
        <v>111</v>
      </c>
      <c r="R13" s="1554" t="s">
        <v>8</v>
      </c>
      <c r="S13" s="1555">
        <f t="shared" si="0"/>
        <v>100</v>
      </c>
      <c r="T13" s="1554" t="s">
        <v>8</v>
      </c>
      <c r="U13" s="1555">
        <f t="shared" si="1"/>
        <v>100</v>
      </c>
      <c r="V13" s="1554" t="s">
        <v>8</v>
      </c>
      <c r="W13" s="1555">
        <f t="shared" si="2"/>
        <v>100</v>
      </c>
      <c r="X13" s="1556"/>
      <c r="Y13" s="3416"/>
      <c r="Z13" s="1145">
        <f t="shared" si="7"/>
        <v>111</v>
      </c>
      <c r="AA13" s="1557">
        <f t="shared" si="3"/>
        <v>1</v>
      </c>
      <c r="AB13" s="1557">
        <f t="shared" si="4"/>
        <v>1</v>
      </c>
      <c r="AC13" s="1557">
        <f t="shared" si="5"/>
        <v>1</v>
      </c>
    </row>
    <row r="14" spans="1:29" ht="15.6" thickBot="1">
      <c r="A14" s="2873"/>
      <c r="B14" s="2879">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452"/>
      <c r="Q14" s="1146">
        <f t="shared" si="6"/>
        <v>111</v>
      </c>
      <c r="R14" s="1554" t="s">
        <v>8</v>
      </c>
      <c r="S14" s="1555">
        <f t="shared" si="0"/>
        <v>100</v>
      </c>
      <c r="T14" s="1554" t="s">
        <v>8</v>
      </c>
      <c r="U14" s="1555">
        <f t="shared" si="1"/>
        <v>100</v>
      </c>
      <c r="V14" s="1554" t="s">
        <v>8</v>
      </c>
      <c r="W14" s="1555">
        <f t="shared" si="2"/>
        <v>100</v>
      </c>
      <c r="X14" s="1556"/>
      <c r="Y14" s="3416"/>
      <c r="Z14" s="1145">
        <f t="shared" si="7"/>
        <v>111</v>
      </c>
      <c r="AA14" s="1557">
        <f t="shared" si="3"/>
        <v>1</v>
      </c>
      <c r="AB14" s="1557">
        <f t="shared" si="4"/>
        <v>1</v>
      </c>
      <c r="AC14" s="1557">
        <f t="shared" si="5"/>
        <v>1</v>
      </c>
    </row>
    <row r="15" spans="1:29" ht="15">
      <c r="A15" s="2865" t="s">
        <v>2751</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454" t="s">
        <v>540</v>
      </c>
      <c r="Q15" s="1558" t="str">
        <f t="shared" si="6"/>
        <v>办公集聚程度</v>
      </c>
      <c r="R15" s="1559" t="s">
        <v>8</v>
      </c>
      <c r="S15" s="1560">
        <f t="shared" si="0"/>
        <v>100</v>
      </c>
      <c r="T15" s="1559" t="s">
        <v>8</v>
      </c>
      <c r="U15" s="1560">
        <f t="shared" si="1"/>
        <v>100</v>
      </c>
      <c r="V15" s="1559" t="s">
        <v>8</v>
      </c>
      <c r="W15" s="1560">
        <f t="shared" si="2"/>
        <v>100</v>
      </c>
      <c r="X15" s="1553"/>
      <c r="Y15" s="3454"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455"/>
      <c r="Q16" s="1558"/>
      <c r="R16" s="1559"/>
      <c r="S16" s="1560"/>
      <c r="T16" s="1559"/>
      <c r="U16" s="1560"/>
      <c r="V16" s="1559"/>
      <c r="W16" s="1560"/>
      <c r="X16" s="1553"/>
      <c r="Y16" s="3455"/>
      <c r="Z16" s="1561"/>
      <c r="AA16" s="1562">
        <v>1</v>
      </c>
      <c r="AB16" s="1562">
        <v>1</v>
      </c>
      <c r="AC16" s="1562">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455"/>
      <c r="Q17" s="1558" t="str">
        <f>B17</f>
        <v>交通便捷度</v>
      </c>
      <c r="R17" s="1559" t="s">
        <v>8</v>
      </c>
      <c r="S17" s="1560">
        <f>F17</f>
        <v>100</v>
      </c>
      <c r="T17" s="1559" t="s">
        <v>8</v>
      </c>
      <c r="U17" s="1560">
        <f>H17</f>
        <v>100</v>
      </c>
      <c r="V17" s="1559" t="s">
        <v>8</v>
      </c>
      <c r="W17" s="1560">
        <f>J17</f>
        <v>100</v>
      </c>
      <c r="X17" s="1553"/>
      <c r="Y17" s="3455"/>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455"/>
      <c r="Q18" s="1558"/>
      <c r="R18" s="1559"/>
      <c r="S18" s="1560"/>
      <c r="T18" s="1559"/>
      <c r="U18" s="1560"/>
      <c r="V18" s="1559"/>
      <c r="W18" s="1560"/>
      <c r="X18" s="1553"/>
      <c r="Y18" s="3455"/>
      <c r="Z18" s="1561"/>
      <c r="AA18" s="1562">
        <v>1</v>
      </c>
      <c r="AB18" s="1562">
        <v>1</v>
      </c>
      <c r="AC18" s="1562">
        <v>1</v>
      </c>
    </row>
    <row r="19" spans="1:29" ht="15">
      <c r="A19" s="532"/>
      <c r="B19" s="2567" t="s">
        <v>2544</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455"/>
      <c r="Q19" s="1558" t="str">
        <f>B19</f>
        <v>公共配套设施</v>
      </c>
      <c r="R19" s="1559" t="s">
        <v>8</v>
      </c>
      <c r="S19" s="1560">
        <f>F19</f>
        <v>100</v>
      </c>
      <c r="T19" s="1559" t="s">
        <v>8</v>
      </c>
      <c r="U19" s="1560">
        <f>H19</f>
        <v>100</v>
      </c>
      <c r="V19" s="1559" t="s">
        <v>8</v>
      </c>
      <c r="W19" s="1560">
        <f>J19</f>
        <v>100</v>
      </c>
      <c r="X19" s="1553"/>
      <c r="Y19" s="3455"/>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455"/>
      <c r="Q20" s="1558"/>
      <c r="R20" s="1559"/>
      <c r="S20" s="1560"/>
      <c r="T20" s="1559"/>
      <c r="U20" s="1560"/>
      <c r="V20" s="1559"/>
      <c r="W20" s="1560"/>
      <c r="X20" s="1553"/>
      <c r="Y20" s="3455"/>
      <c r="Z20" s="1561"/>
      <c r="AA20" s="1562">
        <v>1</v>
      </c>
      <c r="AB20" s="1562">
        <v>1</v>
      </c>
      <c r="AC20" s="1562">
        <v>1</v>
      </c>
    </row>
    <row r="21" spans="1:29" ht="15">
      <c r="A21" s="532"/>
      <c r="B21" s="2555" t="s">
        <v>2556</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455"/>
      <c r="Q21" s="2543" t="str">
        <f>B21</f>
        <v>基础设施水平</v>
      </c>
      <c r="R21" s="1559" t="s">
        <v>8</v>
      </c>
      <c r="S21" s="1560">
        <f>F21</f>
        <v>100</v>
      </c>
      <c r="T21" s="1559" t="s">
        <v>8</v>
      </c>
      <c r="U21" s="1560">
        <f>H21</f>
        <v>100</v>
      </c>
      <c r="V21" s="1559" t="s">
        <v>8</v>
      </c>
      <c r="W21" s="1560">
        <f>J21</f>
        <v>100</v>
      </c>
      <c r="X21" s="2545"/>
      <c r="Y21" s="3455"/>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55"/>
      <c r="Q22" s="2543"/>
      <c r="R22" s="1559"/>
      <c r="S22" s="1560"/>
      <c r="T22" s="1559"/>
      <c r="U22" s="1560"/>
      <c r="V22" s="1559"/>
      <c r="W22" s="1560"/>
      <c r="X22" s="2545"/>
      <c r="Y22" s="3455"/>
      <c r="Z22" s="2544"/>
      <c r="AA22" s="1562">
        <v>1</v>
      </c>
      <c r="AB22" s="1562">
        <v>1</v>
      </c>
      <c r="AC22" s="1562">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455"/>
      <c r="Q23" s="1558" t="str">
        <f>B23</f>
        <v>环境质量</v>
      </c>
      <c r="R23" s="1559" t="s">
        <v>8</v>
      </c>
      <c r="S23" s="1560">
        <f>F23</f>
        <v>100</v>
      </c>
      <c r="T23" s="1559" t="s">
        <v>8</v>
      </c>
      <c r="U23" s="1560">
        <f>H23</f>
        <v>100</v>
      </c>
      <c r="V23" s="1559" t="s">
        <v>8</v>
      </c>
      <c r="W23" s="1560">
        <f>J23</f>
        <v>100</v>
      </c>
      <c r="X23" s="1553"/>
      <c r="Y23" s="3455"/>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455"/>
      <c r="Q24" s="1558"/>
      <c r="R24" s="1559"/>
      <c r="S24" s="1560"/>
      <c r="T24" s="1559"/>
      <c r="U24" s="1560"/>
      <c r="V24" s="1559"/>
      <c r="W24" s="1560"/>
      <c r="X24" s="1553"/>
      <c r="Y24" s="3455"/>
      <c r="Z24" s="1561"/>
      <c r="AA24" s="1562">
        <v>1</v>
      </c>
      <c r="AB24" s="1562">
        <v>1</v>
      </c>
      <c r="AC24" s="1562">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455"/>
      <c r="Q25" s="1558" t="str">
        <f>B25</f>
        <v>毗邻道路的类型与等级</v>
      </c>
      <c r="R25" s="1559" t="s">
        <v>8</v>
      </c>
      <c r="S25" s="1560">
        <f>F25</f>
        <v>100</v>
      </c>
      <c r="T25" s="1559" t="s">
        <v>8</v>
      </c>
      <c r="U25" s="1560">
        <f>H25</f>
        <v>100</v>
      </c>
      <c r="V25" s="1559" t="s">
        <v>8</v>
      </c>
      <c r="W25" s="1560">
        <f>J25</f>
        <v>100</v>
      </c>
      <c r="X25" s="1553"/>
      <c r="Y25" s="3455"/>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455"/>
      <c r="Q26" s="1558"/>
      <c r="R26" s="1559"/>
      <c r="S26" s="1560"/>
      <c r="T26" s="1559"/>
      <c r="U26" s="1560"/>
      <c r="V26" s="1559"/>
      <c r="W26" s="1560"/>
      <c r="X26" s="1553"/>
      <c r="Y26" s="3455"/>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55"/>
      <c r="Q27" s="1558" t="str">
        <f t="shared" ref="Q27:Q47" si="11">B27</f>
        <v>楼层</v>
      </c>
      <c r="R27" s="1559" t="s">
        <v>8</v>
      </c>
      <c r="S27" s="1560">
        <f>F27</f>
        <v>100</v>
      </c>
      <c r="T27" s="1559" t="s">
        <v>8</v>
      </c>
      <c r="U27" s="1560">
        <f>H27</f>
        <v>100</v>
      </c>
      <c r="V27" s="1559" t="s">
        <v>8</v>
      </c>
      <c r="W27" s="1560">
        <f>J27</f>
        <v>100</v>
      </c>
      <c r="X27" s="1553"/>
      <c r="Y27" s="3455"/>
      <c r="Z27" s="1561" t="str">
        <f>Q27</f>
        <v>楼层</v>
      </c>
      <c r="AA27" s="1562">
        <f t="shared" si="3"/>
        <v>1</v>
      </c>
      <c r="AB27" s="1562">
        <f t="shared" si="4"/>
        <v>1</v>
      </c>
      <c r="AC27" s="1562">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455"/>
      <c r="Q28" s="1146" t="str">
        <f t="shared" si="11"/>
        <v>朝向</v>
      </c>
      <c r="R28" s="1554" t="s">
        <v>8</v>
      </c>
      <c r="S28" s="1555">
        <f>F28</f>
        <v>100</v>
      </c>
      <c r="T28" s="1554" t="s">
        <v>8</v>
      </c>
      <c r="U28" s="1555">
        <f>H28</f>
        <v>100</v>
      </c>
      <c r="V28" s="1554" t="s">
        <v>8</v>
      </c>
      <c r="W28" s="1555">
        <f>J28</f>
        <v>100</v>
      </c>
      <c r="X28" s="1556"/>
      <c r="Y28" s="3455"/>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455"/>
      <c r="Q29" s="1558">
        <f t="shared" si="11"/>
        <v>111</v>
      </c>
      <c r="R29" s="1559" t="s">
        <v>8</v>
      </c>
      <c r="S29" s="1560">
        <f t="shared" ref="S29:S47" si="12">F29</f>
        <v>100</v>
      </c>
      <c r="T29" s="1559" t="s">
        <v>8</v>
      </c>
      <c r="U29" s="1560">
        <f t="shared" ref="U29:U47" si="13">H29</f>
        <v>100</v>
      </c>
      <c r="V29" s="1559" t="s">
        <v>8</v>
      </c>
      <c r="W29" s="1560">
        <f t="shared" ref="W29:W47" si="14">J29</f>
        <v>100</v>
      </c>
      <c r="X29" s="1553"/>
      <c r="Y29" s="3455"/>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455"/>
      <c r="Q30" s="1558">
        <f t="shared" si="11"/>
        <v>111</v>
      </c>
      <c r="R30" s="1559" t="s">
        <v>8</v>
      </c>
      <c r="S30" s="1560">
        <f t="shared" si="12"/>
        <v>100</v>
      </c>
      <c r="T30" s="1559" t="s">
        <v>8</v>
      </c>
      <c r="U30" s="1560">
        <f t="shared" si="13"/>
        <v>100</v>
      </c>
      <c r="V30" s="1559" t="s">
        <v>8</v>
      </c>
      <c r="W30" s="1560">
        <f t="shared" si="14"/>
        <v>100</v>
      </c>
      <c r="X30" s="1553"/>
      <c r="Y30" s="3455"/>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455"/>
      <c r="Q31" s="1558">
        <f t="shared" si="11"/>
        <v>111</v>
      </c>
      <c r="R31" s="1559" t="s">
        <v>8</v>
      </c>
      <c r="S31" s="1560">
        <f t="shared" si="12"/>
        <v>100</v>
      </c>
      <c r="T31" s="1559" t="s">
        <v>8</v>
      </c>
      <c r="U31" s="1560">
        <f t="shared" si="13"/>
        <v>100</v>
      </c>
      <c r="V31" s="1559" t="s">
        <v>8</v>
      </c>
      <c r="W31" s="1560">
        <f t="shared" si="14"/>
        <v>100</v>
      </c>
      <c r="X31" s="1553"/>
      <c r="Y31" s="3455"/>
      <c r="Z31" s="1561">
        <f t="shared" si="15"/>
        <v>111</v>
      </c>
      <c r="AA31" s="1562">
        <f t="shared" si="3"/>
        <v>1</v>
      </c>
      <c r="AB31" s="1562">
        <f t="shared" si="4"/>
        <v>1</v>
      </c>
      <c r="AC31" s="1562">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455"/>
      <c r="Q32" s="1558">
        <f t="shared" si="11"/>
        <v>111</v>
      </c>
      <c r="R32" s="1559" t="s">
        <v>8</v>
      </c>
      <c r="S32" s="1560">
        <f t="shared" si="12"/>
        <v>100</v>
      </c>
      <c r="T32" s="1559" t="s">
        <v>8</v>
      </c>
      <c r="U32" s="1560">
        <f t="shared" si="13"/>
        <v>100</v>
      </c>
      <c r="V32" s="1559" t="s">
        <v>8</v>
      </c>
      <c r="W32" s="1560">
        <f t="shared" si="14"/>
        <v>100</v>
      </c>
      <c r="X32" s="1553"/>
      <c r="Y32" s="3455"/>
      <c r="Z32" s="1561">
        <f t="shared" si="15"/>
        <v>111</v>
      </c>
      <c r="AA32" s="1562">
        <f t="shared" si="3"/>
        <v>1</v>
      </c>
      <c r="AB32" s="1562">
        <f t="shared" si="4"/>
        <v>1</v>
      </c>
      <c r="AC32" s="1562">
        <f t="shared" si="5"/>
        <v>1</v>
      </c>
    </row>
    <row r="33" spans="1:29" ht="15">
      <c r="A33" s="2862" t="s">
        <v>2752</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459" t="s">
        <v>550</v>
      </c>
      <c r="Q33" s="1558" t="str">
        <f t="shared" si="11"/>
        <v>建筑类型</v>
      </c>
      <c r="R33" s="1559" t="s">
        <v>8</v>
      </c>
      <c r="S33" s="1560">
        <f t="shared" si="12"/>
        <v>100</v>
      </c>
      <c r="T33" s="1559" t="s">
        <v>8</v>
      </c>
      <c r="U33" s="1560">
        <f t="shared" si="13"/>
        <v>100</v>
      </c>
      <c r="V33" s="1559" t="s">
        <v>8</v>
      </c>
      <c r="W33" s="1560">
        <f t="shared" si="14"/>
        <v>100</v>
      </c>
      <c r="X33" s="1553"/>
      <c r="Y33" s="3460" t="s">
        <v>550</v>
      </c>
      <c r="Z33" s="1561" t="str">
        <f t="shared" si="15"/>
        <v>建筑类型</v>
      </c>
      <c r="AA33" s="1562">
        <f t="shared" si="3"/>
        <v>1</v>
      </c>
      <c r="AB33" s="1562">
        <f t="shared" si="4"/>
        <v>1</v>
      </c>
      <c r="AC33" s="1562">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60"/>
      <c r="Q34" s="1590" t="str">
        <f t="shared" si="11"/>
        <v>项目建筑规模</v>
      </c>
      <c r="R34" s="1563" t="s">
        <v>8</v>
      </c>
      <c r="S34" s="1564" t="e">
        <f t="shared" si="12"/>
        <v>#N/A</v>
      </c>
      <c r="T34" s="1563" t="s">
        <v>8</v>
      </c>
      <c r="U34" s="1564" t="e">
        <f t="shared" si="13"/>
        <v>#N/A</v>
      </c>
      <c r="V34" s="1563" t="s">
        <v>8</v>
      </c>
      <c r="W34" s="1564" t="e">
        <f t="shared" si="14"/>
        <v>#N/A</v>
      </c>
      <c r="X34" s="1565"/>
      <c r="Y34" s="3460"/>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60"/>
      <c r="Q35" s="1558" t="str">
        <f t="shared" si="11"/>
        <v>建筑结构</v>
      </c>
      <c r="R35" s="1559" t="s">
        <v>8</v>
      </c>
      <c r="S35" s="1560">
        <f t="shared" si="12"/>
        <v>100</v>
      </c>
      <c r="T35" s="1559" t="s">
        <v>8</v>
      </c>
      <c r="U35" s="1560">
        <f t="shared" si="13"/>
        <v>100</v>
      </c>
      <c r="V35" s="1559" t="s">
        <v>8</v>
      </c>
      <c r="W35" s="1560">
        <f t="shared" si="14"/>
        <v>100</v>
      </c>
      <c r="X35" s="1553"/>
      <c r="Y35" s="3460"/>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60"/>
      <c r="Q36" s="1558" t="str">
        <f t="shared" si="11"/>
        <v>公共部分装修</v>
      </c>
      <c r="R36" s="1559" t="s">
        <v>8</v>
      </c>
      <c r="S36" s="1560">
        <f t="shared" si="12"/>
        <v>100</v>
      </c>
      <c r="T36" s="1559" t="s">
        <v>8</v>
      </c>
      <c r="U36" s="1560">
        <f t="shared" si="13"/>
        <v>100</v>
      </c>
      <c r="V36" s="1559" t="s">
        <v>8</v>
      </c>
      <c r="W36" s="1560">
        <f t="shared" si="14"/>
        <v>100</v>
      </c>
      <c r="X36" s="1553"/>
      <c r="Y36" s="3460"/>
      <c r="Z36" s="1561" t="str">
        <f t="shared" si="15"/>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460"/>
      <c r="Q37" s="1558" t="str">
        <f t="shared" si="11"/>
        <v>成新度</v>
      </c>
      <c r="R37" s="1559" t="s">
        <v>8</v>
      </c>
      <c r="S37" s="1560" t="e">
        <f t="shared" si="12"/>
        <v>#N/A</v>
      </c>
      <c r="T37" s="1559" t="s">
        <v>8</v>
      </c>
      <c r="U37" s="1560" t="e">
        <f t="shared" si="13"/>
        <v>#N/A</v>
      </c>
      <c r="V37" s="1559" t="s">
        <v>8</v>
      </c>
      <c r="W37" s="1560" t="e">
        <f t="shared" si="14"/>
        <v>#N/A</v>
      </c>
      <c r="X37" s="1553"/>
      <c r="Y37" s="3460"/>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60"/>
      <c r="Q38" s="1146" t="str">
        <f t="shared" si="11"/>
        <v>写字楼等级</v>
      </c>
      <c r="R38" s="1554" t="s">
        <v>8</v>
      </c>
      <c r="S38" s="1555">
        <f t="shared" si="12"/>
        <v>100</v>
      </c>
      <c r="T38" s="1554" t="s">
        <v>8</v>
      </c>
      <c r="U38" s="1555">
        <f t="shared" si="13"/>
        <v>100</v>
      </c>
      <c r="V38" s="1554" t="s">
        <v>8</v>
      </c>
      <c r="W38" s="1555">
        <f t="shared" si="14"/>
        <v>100</v>
      </c>
      <c r="X38" s="1556"/>
      <c r="Y38" s="3460"/>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60" t="s">
        <v>550</v>
      </c>
      <c r="Q39" s="1558" t="str">
        <f t="shared" si="11"/>
        <v>物业管理</v>
      </c>
      <c r="R39" s="1559" t="s">
        <v>8</v>
      </c>
      <c r="S39" s="1560">
        <f t="shared" si="12"/>
        <v>100</v>
      </c>
      <c r="T39" s="1559" t="s">
        <v>8</v>
      </c>
      <c r="U39" s="1560">
        <f t="shared" si="13"/>
        <v>100</v>
      </c>
      <c r="V39" s="1559" t="s">
        <v>8</v>
      </c>
      <c r="W39" s="1560">
        <f t="shared" si="14"/>
        <v>100</v>
      </c>
      <c r="X39" s="1553"/>
      <c r="Y39" s="3460" t="s">
        <v>550</v>
      </c>
      <c r="Z39" s="1561" t="str">
        <f t="shared" si="15"/>
        <v>物业管理</v>
      </c>
      <c r="AA39" s="1562">
        <f t="shared" si="3"/>
        <v>1</v>
      </c>
      <c r="AB39" s="1562">
        <f t="shared" si="4"/>
        <v>1</v>
      </c>
      <c r="AC39" s="1562">
        <f t="shared" si="5"/>
        <v>1</v>
      </c>
    </row>
    <row r="40" spans="1:29" ht="15">
      <c r="A40" s="594"/>
      <c r="B40" s="1880"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60"/>
      <c r="Q40" s="1558" t="str">
        <f t="shared" si="11"/>
        <v>市政基础设施</v>
      </c>
      <c r="R40" s="1559" t="s">
        <v>8</v>
      </c>
      <c r="S40" s="1560">
        <f t="shared" si="12"/>
        <v>100</v>
      </c>
      <c r="T40" s="1559" t="s">
        <v>8</v>
      </c>
      <c r="U40" s="1560">
        <f t="shared" si="13"/>
        <v>100</v>
      </c>
      <c r="V40" s="1559" t="s">
        <v>8</v>
      </c>
      <c r="W40" s="1560">
        <f t="shared" si="14"/>
        <v>100</v>
      </c>
      <c r="X40" s="1553"/>
      <c r="Y40" s="3460"/>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60"/>
      <c r="Q41" s="1558" t="str">
        <f t="shared" si="11"/>
        <v>层高</v>
      </c>
      <c r="R41" s="1559" t="s">
        <v>8</v>
      </c>
      <c r="S41" s="1560">
        <f t="shared" si="12"/>
        <v>100</v>
      </c>
      <c r="T41" s="1559" t="s">
        <v>8</v>
      </c>
      <c r="U41" s="1560">
        <f t="shared" si="13"/>
        <v>100</v>
      </c>
      <c r="V41" s="1559" t="s">
        <v>8</v>
      </c>
      <c r="W41" s="1560">
        <f t="shared" si="14"/>
        <v>100</v>
      </c>
      <c r="X41" s="1553"/>
      <c r="Y41" s="3460"/>
      <c r="Z41" s="1561" t="str">
        <f t="shared" si="15"/>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60"/>
      <c r="Q42" s="1590" t="str">
        <f t="shared" si="11"/>
        <v>单套建筑面积</v>
      </c>
      <c r="R42" s="1563" t="s">
        <v>8</v>
      </c>
      <c r="S42" s="1564">
        <f t="shared" si="12"/>
        <v>100</v>
      </c>
      <c r="T42" s="1563" t="s">
        <v>8</v>
      </c>
      <c r="U42" s="1564">
        <f t="shared" si="13"/>
        <v>100</v>
      </c>
      <c r="V42" s="1563" t="s">
        <v>8</v>
      </c>
      <c r="W42" s="1564">
        <f t="shared" si="14"/>
        <v>100</v>
      </c>
      <c r="X42" s="1565"/>
      <c r="Y42" s="3460"/>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60"/>
      <c r="Q43" s="1558" t="str">
        <f t="shared" si="11"/>
        <v>内部装修</v>
      </c>
      <c r="R43" s="1559" t="s">
        <v>8</v>
      </c>
      <c r="S43" s="1560">
        <f t="shared" si="12"/>
        <v>100</v>
      </c>
      <c r="T43" s="1559" t="s">
        <v>8</v>
      </c>
      <c r="U43" s="1560">
        <f t="shared" si="13"/>
        <v>100</v>
      </c>
      <c r="V43" s="1559" t="s">
        <v>8</v>
      </c>
      <c r="W43" s="1560">
        <f t="shared" si="14"/>
        <v>100</v>
      </c>
      <c r="X43" s="1553"/>
      <c r="Y43" s="3460"/>
      <c r="Z43" s="1561" t="str">
        <f t="shared" si="15"/>
        <v>内部装修</v>
      </c>
      <c r="AA43" s="1562">
        <f t="shared" si="3"/>
        <v>1</v>
      </c>
      <c r="AB43" s="1562">
        <f t="shared" si="4"/>
        <v>1</v>
      </c>
      <c r="AC43" s="1562">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60"/>
      <c r="Q44" s="1558" t="str">
        <f t="shared" si="11"/>
        <v>内部装修维护情况</v>
      </c>
      <c r="R44" s="1559" t="s">
        <v>8</v>
      </c>
      <c r="S44" s="1560">
        <f t="shared" si="12"/>
        <v>100</v>
      </c>
      <c r="T44" s="1559" t="s">
        <v>8</v>
      </c>
      <c r="U44" s="1560">
        <f t="shared" si="13"/>
        <v>100</v>
      </c>
      <c r="V44" s="1559" t="s">
        <v>8</v>
      </c>
      <c r="W44" s="1560">
        <f t="shared" si="14"/>
        <v>100</v>
      </c>
      <c r="X44" s="1553"/>
      <c r="Y44" s="3460"/>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60"/>
      <c r="Q45" s="1146">
        <f t="shared" si="11"/>
        <v>111</v>
      </c>
      <c r="R45" s="1554" t="s">
        <v>8</v>
      </c>
      <c r="S45" s="1555">
        <f t="shared" si="12"/>
        <v>100</v>
      </c>
      <c r="T45" s="1554" t="s">
        <v>8</v>
      </c>
      <c r="U45" s="1555">
        <f t="shared" si="13"/>
        <v>100</v>
      </c>
      <c r="V45" s="1554" t="s">
        <v>8</v>
      </c>
      <c r="W45" s="1555">
        <f t="shared" si="14"/>
        <v>100</v>
      </c>
      <c r="X45" s="1556"/>
      <c r="Y45" s="3460"/>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60"/>
      <c r="Q46" s="1558">
        <f t="shared" si="11"/>
        <v>111</v>
      </c>
      <c r="R46" s="1559" t="s">
        <v>8</v>
      </c>
      <c r="S46" s="1560">
        <f t="shared" si="12"/>
        <v>100</v>
      </c>
      <c r="T46" s="1559" t="s">
        <v>8</v>
      </c>
      <c r="U46" s="1560">
        <f t="shared" si="13"/>
        <v>100</v>
      </c>
      <c r="V46" s="1559" t="s">
        <v>8</v>
      </c>
      <c r="W46" s="1560">
        <f t="shared" si="14"/>
        <v>100</v>
      </c>
      <c r="X46" s="1553"/>
      <c r="Y46" s="3460"/>
      <c r="Z46" s="1561">
        <f t="shared" si="15"/>
        <v>111</v>
      </c>
      <c r="AA46" s="1562">
        <f t="shared" si="3"/>
        <v>1</v>
      </c>
      <c r="AB46" s="1562">
        <f t="shared" si="4"/>
        <v>1</v>
      </c>
      <c r="AC46" s="1562">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73"/>
      <c r="Q47" s="1558">
        <f t="shared" si="11"/>
        <v>111</v>
      </c>
      <c r="R47" s="1559" t="s">
        <v>8</v>
      </c>
      <c r="S47" s="1560">
        <f t="shared" si="12"/>
        <v>100</v>
      </c>
      <c r="T47" s="1559" t="s">
        <v>8</v>
      </c>
      <c r="U47" s="1560">
        <f t="shared" si="13"/>
        <v>100</v>
      </c>
      <c r="V47" s="1559" t="s">
        <v>8</v>
      </c>
      <c r="W47" s="1560">
        <f t="shared" si="14"/>
        <v>100</v>
      </c>
      <c r="X47" s="1553"/>
      <c r="Y47" s="3573"/>
      <c r="Z47" s="1561">
        <f t="shared" si="15"/>
        <v>111</v>
      </c>
      <c r="AA47" s="1562">
        <f t="shared" si="3"/>
        <v>1</v>
      </c>
      <c r="AB47" s="1562">
        <f t="shared" si="4"/>
        <v>1</v>
      </c>
      <c r="AC47" s="1562">
        <f t="shared" si="5"/>
        <v>1</v>
      </c>
    </row>
    <row r="48" spans="1:29" ht="14.4">
      <c r="A48" s="607" t="s">
        <v>736</v>
      </c>
      <c r="B48" s="886"/>
      <c r="C48" s="2591" t="s">
        <v>1</v>
      </c>
      <c r="D48" s="2592"/>
      <c r="E48" s="2593"/>
      <c r="F48" s="2594"/>
      <c r="G48" s="2595"/>
      <c r="H48" s="2596"/>
      <c r="I48" s="2593"/>
      <c r="J48" s="2596"/>
      <c r="K48" s="1596"/>
      <c r="L48" s="2129"/>
      <c r="M48" s="2119"/>
      <c r="N48" s="2119"/>
      <c r="O48" s="2119"/>
      <c r="P48" s="3457" t="str">
        <f>A48</f>
        <v>成交单价（元/平方米）</v>
      </c>
      <c r="Q48" s="3452"/>
      <c r="R48" s="3572">
        <f>E48</f>
        <v>0</v>
      </c>
      <c r="S48" s="3572"/>
      <c r="T48" s="3572">
        <f>G48</f>
        <v>0</v>
      </c>
      <c r="U48" s="3572"/>
      <c r="V48" s="3572">
        <f>I48</f>
        <v>0</v>
      </c>
      <c r="W48" s="3572"/>
      <c r="X48" s="1545"/>
      <c r="Y48" s="1567"/>
      <c r="Z48" s="1545"/>
      <c r="AA48" s="1545"/>
      <c r="AB48" s="1545"/>
      <c r="AC48" s="1545"/>
    </row>
    <row r="49" spans="1:29" ht="15" thickBot="1">
      <c r="A49" s="615" t="s">
        <v>2757</v>
      </c>
      <c r="B49" s="887"/>
      <c r="C49" s="2597" t="e">
        <f>R50</f>
        <v>#DIV/0!</v>
      </c>
      <c r="D49" s="2598"/>
      <c r="E49" s="2599" t="e">
        <f>R49</f>
        <v>#DIV/0!</v>
      </c>
      <c r="F49" s="2599"/>
      <c r="G49" s="2597" t="e">
        <f>T49</f>
        <v>#DIV/0!</v>
      </c>
      <c r="H49" s="2598"/>
      <c r="I49" s="2599" t="e">
        <f>V49</f>
        <v>#DIV/0!</v>
      </c>
      <c r="J49" s="2598"/>
      <c r="K49" s="1597"/>
      <c r="L49" s="2129"/>
      <c r="M49" s="2119"/>
      <c r="N49" s="2119"/>
      <c r="O49" s="2119"/>
      <c r="P49" s="3457" t="str">
        <f>A49</f>
        <v>比较价格（元/平方米）</v>
      </c>
      <c r="Q49" s="3452"/>
      <c r="R49" s="3572" t="e">
        <f>IF(F1="售价",ROUND(PRODUCT(R48,AA7:AA47),0),ROUND(PRODUCT(R48,AA7:AA47),1))</f>
        <v>#DIV/0!</v>
      </c>
      <c r="S49" s="3572"/>
      <c r="T49" s="3572" t="e">
        <f>IF(F1="售价",ROUND(PRODUCT(T48,AB7:AB47),0),ROUND(PRODUCT(T48,AB7:AB47),1))</f>
        <v>#DIV/0!</v>
      </c>
      <c r="U49" s="3572"/>
      <c r="V49" s="3572" t="e">
        <f>IF(F1="售价",ROUND(PRODUCT(V48,AC7:AC47),0),ROUND(PRODUCT(V48,AC7:AC47),1))</f>
        <v>#DIV/0!</v>
      </c>
      <c r="W49" s="3572"/>
      <c r="X49" s="1545"/>
      <c r="Y49" s="1545"/>
      <c r="Z49" s="1545"/>
      <c r="AA49" s="1545"/>
      <c r="AB49" s="1545"/>
      <c r="AC49" s="1545"/>
    </row>
    <row r="50" spans="1:29" ht="15" thickBot="1">
      <c r="A50" s="621" t="s">
        <v>2929</v>
      </c>
      <c r="B50" s="622"/>
      <c r="C50" s="2600" t="e">
        <f>R50</f>
        <v>#DIV/0!</v>
      </c>
      <c r="D50" s="2600"/>
      <c r="E50" s="2600"/>
      <c r="F50" s="2600"/>
      <c r="G50" s="2600"/>
      <c r="H50" s="2600"/>
      <c r="I50" s="2600"/>
      <c r="J50" s="2600"/>
      <c r="K50" s="1598"/>
      <c r="L50" s="2129"/>
      <c r="M50" s="2119"/>
      <c r="N50" s="2119"/>
      <c r="O50" s="2119"/>
      <c r="P50" s="3577" t="str">
        <f>A50</f>
        <v>估价对象XX用房的比较价格（楼面单价，元/平方米）</v>
      </c>
      <c r="Q50" s="3457"/>
      <c r="R50" s="3571" t="e">
        <f>IF(F1="售价",ROUND(AVERAGE(R49:V49),0),ROUND(AVERAGE(R49:V49),1))</f>
        <v>#DIV/0!</v>
      </c>
      <c r="S50" s="3571"/>
      <c r="T50" s="3571"/>
      <c r="U50" s="3571"/>
      <c r="V50" s="3571"/>
      <c r="W50" s="3571"/>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4.4">
      <c r="A59" s="645" t="s">
        <v>529</v>
      </c>
      <c r="B59" s="646"/>
      <c r="C59" s="2757" t="str">
        <f>YEAR(C7)&amp;"-"&amp;MONTH(C7)</f>
        <v>2020-3</v>
      </c>
      <c r="D59" s="2759">
        <f>EDATE(C59,-1)</f>
        <v>43862</v>
      </c>
      <c r="E59" s="2759">
        <f t="shared" ref="E59:O59" si="16">EDATE(D59,-1)</f>
        <v>43831</v>
      </c>
      <c r="F59" s="2759">
        <f t="shared" si="16"/>
        <v>43800</v>
      </c>
      <c r="G59" s="2759">
        <f t="shared" si="16"/>
        <v>43770</v>
      </c>
      <c r="H59" s="2759">
        <f t="shared" si="16"/>
        <v>43739</v>
      </c>
      <c r="I59" s="2759">
        <f t="shared" si="16"/>
        <v>43709</v>
      </c>
      <c r="J59" s="2759">
        <f t="shared" si="16"/>
        <v>43678</v>
      </c>
      <c r="K59" s="2759">
        <f t="shared" si="16"/>
        <v>43647</v>
      </c>
      <c r="L59" s="2759">
        <f t="shared" si="16"/>
        <v>43617</v>
      </c>
      <c r="M59" s="2759">
        <f t="shared" si="16"/>
        <v>43586</v>
      </c>
      <c r="N59" s="2759">
        <f t="shared" si="16"/>
        <v>43556</v>
      </c>
      <c r="O59" s="2759">
        <f t="shared" si="16"/>
        <v>43525</v>
      </c>
      <c r="P59" s="2196"/>
      <c r="Q59" s="2146"/>
      <c r="R59" s="2146"/>
      <c r="S59" s="2146"/>
      <c r="T59" s="2146"/>
      <c r="U59" s="2146"/>
      <c r="V59" s="2146"/>
      <c r="W59" s="2146"/>
      <c r="X59" s="2146"/>
      <c r="Y59" s="2146"/>
      <c r="Z59" s="2146"/>
      <c r="AA59" s="2146"/>
      <c r="AB59" s="2146"/>
      <c r="AC59" s="2146"/>
    </row>
    <row r="60" spans="1:29" s="1215"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4.4">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4.4"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4.4">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4.4"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4.4"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4.4"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4.4"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4.4"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4.4"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4.4"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4.4">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 thickTop="1">
      <c r="A81" s="669"/>
      <c r="B81" s="1881" t="s">
        <v>2555</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 thickTop="1">
      <c r="A83" s="669"/>
      <c r="B83" s="2561" t="s">
        <v>2556</v>
      </c>
      <c r="C83" s="2562" t="s">
        <v>2557</v>
      </c>
      <c r="D83" s="2562" t="s">
        <v>2558</v>
      </c>
      <c r="E83" s="2562" t="s">
        <v>2559</v>
      </c>
      <c r="F83" s="2562" t="s">
        <v>2560</v>
      </c>
      <c r="G83" s="2562" t="s">
        <v>2561</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9.4" thickTop="1">
      <c r="A87" s="709"/>
      <c r="B87" s="673" t="s">
        <v>785</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4.4"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4.4"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4.4"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4.4"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4.4"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4.4"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4.4"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4.4"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4.4">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4.4"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2554</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787</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4.4"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4.4"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4.4"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4.4"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4.4"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4.4"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521</v>
      </c>
      <c r="B4" s="513"/>
      <c r="C4" s="3474" t="s">
        <v>522</v>
      </c>
      <c r="D4" s="3475"/>
      <c r="E4" s="3495" t="s">
        <v>523</v>
      </c>
      <c r="F4" s="3496"/>
      <c r="G4" s="3474" t="s">
        <v>524</v>
      </c>
      <c r="H4" s="3475"/>
      <c r="I4" s="3474" t="s">
        <v>525</v>
      </c>
      <c r="J4" s="3475"/>
      <c r="K4" s="514" t="s">
        <v>526</v>
      </c>
      <c r="L4" s="2118"/>
      <c r="M4" s="2119"/>
      <c r="N4" s="2119"/>
      <c r="O4" s="2119"/>
      <c r="P4" s="3476" t="s">
        <v>527</v>
      </c>
      <c r="Q4" s="3477"/>
      <c r="R4" s="3464" t="s">
        <v>523</v>
      </c>
      <c r="S4" s="3465"/>
      <c r="T4" s="3464" t="s">
        <v>524</v>
      </c>
      <c r="U4" s="3465"/>
      <c r="V4" s="3461" t="s">
        <v>525</v>
      </c>
      <c r="W4" s="3461"/>
      <c r="X4" s="1553"/>
      <c r="Y4" s="3464" t="s">
        <v>527</v>
      </c>
      <c r="Z4" s="3465"/>
      <c r="AA4" s="3470" t="s">
        <v>523</v>
      </c>
      <c r="AB4" s="3471" t="s">
        <v>524</v>
      </c>
      <c r="AC4" s="3470" t="s">
        <v>525</v>
      </c>
    </row>
    <row r="5" spans="1:29">
      <c r="A5" s="515"/>
      <c r="B5" s="516"/>
      <c r="C5" s="3482" t="s">
        <v>2923</v>
      </c>
      <c r="D5" s="3483"/>
      <c r="E5" s="3497" t="s">
        <v>2924</v>
      </c>
      <c r="F5" s="3498"/>
      <c r="G5" s="3482" t="s">
        <v>2925</v>
      </c>
      <c r="H5" s="3483"/>
      <c r="I5" s="3482" t="s">
        <v>2926</v>
      </c>
      <c r="J5" s="3483"/>
      <c r="K5" s="514"/>
      <c r="L5" s="2118"/>
      <c r="M5" s="2119"/>
      <c r="N5" s="2119"/>
      <c r="O5" s="2119"/>
      <c r="P5" s="3478"/>
      <c r="Q5" s="3479"/>
      <c r="R5" s="3466"/>
      <c r="S5" s="3467"/>
      <c r="T5" s="3466"/>
      <c r="U5" s="3467"/>
      <c r="V5" s="3461"/>
      <c r="W5" s="3461"/>
      <c r="X5" s="1553"/>
      <c r="Y5" s="3466"/>
      <c r="Z5" s="3467"/>
      <c r="AA5" s="3471"/>
      <c r="AB5" s="3471"/>
      <c r="AC5" s="3471"/>
    </row>
    <row r="6" spans="1:29" ht="15" thickBot="1">
      <c r="A6" s="517"/>
      <c r="B6" s="518"/>
      <c r="C6" s="3488" t="s">
        <v>2927</v>
      </c>
      <c r="D6" s="3489"/>
      <c r="E6" s="3499" t="s">
        <v>2927</v>
      </c>
      <c r="F6" s="3500"/>
      <c r="G6" s="3488" t="s">
        <v>2927</v>
      </c>
      <c r="H6" s="3489"/>
      <c r="I6" s="3488" t="s">
        <v>2927</v>
      </c>
      <c r="J6" s="3489"/>
      <c r="K6" s="514" t="s">
        <v>528</v>
      </c>
      <c r="L6" s="2118"/>
      <c r="M6" s="2119"/>
      <c r="N6" s="2119"/>
      <c r="O6" s="2119"/>
      <c r="P6" s="3480"/>
      <c r="Q6" s="3481"/>
      <c r="R6" s="3466"/>
      <c r="S6" s="3467"/>
      <c r="T6" s="3468"/>
      <c r="U6" s="3469"/>
      <c r="V6" s="3461"/>
      <c r="W6" s="3461"/>
      <c r="X6" s="1553"/>
      <c r="Y6" s="3468"/>
      <c r="Z6" s="3469"/>
      <c r="AA6" s="3472"/>
      <c r="AB6" s="3472"/>
      <c r="AC6" s="3472"/>
    </row>
    <row r="7" spans="1:29" s="1215" customFormat="1" ht="15" thickBot="1">
      <c r="A7" s="2867"/>
      <c r="B7" s="2874" t="s">
        <v>529</v>
      </c>
      <c r="C7" s="519">
        <f>'数据-取费表'!B2</f>
        <v>43902</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62" t="s">
        <v>530</v>
      </c>
      <c r="Q7" s="3473"/>
      <c r="R7" s="1554" t="s">
        <v>8</v>
      </c>
      <c r="S7" s="1555">
        <f t="shared" ref="S7:S15" si="0">F7</f>
        <v>0</v>
      </c>
      <c r="T7" s="1554" t="s">
        <v>8</v>
      </c>
      <c r="U7" s="1555">
        <f t="shared" ref="U7:U15" si="1">H7</f>
        <v>0</v>
      </c>
      <c r="V7" s="1554" t="s">
        <v>8</v>
      </c>
      <c r="W7" s="1555">
        <f t="shared" ref="W7:W15" si="2">J7</f>
        <v>0</v>
      </c>
      <c r="X7" s="1556"/>
      <c r="Y7" s="3462" t="s">
        <v>530</v>
      </c>
      <c r="Z7" s="3463"/>
      <c r="AA7" s="1557" t="e">
        <f>D7/F7</f>
        <v>#DIV/0!</v>
      </c>
      <c r="AB7" s="1557" t="e">
        <f>D7/H7</f>
        <v>#DIV/0!</v>
      </c>
      <c r="AC7" s="1557" t="e">
        <f>D7/J7</f>
        <v>#DIV/0!</v>
      </c>
    </row>
    <row r="8" spans="1:29" s="1215" customFormat="1" ht="1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62" t="s">
        <v>533</v>
      </c>
      <c r="Q8" s="3463"/>
      <c r="R8" s="1554" t="s">
        <v>8</v>
      </c>
      <c r="S8" s="1555">
        <f t="shared" si="0"/>
        <v>0</v>
      </c>
      <c r="T8" s="1554" t="s">
        <v>8</v>
      </c>
      <c r="U8" s="1555">
        <f t="shared" si="1"/>
        <v>0</v>
      </c>
      <c r="V8" s="1554" t="s">
        <v>8</v>
      </c>
      <c r="W8" s="1555">
        <f t="shared" si="2"/>
        <v>0</v>
      </c>
      <c r="X8" s="1556"/>
      <c r="Y8" s="3462" t="s">
        <v>533</v>
      </c>
      <c r="Z8" s="3463"/>
      <c r="AA8" s="1557" t="e">
        <f t="shared" ref="AA8:AA40" si="3">D8/F8</f>
        <v>#DIV/0!</v>
      </c>
      <c r="AB8" s="1557" t="e">
        <f t="shared" ref="AB8:AB40" si="4">D8/H8</f>
        <v>#DIV/0!</v>
      </c>
      <c r="AC8" s="1557" t="e">
        <f t="shared" ref="AC8:AC40" si="5">D8/J8</f>
        <v>#DIV/0!</v>
      </c>
    </row>
    <row r="9" spans="1:29" s="1215" customFormat="1" ht="14.4">
      <c r="A9" s="2869"/>
      <c r="B9" s="2876" t="s">
        <v>2753</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52" t="s">
        <v>535</v>
      </c>
      <c r="Q9" s="1146" t="str">
        <f t="shared" ref="Q9:Q15" si="6">B9</f>
        <v>用途</v>
      </c>
      <c r="R9" s="1554" t="s">
        <v>8</v>
      </c>
      <c r="S9" s="1555">
        <f t="shared" si="0"/>
        <v>100</v>
      </c>
      <c r="T9" s="1554" t="s">
        <v>8</v>
      </c>
      <c r="U9" s="1555">
        <f t="shared" si="1"/>
        <v>100</v>
      </c>
      <c r="V9" s="1554" t="s">
        <v>8</v>
      </c>
      <c r="W9" s="1555">
        <f t="shared" si="2"/>
        <v>100</v>
      </c>
      <c r="X9" s="1556"/>
      <c r="Y9" s="3416" t="s">
        <v>536</v>
      </c>
      <c r="Z9" s="1145" t="str">
        <f t="shared" ref="Z9:Z15" si="7">Q9</f>
        <v>用途</v>
      </c>
      <c r="AA9" s="1557">
        <f t="shared" si="3"/>
        <v>1</v>
      </c>
      <c r="AB9" s="1557">
        <f t="shared" si="4"/>
        <v>1</v>
      </c>
      <c r="AC9" s="1557">
        <f t="shared" si="5"/>
        <v>1</v>
      </c>
    </row>
    <row r="10" spans="1:29" s="1333" customFormat="1" ht="28.8">
      <c r="A10" s="2870"/>
      <c r="B10" s="2875" t="s">
        <v>2754</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52"/>
      <c r="Q10" s="1146" t="str">
        <f t="shared" si="6"/>
        <v>土地使用年限（年）</v>
      </c>
      <c r="R10" s="1554" t="s">
        <v>8</v>
      </c>
      <c r="S10" s="1555">
        <f t="shared" si="0"/>
        <v>100</v>
      </c>
      <c r="T10" s="1554" t="s">
        <v>8</v>
      </c>
      <c r="U10" s="1555">
        <f t="shared" si="1"/>
        <v>100</v>
      </c>
      <c r="V10" s="1554" t="s">
        <v>8</v>
      </c>
      <c r="W10" s="1555">
        <f t="shared" si="2"/>
        <v>100</v>
      </c>
      <c r="X10" s="1556"/>
      <c r="Y10" s="3416"/>
      <c r="Z10" s="1145"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52"/>
      <c r="Q11" s="1146" t="str">
        <f t="shared" si="6"/>
        <v>容积率</v>
      </c>
      <c r="R11" s="1554" t="s">
        <v>8</v>
      </c>
      <c r="S11" s="1555" t="e">
        <f t="shared" si="0"/>
        <v>#N/A</v>
      </c>
      <c r="T11" s="1554" t="s">
        <v>8</v>
      </c>
      <c r="U11" s="1555" t="e">
        <f t="shared" si="1"/>
        <v>#N/A</v>
      </c>
      <c r="V11" s="1554" t="s">
        <v>8</v>
      </c>
      <c r="W11" s="1555" t="e">
        <f t="shared" si="2"/>
        <v>#N/A</v>
      </c>
      <c r="X11" s="1556"/>
      <c r="Y11" s="3416"/>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452"/>
      <c r="Q12" s="1146">
        <f t="shared" si="6"/>
        <v>111</v>
      </c>
      <c r="R12" s="1554" t="s">
        <v>8</v>
      </c>
      <c r="S12" s="1555">
        <f t="shared" si="0"/>
        <v>100</v>
      </c>
      <c r="T12" s="1554" t="s">
        <v>8</v>
      </c>
      <c r="U12" s="1555">
        <f t="shared" si="1"/>
        <v>100</v>
      </c>
      <c r="V12" s="1554" t="s">
        <v>8</v>
      </c>
      <c r="W12" s="1555">
        <f t="shared" si="2"/>
        <v>100</v>
      </c>
      <c r="X12" s="1556"/>
      <c r="Y12" s="3416"/>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452"/>
      <c r="Q13" s="1146">
        <f t="shared" si="6"/>
        <v>111</v>
      </c>
      <c r="R13" s="1554" t="s">
        <v>8</v>
      </c>
      <c r="S13" s="1555">
        <f t="shared" si="0"/>
        <v>100</v>
      </c>
      <c r="T13" s="1554" t="s">
        <v>8</v>
      </c>
      <c r="U13" s="1555">
        <f t="shared" si="1"/>
        <v>100</v>
      </c>
      <c r="V13" s="1554" t="s">
        <v>8</v>
      </c>
      <c r="W13" s="1555">
        <f t="shared" si="2"/>
        <v>100</v>
      </c>
      <c r="X13" s="1556"/>
      <c r="Y13" s="3416"/>
      <c r="Z13" s="1145">
        <f t="shared" si="7"/>
        <v>111</v>
      </c>
      <c r="AA13" s="1557">
        <f t="shared" si="3"/>
        <v>1</v>
      </c>
      <c r="AB13" s="1557">
        <f t="shared" si="4"/>
        <v>1</v>
      </c>
      <c r="AC13" s="1557">
        <f t="shared" si="5"/>
        <v>1</v>
      </c>
    </row>
    <row r="14" spans="1:29" ht="15.6" thickBot="1">
      <c r="A14" s="2873"/>
      <c r="B14" s="2879">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452"/>
      <c r="Q14" s="1146">
        <f t="shared" si="6"/>
        <v>111</v>
      </c>
      <c r="R14" s="1554" t="s">
        <v>8</v>
      </c>
      <c r="S14" s="1555">
        <f t="shared" si="0"/>
        <v>100</v>
      </c>
      <c r="T14" s="1554" t="s">
        <v>8</v>
      </c>
      <c r="U14" s="1555">
        <f t="shared" si="1"/>
        <v>100</v>
      </c>
      <c r="V14" s="1554" t="s">
        <v>8</v>
      </c>
      <c r="W14" s="1555">
        <f t="shared" si="2"/>
        <v>100</v>
      </c>
      <c r="X14" s="1556"/>
      <c r="Y14" s="3416"/>
      <c r="Z14" s="1145">
        <f t="shared" si="7"/>
        <v>111</v>
      </c>
      <c r="AA14" s="1557">
        <f t="shared" si="3"/>
        <v>1</v>
      </c>
      <c r="AB14" s="1557">
        <f t="shared" si="4"/>
        <v>1</v>
      </c>
      <c r="AC14" s="1557">
        <f t="shared" si="5"/>
        <v>1</v>
      </c>
    </row>
    <row r="15" spans="1:29" ht="69">
      <c r="A15" s="2865" t="s">
        <v>2751</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454" t="s">
        <v>540</v>
      </c>
      <c r="Q15" s="1558" t="str">
        <f t="shared" si="6"/>
        <v>产业集聚程度</v>
      </c>
      <c r="R15" s="1559" t="s">
        <v>8</v>
      </c>
      <c r="S15" s="1560">
        <f t="shared" si="0"/>
        <v>100</v>
      </c>
      <c r="T15" s="1559" t="s">
        <v>8</v>
      </c>
      <c r="U15" s="1560">
        <f t="shared" si="1"/>
        <v>100</v>
      </c>
      <c r="V15" s="1559" t="s">
        <v>8</v>
      </c>
      <c r="W15" s="1560">
        <f t="shared" si="2"/>
        <v>100</v>
      </c>
      <c r="X15" s="1553"/>
      <c r="Y15" s="3454"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55"/>
      <c r="Q16" s="1558"/>
      <c r="R16" s="1559"/>
      <c r="S16" s="1560"/>
      <c r="T16" s="1559"/>
      <c r="U16" s="1560"/>
      <c r="V16" s="1559"/>
      <c r="W16" s="1560"/>
      <c r="X16" s="1553"/>
      <c r="Y16" s="3455"/>
      <c r="Z16" s="1561"/>
      <c r="AA16" s="1562">
        <v>1</v>
      </c>
      <c r="AB16" s="1562">
        <v>1</v>
      </c>
      <c r="AC16" s="1562">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455"/>
      <c r="Q17" s="1558" t="str">
        <f>B17</f>
        <v>交通便捷度</v>
      </c>
      <c r="R17" s="1559" t="s">
        <v>8</v>
      </c>
      <c r="S17" s="1560">
        <f>F17</f>
        <v>100</v>
      </c>
      <c r="T17" s="1559" t="s">
        <v>8</v>
      </c>
      <c r="U17" s="1560">
        <f>H17</f>
        <v>100</v>
      </c>
      <c r="V17" s="1559" t="s">
        <v>8</v>
      </c>
      <c r="W17" s="1560">
        <f>J17</f>
        <v>100</v>
      </c>
      <c r="X17" s="1553"/>
      <c r="Y17" s="3455"/>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55"/>
      <c r="Q18" s="1558"/>
      <c r="R18" s="1559"/>
      <c r="S18" s="1560"/>
      <c r="T18" s="1559"/>
      <c r="U18" s="1560"/>
      <c r="V18" s="1559"/>
      <c r="W18" s="1560"/>
      <c r="X18" s="1553"/>
      <c r="Y18" s="3455"/>
      <c r="Z18" s="1561"/>
      <c r="AA18" s="1562">
        <v>1</v>
      </c>
      <c r="AB18" s="1562">
        <v>1</v>
      </c>
      <c r="AC18" s="1562">
        <v>1</v>
      </c>
    </row>
    <row r="19" spans="1:29" ht="41.4">
      <c r="A19" s="532"/>
      <c r="B19" s="2567"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455"/>
      <c r="Q19" s="1558" t="str">
        <f>B19</f>
        <v>公共配套设施</v>
      </c>
      <c r="R19" s="1559" t="s">
        <v>8</v>
      </c>
      <c r="S19" s="1560">
        <f>F19</f>
        <v>100</v>
      </c>
      <c r="T19" s="1559" t="s">
        <v>8</v>
      </c>
      <c r="U19" s="1560">
        <f>H19</f>
        <v>100</v>
      </c>
      <c r="V19" s="1559" t="s">
        <v>8</v>
      </c>
      <c r="W19" s="1560">
        <f>J19</f>
        <v>100</v>
      </c>
      <c r="X19" s="1553"/>
      <c r="Y19" s="3455"/>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455"/>
      <c r="Q20" s="1558"/>
      <c r="R20" s="1559"/>
      <c r="S20" s="1560"/>
      <c r="T20" s="1559"/>
      <c r="U20" s="1560"/>
      <c r="V20" s="1559"/>
      <c r="W20" s="1560"/>
      <c r="X20" s="1553"/>
      <c r="Y20" s="3455"/>
      <c r="Z20" s="1561"/>
      <c r="AA20" s="1562">
        <v>1</v>
      </c>
      <c r="AB20" s="1562">
        <v>1</v>
      </c>
      <c r="AC20" s="1562">
        <v>1</v>
      </c>
    </row>
    <row r="21" spans="1:29" ht="41.4">
      <c r="A21" s="532"/>
      <c r="B21" s="2555"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455"/>
      <c r="Q21" s="2543" t="str">
        <f>B21</f>
        <v>基础设施水平</v>
      </c>
      <c r="R21" s="1559" t="s">
        <v>8</v>
      </c>
      <c r="S21" s="1560">
        <f>F21</f>
        <v>100</v>
      </c>
      <c r="T21" s="1559" t="s">
        <v>8</v>
      </c>
      <c r="U21" s="1560">
        <f>H21</f>
        <v>100</v>
      </c>
      <c r="V21" s="1559" t="s">
        <v>8</v>
      </c>
      <c r="W21" s="1560">
        <f>J21</f>
        <v>100</v>
      </c>
      <c r="X21" s="2545"/>
      <c r="Y21" s="3455"/>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55"/>
      <c r="Q22" s="2543"/>
      <c r="R22" s="1559"/>
      <c r="S22" s="1560"/>
      <c r="T22" s="1559"/>
      <c r="U22" s="1560"/>
      <c r="V22" s="1559"/>
      <c r="W22" s="1560"/>
      <c r="X22" s="2545"/>
      <c r="Y22" s="3455"/>
      <c r="Z22" s="2544"/>
      <c r="AA22" s="1562">
        <v>1</v>
      </c>
      <c r="AB22" s="1562">
        <v>1</v>
      </c>
      <c r="AC22" s="1562">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455"/>
      <c r="Q23" s="1558" t="str">
        <f>B23</f>
        <v>环境质量</v>
      </c>
      <c r="R23" s="1559" t="s">
        <v>8</v>
      </c>
      <c r="S23" s="1560">
        <f>F23</f>
        <v>100</v>
      </c>
      <c r="T23" s="1559" t="s">
        <v>8</v>
      </c>
      <c r="U23" s="1560">
        <f>H23</f>
        <v>100</v>
      </c>
      <c r="V23" s="1559" t="s">
        <v>8</v>
      </c>
      <c r="W23" s="1560">
        <f>J23</f>
        <v>100</v>
      </c>
      <c r="X23" s="1553"/>
      <c r="Y23" s="3455"/>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455"/>
      <c r="Q24" s="1558"/>
      <c r="R24" s="1559"/>
      <c r="S24" s="1560"/>
      <c r="T24" s="1559"/>
      <c r="U24" s="1560"/>
      <c r="V24" s="1559"/>
      <c r="W24" s="1560"/>
      <c r="X24" s="1553"/>
      <c r="Y24" s="3455"/>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55"/>
      <c r="Q25" s="1558">
        <f>B25</f>
        <v>111</v>
      </c>
      <c r="R25" s="1559" t="s">
        <v>8</v>
      </c>
      <c r="S25" s="1560">
        <f>F25</f>
        <v>100</v>
      </c>
      <c r="T25" s="1559" t="s">
        <v>8</v>
      </c>
      <c r="U25" s="1560">
        <f>H25</f>
        <v>100</v>
      </c>
      <c r="V25" s="1559" t="s">
        <v>8</v>
      </c>
      <c r="W25" s="1560">
        <f>J25</f>
        <v>100</v>
      </c>
      <c r="X25" s="1553"/>
      <c r="Y25" s="3455"/>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55"/>
      <c r="Q26" s="1558">
        <f t="shared" ref="Q26:Q40" si="11">B26</f>
        <v>111</v>
      </c>
      <c r="R26" s="1559" t="s">
        <v>8</v>
      </c>
      <c r="S26" s="1560">
        <f>F26</f>
        <v>100</v>
      </c>
      <c r="T26" s="1559" t="s">
        <v>8</v>
      </c>
      <c r="U26" s="1560">
        <f>H26</f>
        <v>100</v>
      </c>
      <c r="V26" s="1559" t="s">
        <v>8</v>
      </c>
      <c r="W26" s="1560">
        <f>J26</f>
        <v>100</v>
      </c>
      <c r="X26" s="1553"/>
      <c r="Y26" s="3455"/>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55"/>
      <c r="Q27" s="1146">
        <f t="shared" si="11"/>
        <v>111</v>
      </c>
      <c r="R27" s="1554" t="s">
        <v>8</v>
      </c>
      <c r="S27" s="1555">
        <f>F27</f>
        <v>100</v>
      </c>
      <c r="T27" s="1554" t="s">
        <v>8</v>
      </c>
      <c r="U27" s="1555">
        <f>H27</f>
        <v>100</v>
      </c>
      <c r="V27" s="1554" t="s">
        <v>8</v>
      </c>
      <c r="W27" s="1555">
        <f>J27</f>
        <v>100</v>
      </c>
      <c r="X27" s="1556"/>
      <c r="Y27" s="3455"/>
      <c r="Z27" s="1145">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455"/>
      <c r="Q28" s="1558">
        <f t="shared" si="11"/>
        <v>111</v>
      </c>
      <c r="R28" s="1559" t="s">
        <v>8</v>
      </c>
      <c r="S28" s="1560">
        <f t="shared" ref="S28:S40" si="12">F28</f>
        <v>100</v>
      </c>
      <c r="T28" s="1559" t="s">
        <v>8</v>
      </c>
      <c r="U28" s="1560">
        <f t="shared" ref="U28:U40" si="13">H28</f>
        <v>100</v>
      </c>
      <c r="V28" s="1559" t="s">
        <v>8</v>
      </c>
      <c r="W28" s="1560">
        <f t="shared" ref="W28:W40" si="14">J28</f>
        <v>100</v>
      </c>
      <c r="X28" s="1553"/>
      <c r="Y28" s="3455"/>
      <c r="Z28" s="1561">
        <f t="shared" ref="Z28:Z40" si="15">Q28</f>
        <v>111</v>
      </c>
      <c r="AA28" s="1562">
        <f t="shared" si="3"/>
        <v>1</v>
      </c>
      <c r="AB28" s="1562">
        <f t="shared" si="4"/>
        <v>1</v>
      </c>
      <c r="AC28" s="1562">
        <f t="shared" si="5"/>
        <v>1</v>
      </c>
    </row>
    <row r="29" spans="1:29" ht="15">
      <c r="A29" s="2862" t="s">
        <v>2752</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459" t="s">
        <v>550</v>
      </c>
      <c r="Q29" s="1558" t="str">
        <f t="shared" si="11"/>
        <v>建筑类型</v>
      </c>
      <c r="R29" s="1559" t="s">
        <v>8</v>
      </c>
      <c r="S29" s="1560">
        <f t="shared" si="12"/>
        <v>100</v>
      </c>
      <c r="T29" s="1559" t="s">
        <v>8</v>
      </c>
      <c r="U29" s="1560">
        <f t="shared" si="13"/>
        <v>100</v>
      </c>
      <c r="V29" s="1559" t="s">
        <v>8</v>
      </c>
      <c r="W29" s="1560">
        <f t="shared" si="14"/>
        <v>100</v>
      </c>
      <c r="X29" s="1553"/>
      <c r="Y29" s="3460" t="s">
        <v>550</v>
      </c>
      <c r="Z29" s="1561" t="str">
        <f t="shared" si="15"/>
        <v>建筑类型</v>
      </c>
      <c r="AA29" s="1562">
        <f t="shared" si="3"/>
        <v>1</v>
      </c>
      <c r="AB29" s="1562">
        <f t="shared" si="4"/>
        <v>1</v>
      </c>
      <c r="AC29" s="1562">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60"/>
      <c r="Q30" s="1590" t="str">
        <f t="shared" si="11"/>
        <v>项目建筑规模</v>
      </c>
      <c r="R30" s="1563" t="s">
        <v>8</v>
      </c>
      <c r="S30" s="1564" t="e">
        <f t="shared" si="12"/>
        <v>#N/A</v>
      </c>
      <c r="T30" s="1563" t="s">
        <v>8</v>
      </c>
      <c r="U30" s="1564" t="e">
        <f t="shared" si="13"/>
        <v>#N/A</v>
      </c>
      <c r="V30" s="1563" t="s">
        <v>8</v>
      </c>
      <c r="W30" s="1564" t="e">
        <f t="shared" si="14"/>
        <v>#N/A</v>
      </c>
      <c r="X30" s="1565"/>
      <c r="Y30" s="3460"/>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60"/>
      <c r="Q31" s="1558" t="str">
        <f t="shared" si="11"/>
        <v>建筑结构</v>
      </c>
      <c r="R31" s="1559" t="s">
        <v>8</v>
      </c>
      <c r="S31" s="1560">
        <f t="shared" si="12"/>
        <v>100</v>
      </c>
      <c r="T31" s="1559" t="s">
        <v>8</v>
      </c>
      <c r="U31" s="1560">
        <f t="shared" si="13"/>
        <v>100</v>
      </c>
      <c r="V31" s="1559" t="s">
        <v>8</v>
      </c>
      <c r="W31" s="1560">
        <f t="shared" si="14"/>
        <v>100</v>
      </c>
      <c r="X31" s="1553"/>
      <c r="Y31" s="3460"/>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60"/>
      <c r="Q32" s="1558" t="str">
        <f t="shared" si="11"/>
        <v>公共部分装修</v>
      </c>
      <c r="R32" s="1559" t="s">
        <v>8</v>
      </c>
      <c r="S32" s="1560">
        <f t="shared" si="12"/>
        <v>100</v>
      </c>
      <c r="T32" s="1559" t="s">
        <v>8</v>
      </c>
      <c r="U32" s="1560">
        <f t="shared" si="13"/>
        <v>100</v>
      </c>
      <c r="V32" s="1559" t="s">
        <v>8</v>
      </c>
      <c r="W32" s="1560">
        <f t="shared" si="14"/>
        <v>100</v>
      </c>
      <c r="X32" s="1553"/>
      <c r="Y32" s="3460"/>
      <c r="Z32" s="1561" t="str">
        <f t="shared" si="15"/>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460"/>
      <c r="Q33" s="1558" t="str">
        <f t="shared" si="11"/>
        <v>成新度</v>
      </c>
      <c r="R33" s="1559" t="s">
        <v>8</v>
      </c>
      <c r="S33" s="1560" t="e">
        <f t="shared" si="12"/>
        <v>#N/A</v>
      </c>
      <c r="T33" s="1559" t="s">
        <v>8</v>
      </c>
      <c r="U33" s="1560" t="e">
        <f t="shared" si="13"/>
        <v>#N/A</v>
      </c>
      <c r="V33" s="1559" t="s">
        <v>8</v>
      </c>
      <c r="W33" s="1560" t="e">
        <f t="shared" si="14"/>
        <v>#N/A</v>
      </c>
      <c r="X33" s="1553"/>
      <c r="Y33" s="3460"/>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60"/>
      <c r="Q34" s="1146" t="str">
        <f t="shared" si="11"/>
        <v>物业管理</v>
      </c>
      <c r="R34" s="1554" t="s">
        <v>8</v>
      </c>
      <c r="S34" s="1555">
        <f t="shared" si="12"/>
        <v>100</v>
      </c>
      <c r="T34" s="1554" t="s">
        <v>8</v>
      </c>
      <c r="U34" s="1555">
        <f t="shared" si="13"/>
        <v>100</v>
      </c>
      <c r="V34" s="1554" t="s">
        <v>8</v>
      </c>
      <c r="W34" s="1555">
        <f t="shared" si="14"/>
        <v>100</v>
      </c>
      <c r="X34" s="1556"/>
      <c r="Y34" s="3460"/>
      <c r="Z34" s="1145" t="str">
        <f t="shared" si="15"/>
        <v>物业管理</v>
      </c>
      <c r="AA34" s="1557">
        <f t="shared" si="3"/>
        <v>1</v>
      </c>
      <c r="AB34" s="1557">
        <f t="shared" si="4"/>
        <v>1</v>
      </c>
      <c r="AC34" s="1557">
        <f t="shared" si="5"/>
        <v>1</v>
      </c>
    </row>
    <row r="35" spans="1:29" ht="15">
      <c r="A35" s="594"/>
      <c r="B35" s="1880"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60" t="s">
        <v>550</v>
      </c>
      <c r="Q35" s="1558" t="str">
        <f t="shared" si="11"/>
        <v>市政基础设施</v>
      </c>
      <c r="R35" s="1559" t="s">
        <v>8</v>
      </c>
      <c r="S35" s="1560">
        <f t="shared" si="12"/>
        <v>100</v>
      </c>
      <c r="T35" s="1559" t="s">
        <v>8</v>
      </c>
      <c r="U35" s="1560">
        <f t="shared" si="13"/>
        <v>100</v>
      </c>
      <c r="V35" s="1559" t="s">
        <v>8</v>
      </c>
      <c r="W35" s="1560">
        <f t="shared" si="14"/>
        <v>100</v>
      </c>
      <c r="X35" s="1553"/>
      <c r="Y35" s="3460"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60"/>
      <c r="Q36" s="1558" t="str">
        <f t="shared" si="11"/>
        <v>内部装修</v>
      </c>
      <c r="R36" s="1559" t="s">
        <v>8</v>
      </c>
      <c r="S36" s="1560">
        <f t="shared" si="12"/>
        <v>100</v>
      </c>
      <c r="T36" s="1559" t="s">
        <v>8</v>
      </c>
      <c r="U36" s="1560">
        <f t="shared" si="13"/>
        <v>100</v>
      </c>
      <c r="V36" s="1559" t="s">
        <v>8</v>
      </c>
      <c r="W36" s="1560">
        <f t="shared" si="14"/>
        <v>100</v>
      </c>
      <c r="X36" s="1553"/>
      <c r="Y36" s="3460"/>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60"/>
      <c r="Q37" s="1558" t="str">
        <f t="shared" si="11"/>
        <v>内部装修状况</v>
      </c>
      <c r="R37" s="1559" t="s">
        <v>8</v>
      </c>
      <c r="S37" s="1560">
        <f t="shared" si="12"/>
        <v>100</v>
      </c>
      <c r="T37" s="1559" t="s">
        <v>8</v>
      </c>
      <c r="U37" s="1560">
        <f t="shared" si="13"/>
        <v>100</v>
      </c>
      <c r="V37" s="1559" t="s">
        <v>8</v>
      </c>
      <c r="W37" s="1560">
        <f t="shared" si="14"/>
        <v>100</v>
      </c>
      <c r="X37" s="1553"/>
      <c r="Y37" s="3460"/>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460"/>
      <c r="Q38" s="1590">
        <f t="shared" si="11"/>
        <v>111</v>
      </c>
      <c r="R38" s="1563" t="s">
        <v>8</v>
      </c>
      <c r="S38" s="1564">
        <f t="shared" si="12"/>
        <v>100</v>
      </c>
      <c r="T38" s="1563" t="s">
        <v>8</v>
      </c>
      <c r="U38" s="1564">
        <f t="shared" si="13"/>
        <v>100</v>
      </c>
      <c r="V38" s="1563" t="s">
        <v>8</v>
      </c>
      <c r="W38" s="1564">
        <f t="shared" si="14"/>
        <v>100</v>
      </c>
      <c r="X38" s="1565"/>
      <c r="Y38" s="3460"/>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460"/>
      <c r="Q39" s="1558">
        <f t="shared" si="11"/>
        <v>111</v>
      </c>
      <c r="R39" s="1559" t="s">
        <v>8</v>
      </c>
      <c r="S39" s="1560">
        <f t="shared" si="12"/>
        <v>100</v>
      </c>
      <c r="T39" s="1559" t="s">
        <v>8</v>
      </c>
      <c r="U39" s="1560">
        <f t="shared" si="13"/>
        <v>100</v>
      </c>
      <c r="V39" s="1559" t="s">
        <v>8</v>
      </c>
      <c r="W39" s="1560">
        <f t="shared" si="14"/>
        <v>100</v>
      </c>
      <c r="X39" s="1553"/>
      <c r="Y39" s="3460"/>
      <c r="Z39" s="1561">
        <f t="shared" si="15"/>
        <v>111</v>
      </c>
      <c r="AA39" s="1562">
        <f t="shared" si="3"/>
        <v>1</v>
      </c>
      <c r="AB39" s="1562">
        <f t="shared" si="4"/>
        <v>1</v>
      </c>
      <c r="AC39" s="1562">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573"/>
      <c r="Q40" s="1558">
        <f t="shared" si="11"/>
        <v>111</v>
      </c>
      <c r="R40" s="1559" t="s">
        <v>8</v>
      </c>
      <c r="S40" s="1560">
        <f t="shared" si="12"/>
        <v>100</v>
      </c>
      <c r="T40" s="1559" t="s">
        <v>8</v>
      </c>
      <c r="U40" s="1560">
        <f t="shared" si="13"/>
        <v>100</v>
      </c>
      <c r="V40" s="1559" t="s">
        <v>8</v>
      </c>
      <c r="W40" s="1560">
        <f t="shared" si="14"/>
        <v>100</v>
      </c>
      <c r="X40" s="1553"/>
      <c r="Y40" s="3573"/>
      <c r="Z40" s="1561">
        <f t="shared" si="15"/>
        <v>111</v>
      </c>
      <c r="AA40" s="1562">
        <f t="shared" si="3"/>
        <v>1</v>
      </c>
      <c r="AB40" s="1562">
        <f t="shared" si="4"/>
        <v>1</v>
      </c>
      <c r="AC40" s="1562">
        <f t="shared" si="5"/>
        <v>1</v>
      </c>
    </row>
    <row r="41" spans="1:29" ht="14.4">
      <c r="A41" s="607" t="s">
        <v>736</v>
      </c>
      <c r="B41" s="886"/>
      <c r="C41" s="2591" t="s">
        <v>1</v>
      </c>
      <c r="D41" s="2592"/>
      <c r="E41" s="2593"/>
      <c r="F41" s="2594"/>
      <c r="G41" s="2595"/>
      <c r="H41" s="2596"/>
      <c r="I41" s="2593"/>
      <c r="J41" s="2596"/>
      <c r="K41" s="1596"/>
      <c r="L41" s="2129"/>
      <c r="M41" s="2130"/>
      <c r="N41" s="2119"/>
      <c r="O41" s="2130"/>
      <c r="P41" s="3452" t="str">
        <f>A41</f>
        <v>成交单价（元/平方米）</v>
      </c>
      <c r="Q41" s="3452"/>
      <c r="R41" s="3572">
        <f>E41</f>
        <v>0</v>
      </c>
      <c r="S41" s="3572"/>
      <c r="T41" s="3572">
        <f>G41</f>
        <v>0</v>
      </c>
      <c r="U41" s="3572"/>
      <c r="V41" s="3572">
        <f>I41</f>
        <v>0</v>
      </c>
      <c r="W41" s="3572"/>
      <c r="X41" s="1545"/>
      <c r="Y41" s="1567"/>
      <c r="Z41" s="1545"/>
      <c r="AA41" s="1545"/>
      <c r="AB41" s="1545"/>
      <c r="AC41" s="1545"/>
    </row>
    <row r="42" spans="1:29" ht="15" thickBot="1">
      <c r="A42" s="615" t="s">
        <v>2757</v>
      </c>
      <c r="B42" s="887"/>
      <c r="C42" s="2597" t="e">
        <f>R43</f>
        <v>#DIV/0!</v>
      </c>
      <c r="D42" s="2598"/>
      <c r="E42" s="2599" t="e">
        <f>R42</f>
        <v>#DIV/0!</v>
      </c>
      <c r="F42" s="2599"/>
      <c r="G42" s="2597" t="e">
        <f>T42</f>
        <v>#DIV/0!</v>
      </c>
      <c r="H42" s="2598"/>
      <c r="I42" s="2599" t="e">
        <f>V42</f>
        <v>#DIV/0!</v>
      </c>
      <c r="J42" s="2598"/>
      <c r="K42" s="1597"/>
      <c r="L42" s="2129"/>
      <c r="M42" s="2130"/>
      <c r="N42" s="2119"/>
      <c r="O42" s="2130"/>
      <c r="P42" s="3452" t="str">
        <f>A42</f>
        <v>比较价格（元/平方米）</v>
      </c>
      <c r="Q42" s="3452"/>
      <c r="R42" s="3572" t="e">
        <f>IF(F1="售价",ROUND(PRODUCT(R41,AA7:AA40),0),ROUND(PRODUCT(R41,AA7:AA40),1))</f>
        <v>#DIV/0!</v>
      </c>
      <c r="S42" s="3572"/>
      <c r="T42" s="3572" t="e">
        <f>IF(F1="售价",ROUND(PRODUCT(T41,AB7:AB40),0),ROUND(PRODUCT(T41,AB7:AB40),1))</f>
        <v>#DIV/0!</v>
      </c>
      <c r="U42" s="3572"/>
      <c r="V42" s="3572" t="e">
        <f>IF(F1="售价",ROUND(PRODUCT(V41,AC7:AC40),0),ROUND(PRODUCT(V41,AC7:AC40),1))</f>
        <v>#DIV/0!</v>
      </c>
      <c r="W42" s="3572"/>
      <c r="X42" s="1545"/>
      <c r="Y42" s="1545"/>
      <c r="Z42" s="1545"/>
      <c r="AA42" s="1545"/>
      <c r="AB42" s="1545"/>
      <c r="AC42" s="1545"/>
    </row>
    <row r="43" spans="1:29" ht="15" thickBot="1">
      <c r="A43" s="621" t="s">
        <v>2929</v>
      </c>
      <c r="B43" s="622"/>
      <c r="C43" s="2600" t="e">
        <f>R43</f>
        <v>#DIV/0!</v>
      </c>
      <c r="D43" s="2600"/>
      <c r="E43" s="2600"/>
      <c r="F43" s="2600"/>
      <c r="G43" s="2600"/>
      <c r="H43" s="2600"/>
      <c r="I43" s="2600"/>
      <c r="J43" s="2600"/>
      <c r="K43" s="1598"/>
      <c r="L43" s="2129"/>
      <c r="M43" s="2130"/>
      <c r="N43" s="2130"/>
      <c r="O43" s="2130"/>
      <c r="P43" s="3456" t="str">
        <f>A43</f>
        <v>估价对象XX用房的比较价格（楼面单价，元/平方米）</v>
      </c>
      <c r="Q43" s="3457"/>
      <c r="R43" s="3571" t="e">
        <f>IF(F1="售价",ROUND(AVERAGE(R42:V42),0),ROUND(AVERAGE(R42:V42),1))</f>
        <v>#DIV/0!</v>
      </c>
      <c r="S43" s="3571"/>
      <c r="T43" s="3571"/>
      <c r="U43" s="3571"/>
      <c r="V43" s="3571"/>
      <c r="W43" s="3571"/>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4.4">
      <c r="A52" s="645" t="s">
        <v>529</v>
      </c>
      <c r="B52" s="646"/>
      <c r="C52" s="2757" t="str">
        <f>YEAR(C7)&amp;"-"&amp;MONTH(C7)</f>
        <v>2020-3</v>
      </c>
      <c r="D52" s="2759">
        <f>EDATE(C52,-1)</f>
        <v>43862</v>
      </c>
      <c r="E52" s="2759">
        <f t="shared" ref="E52:O52" si="16">EDATE(D52,-1)</f>
        <v>43831</v>
      </c>
      <c r="F52" s="2759">
        <f t="shared" si="16"/>
        <v>43800</v>
      </c>
      <c r="G52" s="2759">
        <f t="shared" si="16"/>
        <v>43770</v>
      </c>
      <c r="H52" s="2759">
        <f t="shared" si="16"/>
        <v>43739</v>
      </c>
      <c r="I52" s="2759">
        <f t="shared" si="16"/>
        <v>43709</v>
      </c>
      <c r="J52" s="2759">
        <f t="shared" si="16"/>
        <v>43678</v>
      </c>
      <c r="K52" s="2759">
        <f t="shared" si="16"/>
        <v>43647</v>
      </c>
      <c r="L52" s="2759">
        <f t="shared" si="16"/>
        <v>43617</v>
      </c>
      <c r="M52" s="2759">
        <f t="shared" si="16"/>
        <v>43586</v>
      </c>
      <c r="N52" s="2759">
        <f t="shared" si="16"/>
        <v>43556</v>
      </c>
      <c r="O52" s="2759">
        <f t="shared" si="16"/>
        <v>43525</v>
      </c>
      <c r="P52" s="2145"/>
      <c r="Q52" s="2146"/>
      <c r="R52" s="2146"/>
      <c r="S52" s="2146"/>
      <c r="T52" s="2146"/>
      <c r="U52" s="2146"/>
      <c r="V52" s="2146"/>
      <c r="W52" s="2146"/>
      <c r="X52" s="2146"/>
      <c r="Y52" s="2146"/>
      <c r="Z52" s="2146"/>
      <c r="AA52" s="2146"/>
      <c r="AB52" s="2146"/>
      <c r="AC52" s="2146"/>
    </row>
    <row r="53" spans="1:29" s="1215"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4.4">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4.4"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4.4">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4.4"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4.4"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4.4"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4.4"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4.4"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4.4"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4.4">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 thickTop="1">
      <c r="A74" s="669"/>
      <c r="B74" s="1881" t="s">
        <v>2555</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2561" t="s">
        <v>2556</v>
      </c>
      <c r="C76" s="2562" t="s">
        <v>2557</v>
      </c>
      <c r="D76" s="2562" t="s">
        <v>2558</v>
      </c>
      <c r="E76" s="2562" t="s">
        <v>2559</v>
      </c>
      <c r="F76" s="2562" t="s">
        <v>2560</v>
      </c>
      <c r="G76" s="2562" t="s">
        <v>2561</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4.4"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4.4"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4.4"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4.4"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4.4"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4.4"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4.4"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4.4">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2554</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4.4"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4.4"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4.4"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4.4"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2074</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797</v>
      </c>
      <c r="B4" s="513"/>
      <c r="C4" s="3474" t="s">
        <v>798</v>
      </c>
      <c r="D4" s="3475"/>
      <c r="E4" s="3474" t="s">
        <v>799</v>
      </c>
      <c r="F4" s="3475"/>
      <c r="G4" s="3474" t="s">
        <v>800</v>
      </c>
      <c r="H4" s="3475"/>
      <c r="I4" s="3474" t="s">
        <v>801</v>
      </c>
      <c r="J4" s="3475"/>
      <c r="K4" s="514" t="s">
        <v>802</v>
      </c>
      <c r="L4" s="2118"/>
      <c r="M4" s="2119"/>
      <c r="N4" s="2119"/>
      <c r="O4" s="2119"/>
      <c r="P4" s="3476" t="s">
        <v>803</v>
      </c>
      <c r="Q4" s="3477"/>
      <c r="R4" s="3464" t="s">
        <v>799</v>
      </c>
      <c r="S4" s="3465"/>
      <c r="T4" s="3464" t="s">
        <v>800</v>
      </c>
      <c r="U4" s="3465"/>
      <c r="V4" s="3461" t="s">
        <v>801</v>
      </c>
      <c r="W4" s="3461"/>
      <c r="X4" s="1553"/>
      <c r="Y4" s="3464" t="s">
        <v>803</v>
      </c>
      <c r="Z4" s="3465"/>
      <c r="AA4" s="3470" t="s">
        <v>799</v>
      </c>
      <c r="AB4" s="3471" t="s">
        <v>800</v>
      </c>
      <c r="AC4" s="3470" t="s">
        <v>801</v>
      </c>
    </row>
    <row r="5" spans="1:29">
      <c r="A5" s="515"/>
      <c r="B5" s="516"/>
      <c r="C5" s="3482" t="s">
        <v>2923</v>
      </c>
      <c r="D5" s="3483"/>
      <c r="E5" s="3482" t="s">
        <v>2924</v>
      </c>
      <c r="F5" s="3483"/>
      <c r="G5" s="3482" t="s">
        <v>2925</v>
      </c>
      <c r="H5" s="3483"/>
      <c r="I5" s="3482" t="s">
        <v>2926</v>
      </c>
      <c r="J5" s="3483"/>
      <c r="K5" s="514"/>
      <c r="L5" s="2118"/>
      <c r="M5" s="2119"/>
      <c r="N5" s="2119"/>
      <c r="O5" s="2119"/>
      <c r="P5" s="3478"/>
      <c r="Q5" s="3479"/>
      <c r="R5" s="3466"/>
      <c r="S5" s="3467"/>
      <c r="T5" s="3466"/>
      <c r="U5" s="3467"/>
      <c r="V5" s="3461"/>
      <c r="W5" s="3461"/>
      <c r="X5" s="1553"/>
      <c r="Y5" s="3466"/>
      <c r="Z5" s="3467"/>
      <c r="AA5" s="3471"/>
      <c r="AB5" s="3471"/>
      <c r="AC5" s="3471"/>
    </row>
    <row r="6" spans="1:29" ht="15" thickBot="1">
      <c r="A6" s="517"/>
      <c r="B6" s="518"/>
      <c r="C6" s="3488" t="s">
        <v>2927</v>
      </c>
      <c r="D6" s="3489"/>
      <c r="E6" s="3486" t="s">
        <v>2927</v>
      </c>
      <c r="F6" s="3487"/>
      <c r="G6" s="3488" t="s">
        <v>2927</v>
      </c>
      <c r="H6" s="3489"/>
      <c r="I6" s="3488" t="s">
        <v>2927</v>
      </c>
      <c r="J6" s="3489"/>
      <c r="K6" s="514" t="s">
        <v>528</v>
      </c>
      <c r="L6" s="2118"/>
      <c r="M6" s="2119"/>
      <c r="N6" s="2119"/>
      <c r="O6" s="2119"/>
      <c r="P6" s="3480"/>
      <c r="Q6" s="3481"/>
      <c r="R6" s="3466"/>
      <c r="S6" s="3467"/>
      <c r="T6" s="3468"/>
      <c r="U6" s="3469"/>
      <c r="V6" s="3461"/>
      <c r="W6" s="3461"/>
      <c r="X6" s="1553"/>
      <c r="Y6" s="3468"/>
      <c r="Z6" s="3469"/>
      <c r="AA6" s="3472"/>
      <c r="AB6" s="3472"/>
      <c r="AC6" s="3472"/>
    </row>
    <row r="7" spans="1:29" s="1215" customFormat="1" ht="15" thickBot="1">
      <c r="A7" s="2867"/>
      <c r="B7" s="2874" t="s">
        <v>529</v>
      </c>
      <c r="C7" s="519">
        <f>'数据-取费表'!B2</f>
        <v>43902</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62" t="s">
        <v>530</v>
      </c>
      <c r="Q7" s="3473"/>
      <c r="R7" s="1554" t="s">
        <v>8</v>
      </c>
      <c r="S7" s="1555">
        <f t="shared" ref="S7:S14" si="0">F7</f>
        <v>0</v>
      </c>
      <c r="T7" s="1554" t="s">
        <v>8</v>
      </c>
      <c r="U7" s="1555">
        <f t="shared" ref="U7:U14" si="1">H7</f>
        <v>0</v>
      </c>
      <c r="V7" s="1554" t="s">
        <v>8</v>
      </c>
      <c r="W7" s="1555">
        <f t="shared" ref="W7:W14" si="2">J7</f>
        <v>0</v>
      </c>
      <c r="X7" s="1556"/>
      <c r="Y7" s="3462" t="s">
        <v>530</v>
      </c>
      <c r="Z7" s="3463"/>
      <c r="AA7" s="1557" t="e">
        <f>D7/F7</f>
        <v>#DIV/0!</v>
      </c>
      <c r="AB7" s="1557" t="e">
        <f>D7/H7</f>
        <v>#DIV/0!</v>
      </c>
      <c r="AC7" s="1557" t="e">
        <f>D7/J7</f>
        <v>#DIV/0!</v>
      </c>
    </row>
    <row r="8" spans="1:29" s="1215" customFormat="1" ht="1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62" t="s">
        <v>533</v>
      </c>
      <c r="Q8" s="3463"/>
      <c r="R8" s="1554" t="s">
        <v>8</v>
      </c>
      <c r="S8" s="1555">
        <f t="shared" si="0"/>
        <v>0</v>
      </c>
      <c r="T8" s="1554" t="s">
        <v>8</v>
      </c>
      <c r="U8" s="1555">
        <f t="shared" si="1"/>
        <v>0</v>
      </c>
      <c r="V8" s="1554" t="s">
        <v>8</v>
      </c>
      <c r="W8" s="1555">
        <f t="shared" si="2"/>
        <v>0</v>
      </c>
      <c r="X8" s="1556"/>
      <c r="Y8" s="3462" t="s">
        <v>533</v>
      </c>
      <c r="Z8" s="3463"/>
      <c r="AA8" s="1557" t="e">
        <f t="shared" ref="AA8:AA36" si="3">D8/F8</f>
        <v>#DIV/0!</v>
      </c>
      <c r="AB8" s="1557" t="e">
        <f t="shared" ref="AB8:AB36" si="4">D8/H8</f>
        <v>#DIV/0!</v>
      </c>
      <c r="AC8" s="1557" t="e">
        <f t="shared" ref="AC8:AC36" si="5">D8/J8</f>
        <v>#DIV/0!</v>
      </c>
    </row>
    <row r="9" spans="1:29" s="1215" customFormat="1" ht="14.4">
      <c r="A9" s="2869"/>
      <c r="B9" s="2876" t="s">
        <v>2753</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52" t="s">
        <v>535</v>
      </c>
      <c r="Q9" s="1146" t="str">
        <f t="shared" ref="Q9:Q14" si="6">B9</f>
        <v>用途</v>
      </c>
      <c r="R9" s="1554" t="s">
        <v>8</v>
      </c>
      <c r="S9" s="1555">
        <f t="shared" si="0"/>
        <v>100</v>
      </c>
      <c r="T9" s="1554" t="s">
        <v>8</v>
      </c>
      <c r="U9" s="1555">
        <f t="shared" si="1"/>
        <v>100</v>
      </c>
      <c r="V9" s="1554" t="s">
        <v>8</v>
      </c>
      <c r="W9" s="1555">
        <f t="shared" si="2"/>
        <v>100</v>
      </c>
      <c r="X9" s="1556"/>
      <c r="Y9" s="3416" t="s">
        <v>536</v>
      </c>
      <c r="Z9" s="1145" t="str">
        <f t="shared" ref="Z9:Z14" si="7">Q9</f>
        <v>用途</v>
      </c>
      <c r="AA9" s="1557">
        <f t="shared" si="3"/>
        <v>1</v>
      </c>
      <c r="AB9" s="1557">
        <f t="shared" si="4"/>
        <v>1</v>
      </c>
      <c r="AC9" s="1557">
        <f t="shared" si="5"/>
        <v>1</v>
      </c>
    </row>
    <row r="10" spans="1:29" s="1333" customFormat="1" ht="28.8">
      <c r="A10" s="2870"/>
      <c r="B10" s="2875" t="s">
        <v>2754</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52"/>
      <c r="Q10" s="1146" t="str">
        <f t="shared" si="6"/>
        <v>土地使用年限（年）</v>
      </c>
      <c r="R10" s="1554" t="s">
        <v>8</v>
      </c>
      <c r="S10" s="1555">
        <f t="shared" si="0"/>
        <v>100</v>
      </c>
      <c r="T10" s="1554" t="s">
        <v>8</v>
      </c>
      <c r="U10" s="1555">
        <f t="shared" si="1"/>
        <v>100</v>
      </c>
      <c r="V10" s="1554" t="s">
        <v>8</v>
      </c>
      <c r="W10" s="1555">
        <f t="shared" si="2"/>
        <v>100</v>
      </c>
      <c r="X10" s="1556"/>
      <c r="Y10" s="3416"/>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52"/>
      <c r="Q11" s="1146">
        <f t="shared" si="6"/>
        <v>111</v>
      </c>
      <c r="R11" s="1554" t="s">
        <v>8</v>
      </c>
      <c r="S11" s="1555">
        <f t="shared" si="0"/>
        <v>100</v>
      </c>
      <c r="T11" s="1554" t="s">
        <v>8</v>
      </c>
      <c r="U11" s="1555">
        <f t="shared" si="1"/>
        <v>100</v>
      </c>
      <c r="V11" s="1554" t="s">
        <v>8</v>
      </c>
      <c r="W11" s="1555">
        <f t="shared" si="2"/>
        <v>100</v>
      </c>
      <c r="X11" s="1556"/>
      <c r="Y11" s="3416"/>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52"/>
      <c r="Q12" s="1146">
        <f t="shared" si="6"/>
        <v>111</v>
      </c>
      <c r="R12" s="1554" t="s">
        <v>8</v>
      </c>
      <c r="S12" s="1555">
        <f t="shared" si="0"/>
        <v>100</v>
      </c>
      <c r="T12" s="1554" t="s">
        <v>8</v>
      </c>
      <c r="U12" s="1555">
        <f t="shared" si="1"/>
        <v>100</v>
      </c>
      <c r="V12" s="1554" t="s">
        <v>8</v>
      </c>
      <c r="W12" s="1555">
        <f t="shared" si="2"/>
        <v>100</v>
      </c>
      <c r="X12" s="1556"/>
      <c r="Y12" s="3416"/>
      <c r="Z12" s="1145">
        <f t="shared" si="7"/>
        <v>111</v>
      </c>
      <c r="AA12" s="1557">
        <f>D12/F12</f>
        <v>1</v>
      </c>
      <c r="AB12" s="1557">
        <f>D12/H12</f>
        <v>1</v>
      </c>
      <c r="AC12" s="1557">
        <f>D12/J12</f>
        <v>1</v>
      </c>
    </row>
    <row r="13" spans="1:29" ht="15.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52"/>
      <c r="Q13" s="1146">
        <f t="shared" si="6"/>
        <v>111</v>
      </c>
      <c r="R13" s="1554" t="s">
        <v>8</v>
      </c>
      <c r="S13" s="1555">
        <f t="shared" si="0"/>
        <v>100</v>
      </c>
      <c r="T13" s="1554" t="s">
        <v>8</v>
      </c>
      <c r="U13" s="1555">
        <f t="shared" si="1"/>
        <v>100</v>
      </c>
      <c r="V13" s="1554" t="s">
        <v>8</v>
      </c>
      <c r="W13" s="1555">
        <f t="shared" si="2"/>
        <v>100</v>
      </c>
      <c r="X13" s="1556"/>
      <c r="Y13" s="3416"/>
      <c r="Z13" s="1145">
        <f t="shared" si="7"/>
        <v>111</v>
      </c>
      <c r="AA13" s="1557">
        <f t="shared" si="3"/>
        <v>1</v>
      </c>
      <c r="AB13" s="1557">
        <f t="shared" si="4"/>
        <v>1</v>
      </c>
      <c r="AC13" s="1557">
        <f t="shared" si="5"/>
        <v>1</v>
      </c>
    </row>
    <row r="14" spans="1:29" ht="15">
      <c r="A14" s="2865" t="s">
        <v>2751</v>
      </c>
      <c r="B14" s="547" t="s">
        <v>543</v>
      </c>
      <c r="C14" s="920"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454" t="s">
        <v>540</v>
      </c>
      <c r="Q14" s="1558" t="str">
        <f t="shared" si="6"/>
        <v>交通便捷度</v>
      </c>
      <c r="R14" s="1559" t="s">
        <v>8</v>
      </c>
      <c r="S14" s="1560">
        <f t="shared" si="0"/>
        <v>100</v>
      </c>
      <c r="T14" s="1559" t="s">
        <v>8</v>
      </c>
      <c r="U14" s="1560">
        <f t="shared" si="1"/>
        <v>100</v>
      </c>
      <c r="V14" s="1559" t="s">
        <v>8</v>
      </c>
      <c r="W14" s="1560">
        <f t="shared" si="2"/>
        <v>100</v>
      </c>
      <c r="X14" s="1553"/>
      <c r="Y14" s="3454"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455"/>
      <c r="Q15" s="1558"/>
      <c r="R15" s="1559"/>
      <c r="S15" s="1560"/>
      <c r="T15" s="1559"/>
      <c r="U15" s="1560"/>
      <c r="V15" s="1559"/>
      <c r="W15" s="1560"/>
      <c r="X15" s="1553"/>
      <c r="Y15" s="3455"/>
      <c r="Z15" s="1561"/>
      <c r="AA15" s="1562">
        <v>1</v>
      </c>
      <c r="AB15" s="1562">
        <v>1</v>
      </c>
      <c r="AC15" s="1562">
        <v>1</v>
      </c>
    </row>
    <row r="16" spans="1:29" ht="15">
      <c r="A16" s="515"/>
      <c r="B16" s="2567" t="s">
        <v>2544</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455"/>
      <c r="Q16" s="1558" t="str">
        <f>B16</f>
        <v>公共配套设施</v>
      </c>
      <c r="R16" s="1559" t="s">
        <v>8</v>
      </c>
      <c r="S16" s="1560">
        <f>F16</f>
        <v>100</v>
      </c>
      <c r="T16" s="1559" t="s">
        <v>8</v>
      </c>
      <c r="U16" s="1560">
        <f>H16</f>
        <v>100</v>
      </c>
      <c r="V16" s="1559" t="s">
        <v>8</v>
      </c>
      <c r="W16" s="1560">
        <f>J16</f>
        <v>100</v>
      </c>
      <c r="X16" s="1553"/>
      <c r="Y16" s="3455"/>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7"/>
      <c r="M17" s="2119"/>
      <c r="N17" s="2119"/>
      <c r="O17" s="2126"/>
      <c r="P17" s="3455"/>
      <c r="Q17" s="1558"/>
      <c r="R17" s="1559"/>
      <c r="S17" s="1560"/>
      <c r="T17" s="1559"/>
      <c r="U17" s="1560"/>
      <c r="V17" s="1559"/>
      <c r="W17" s="1560"/>
      <c r="X17" s="1553"/>
      <c r="Y17" s="3455"/>
      <c r="Z17" s="1561"/>
      <c r="AA17" s="1562">
        <v>1</v>
      </c>
      <c r="AB17" s="1562">
        <v>1</v>
      </c>
      <c r="AC17" s="1562">
        <v>1</v>
      </c>
    </row>
    <row r="18" spans="1:29" ht="15">
      <c r="A18" s="515"/>
      <c r="B18" s="2555" t="s">
        <v>2556</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455"/>
      <c r="Q18" s="2543" t="str">
        <f>B18</f>
        <v>基础设施水平</v>
      </c>
      <c r="R18" s="1559" t="s">
        <v>8</v>
      </c>
      <c r="S18" s="1560">
        <f>F18</f>
        <v>100</v>
      </c>
      <c r="T18" s="1559" t="s">
        <v>8</v>
      </c>
      <c r="U18" s="1560">
        <f>H18</f>
        <v>100</v>
      </c>
      <c r="V18" s="1559" t="s">
        <v>8</v>
      </c>
      <c r="W18" s="1560">
        <f>J18</f>
        <v>100</v>
      </c>
      <c r="X18" s="2545"/>
      <c r="Y18" s="3455"/>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55"/>
      <c r="Q19" s="2543"/>
      <c r="R19" s="1559"/>
      <c r="S19" s="1560"/>
      <c r="T19" s="1559"/>
      <c r="U19" s="1560"/>
      <c r="V19" s="1559"/>
      <c r="W19" s="1560"/>
      <c r="X19" s="2545"/>
      <c r="Y19" s="3455"/>
      <c r="Z19" s="2544"/>
      <c r="AA19" s="1562">
        <v>1</v>
      </c>
      <c r="AB19" s="1562">
        <v>1</v>
      </c>
      <c r="AC19" s="1562">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455"/>
      <c r="Q20" s="1558" t="str">
        <f>B20</f>
        <v>自然及人文环境</v>
      </c>
      <c r="R20" s="1559" t="s">
        <v>8</v>
      </c>
      <c r="S20" s="1560">
        <f>F20</f>
        <v>100</v>
      </c>
      <c r="T20" s="1559" t="s">
        <v>8</v>
      </c>
      <c r="U20" s="1560">
        <f>H20</f>
        <v>100</v>
      </c>
      <c r="V20" s="1559" t="s">
        <v>8</v>
      </c>
      <c r="W20" s="1560">
        <f>J20</f>
        <v>100</v>
      </c>
      <c r="X20" s="1553"/>
      <c r="Y20" s="3455"/>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455"/>
      <c r="Q21" s="1558"/>
      <c r="R21" s="1559"/>
      <c r="S21" s="1560"/>
      <c r="T21" s="1559"/>
      <c r="U21" s="1560"/>
      <c r="V21" s="1559"/>
      <c r="W21" s="1560"/>
      <c r="X21" s="1553"/>
      <c r="Y21" s="3455"/>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55"/>
      <c r="Q22" s="1558" t="str">
        <f>B22</f>
        <v>楼层</v>
      </c>
      <c r="R22" s="1559" t="s">
        <v>8</v>
      </c>
      <c r="S22" s="1560">
        <f>F22</f>
        <v>100</v>
      </c>
      <c r="T22" s="1559" t="s">
        <v>8</v>
      </c>
      <c r="U22" s="1560">
        <f>H22</f>
        <v>100</v>
      </c>
      <c r="V22" s="1559" t="s">
        <v>8</v>
      </c>
      <c r="W22" s="1560">
        <f>J22</f>
        <v>100</v>
      </c>
      <c r="X22" s="1553"/>
      <c r="Y22" s="3455"/>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55"/>
      <c r="Q23" s="1558">
        <f>B23</f>
        <v>111</v>
      </c>
      <c r="R23" s="1559" t="s">
        <v>8</v>
      </c>
      <c r="S23" s="1560">
        <f>F23</f>
        <v>100</v>
      </c>
      <c r="T23" s="1559" t="s">
        <v>8</v>
      </c>
      <c r="U23" s="1560">
        <f>H23</f>
        <v>100</v>
      </c>
      <c r="V23" s="1559" t="s">
        <v>8</v>
      </c>
      <c r="W23" s="1560">
        <f>J23</f>
        <v>100</v>
      </c>
      <c r="X23" s="1553"/>
      <c r="Y23" s="3455"/>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55"/>
      <c r="Q24" s="1558">
        <f t="shared" ref="Q24:Q36" si="11">B24</f>
        <v>111</v>
      </c>
      <c r="R24" s="1559" t="s">
        <v>8</v>
      </c>
      <c r="S24" s="1560">
        <f>F24</f>
        <v>100</v>
      </c>
      <c r="T24" s="1559" t="s">
        <v>8</v>
      </c>
      <c r="U24" s="1560">
        <f>H24</f>
        <v>100</v>
      </c>
      <c r="V24" s="1559" t="s">
        <v>8</v>
      </c>
      <c r="W24" s="1560">
        <f>J24</f>
        <v>100</v>
      </c>
      <c r="X24" s="1553"/>
      <c r="Y24" s="3455"/>
      <c r="Z24" s="1561">
        <f>Q24</f>
        <v>111</v>
      </c>
      <c r="AA24" s="1562">
        <f t="shared" si="3"/>
        <v>1</v>
      </c>
      <c r="AB24" s="1562">
        <f t="shared" si="4"/>
        <v>1</v>
      </c>
      <c r="AC24" s="1562">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455"/>
      <c r="Q25" s="1146">
        <f t="shared" si="11"/>
        <v>111</v>
      </c>
      <c r="R25" s="1554" t="s">
        <v>8</v>
      </c>
      <c r="S25" s="1555">
        <f>F25</f>
        <v>100</v>
      </c>
      <c r="T25" s="1554" t="s">
        <v>8</v>
      </c>
      <c r="U25" s="1555">
        <f>H25</f>
        <v>100</v>
      </c>
      <c r="V25" s="1554" t="s">
        <v>8</v>
      </c>
      <c r="W25" s="1555">
        <f>J25</f>
        <v>100</v>
      </c>
      <c r="X25" s="1556"/>
      <c r="Y25" s="3455"/>
      <c r="Z25" s="1145">
        <f>Q25</f>
        <v>111</v>
      </c>
      <c r="AA25" s="1562">
        <f>D25/F25</f>
        <v>1</v>
      </c>
      <c r="AB25" s="1562">
        <f>D25/H25</f>
        <v>1</v>
      </c>
      <c r="AC25" s="1562">
        <f>D25/J25</f>
        <v>1</v>
      </c>
    </row>
    <row r="26" spans="1:29" ht="15">
      <c r="A26" s="2862" t="s">
        <v>2752</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59"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60" t="s">
        <v>550</v>
      </c>
      <c r="Z26" s="1561" t="str">
        <f t="shared" ref="Z26:Z36" si="15">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460"/>
      <c r="Q27" s="1590" t="str">
        <f t="shared" si="11"/>
        <v>项目停车位配比</v>
      </c>
      <c r="R27" s="1563" t="s">
        <v>8</v>
      </c>
      <c r="S27" s="1564">
        <f t="shared" si="12"/>
        <v>100</v>
      </c>
      <c r="T27" s="1563" t="s">
        <v>8</v>
      </c>
      <c r="U27" s="1564">
        <f t="shared" si="13"/>
        <v>100</v>
      </c>
      <c r="V27" s="1563" t="s">
        <v>8</v>
      </c>
      <c r="W27" s="1564">
        <f t="shared" si="14"/>
        <v>100</v>
      </c>
      <c r="X27" s="1565"/>
      <c r="Y27" s="3460"/>
      <c r="Z27" s="1566" t="str">
        <f t="shared" si="15"/>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60"/>
      <c r="Q28" s="1558" t="str">
        <f t="shared" si="11"/>
        <v>公共部分装修</v>
      </c>
      <c r="R28" s="1559" t="s">
        <v>8</v>
      </c>
      <c r="S28" s="1560">
        <f t="shared" si="12"/>
        <v>100</v>
      </c>
      <c r="T28" s="1559" t="s">
        <v>8</v>
      </c>
      <c r="U28" s="1560">
        <f t="shared" si="13"/>
        <v>100</v>
      </c>
      <c r="V28" s="1559" t="s">
        <v>8</v>
      </c>
      <c r="W28" s="1560">
        <f t="shared" si="14"/>
        <v>100</v>
      </c>
      <c r="X28" s="1553"/>
      <c r="Y28" s="3460"/>
      <c r="Z28" s="1561" t="str">
        <f t="shared" si="15"/>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460"/>
      <c r="Q29" s="1558" t="str">
        <f t="shared" si="11"/>
        <v>成新率</v>
      </c>
      <c r="R29" s="1559" t="s">
        <v>8</v>
      </c>
      <c r="S29" s="1560" t="e">
        <f t="shared" si="12"/>
        <v>#N/A</v>
      </c>
      <c r="T29" s="1559" t="s">
        <v>8</v>
      </c>
      <c r="U29" s="1560" t="e">
        <f t="shared" si="13"/>
        <v>#N/A</v>
      </c>
      <c r="V29" s="1559" t="s">
        <v>8</v>
      </c>
      <c r="W29" s="1560" t="e">
        <f t="shared" si="14"/>
        <v>#N/A</v>
      </c>
      <c r="X29" s="1553"/>
      <c r="Y29" s="3460"/>
      <c r="Z29" s="1561" t="str">
        <f t="shared" si="15"/>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460"/>
      <c r="Q30" s="1558" t="str">
        <f t="shared" si="11"/>
        <v>物业等级</v>
      </c>
      <c r="R30" s="1559" t="s">
        <v>8</v>
      </c>
      <c r="S30" s="1560">
        <f t="shared" si="12"/>
        <v>100</v>
      </c>
      <c r="T30" s="1559" t="s">
        <v>8</v>
      </c>
      <c r="U30" s="1560">
        <f t="shared" si="13"/>
        <v>100</v>
      </c>
      <c r="V30" s="1559" t="s">
        <v>8</v>
      </c>
      <c r="W30" s="1560">
        <f t="shared" si="14"/>
        <v>100</v>
      </c>
      <c r="X30" s="1553"/>
      <c r="Y30" s="3460"/>
      <c r="Z30" s="1561" t="str">
        <f t="shared" si="15"/>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460"/>
      <c r="Q31" s="1146" t="str">
        <f t="shared" si="11"/>
        <v>停车位面积</v>
      </c>
      <c r="R31" s="1554" t="s">
        <v>8</v>
      </c>
      <c r="S31" s="1555" t="e">
        <f t="shared" si="12"/>
        <v>#N/A</v>
      </c>
      <c r="T31" s="1554" t="s">
        <v>8</v>
      </c>
      <c r="U31" s="1555" t="e">
        <f t="shared" si="13"/>
        <v>#N/A</v>
      </c>
      <c r="V31" s="1554" t="s">
        <v>8</v>
      </c>
      <c r="W31" s="1555" t="e">
        <f t="shared" si="14"/>
        <v>#N/A</v>
      </c>
      <c r="X31" s="1556"/>
      <c r="Y31" s="3460"/>
      <c r="Z31" s="1145" t="str">
        <f t="shared" si="15"/>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60" t="s">
        <v>550</v>
      </c>
      <c r="Q32" s="1558" t="str">
        <f t="shared" si="11"/>
        <v>车位类型</v>
      </c>
      <c r="R32" s="1559" t="s">
        <v>8</v>
      </c>
      <c r="S32" s="1560">
        <f t="shared" si="12"/>
        <v>100</v>
      </c>
      <c r="T32" s="1559" t="s">
        <v>8</v>
      </c>
      <c r="U32" s="1560">
        <f t="shared" si="13"/>
        <v>100</v>
      </c>
      <c r="V32" s="1559" t="s">
        <v>8</v>
      </c>
      <c r="W32" s="1560">
        <f t="shared" si="14"/>
        <v>100</v>
      </c>
      <c r="X32" s="1553"/>
      <c r="Y32" s="3460" t="s">
        <v>550</v>
      </c>
      <c r="Z32" s="1561" t="str">
        <f t="shared" si="15"/>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60"/>
      <c r="Q33" s="1558" t="str">
        <f t="shared" si="11"/>
        <v>是否直接入户</v>
      </c>
      <c r="R33" s="1559" t="s">
        <v>8</v>
      </c>
      <c r="S33" s="1560">
        <f t="shared" si="12"/>
        <v>100</v>
      </c>
      <c r="T33" s="1559" t="s">
        <v>8</v>
      </c>
      <c r="U33" s="1560">
        <f t="shared" si="13"/>
        <v>100</v>
      </c>
      <c r="V33" s="1559" t="s">
        <v>8</v>
      </c>
      <c r="W33" s="1560">
        <f t="shared" si="14"/>
        <v>100</v>
      </c>
      <c r="X33" s="1553"/>
      <c r="Y33" s="3460"/>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60"/>
      <c r="Q34" s="1558">
        <f t="shared" si="11"/>
        <v>111</v>
      </c>
      <c r="R34" s="1559" t="s">
        <v>8</v>
      </c>
      <c r="S34" s="1560">
        <f t="shared" si="12"/>
        <v>100</v>
      </c>
      <c r="T34" s="1559" t="s">
        <v>8</v>
      </c>
      <c r="U34" s="1560">
        <f t="shared" si="13"/>
        <v>100</v>
      </c>
      <c r="V34" s="1559" t="s">
        <v>8</v>
      </c>
      <c r="W34" s="1560">
        <f t="shared" si="14"/>
        <v>100</v>
      </c>
      <c r="X34" s="1553"/>
      <c r="Y34" s="3460"/>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60"/>
      <c r="Q35" s="1590">
        <f t="shared" si="11"/>
        <v>111</v>
      </c>
      <c r="R35" s="1563" t="s">
        <v>8</v>
      </c>
      <c r="S35" s="1564">
        <f t="shared" si="12"/>
        <v>100</v>
      </c>
      <c r="T35" s="1563" t="s">
        <v>8</v>
      </c>
      <c r="U35" s="1564">
        <f t="shared" si="13"/>
        <v>100</v>
      </c>
      <c r="V35" s="1563" t="s">
        <v>8</v>
      </c>
      <c r="W35" s="1564">
        <f t="shared" si="14"/>
        <v>100</v>
      </c>
      <c r="X35" s="1565"/>
      <c r="Y35" s="3460"/>
      <c r="Z35" s="1566">
        <f t="shared" si="15"/>
        <v>111</v>
      </c>
      <c r="AA35" s="1562">
        <f t="shared" si="3"/>
        <v>1</v>
      </c>
      <c r="AB35" s="1562">
        <f t="shared" si="4"/>
        <v>1</v>
      </c>
      <c r="AC35" s="1562">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60"/>
      <c r="Q36" s="1558">
        <f t="shared" si="11"/>
        <v>111</v>
      </c>
      <c r="R36" s="1559" t="s">
        <v>8</v>
      </c>
      <c r="S36" s="1560">
        <f t="shared" si="12"/>
        <v>100</v>
      </c>
      <c r="T36" s="1559" t="s">
        <v>8</v>
      </c>
      <c r="U36" s="1560">
        <f t="shared" si="13"/>
        <v>100</v>
      </c>
      <c r="V36" s="1559" t="s">
        <v>8</v>
      </c>
      <c r="W36" s="1560">
        <f t="shared" si="14"/>
        <v>100</v>
      </c>
      <c r="X36" s="1553"/>
      <c r="Y36" s="3460"/>
      <c r="Z36" s="1561">
        <f t="shared" si="15"/>
        <v>111</v>
      </c>
      <c r="AA36" s="1562">
        <f t="shared" si="3"/>
        <v>1</v>
      </c>
      <c r="AB36" s="1562">
        <f t="shared" si="4"/>
        <v>1</v>
      </c>
      <c r="AC36" s="1562">
        <f t="shared" si="5"/>
        <v>1</v>
      </c>
    </row>
    <row r="37" spans="1:29" ht="14.4">
      <c r="A37" s="1831" t="s">
        <v>2075</v>
      </c>
      <c r="B37" s="1832" t="s">
        <v>2076</v>
      </c>
      <c r="C37" s="2591" t="s">
        <v>1</v>
      </c>
      <c r="D37" s="2592"/>
      <c r="E37" s="2593"/>
      <c r="F37" s="2594"/>
      <c r="G37" s="2595"/>
      <c r="H37" s="2596"/>
      <c r="I37" s="2593"/>
      <c r="J37" s="2596"/>
      <c r="K37" s="1596"/>
      <c r="L37" s="2129"/>
      <c r="M37" s="2130"/>
      <c r="N37" s="2119"/>
      <c r="O37" s="2130"/>
      <c r="P37" s="3452" t="str">
        <f>A37</f>
        <v>成交单价</v>
      </c>
      <c r="Q37" s="3452"/>
      <c r="R37" s="3572">
        <f>E37</f>
        <v>0</v>
      </c>
      <c r="S37" s="3572"/>
      <c r="T37" s="3572">
        <f>G37</f>
        <v>0</v>
      </c>
      <c r="U37" s="3572"/>
      <c r="V37" s="3572">
        <f>I37</f>
        <v>0</v>
      </c>
      <c r="W37" s="3572"/>
      <c r="X37" s="1545"/>
      <c r="Y37" s="1567"/>
      <c r="Z37" s="1545"/>
      <c r="AA37" s="1545"/>
      <c r="AB37" s="1545"/>
      <c r="AC37" s="1545"/>
    </row>
    <row r="38" spans="1:29" ht="15" thickBot="1">
      <c r="A38" s="615" t="s">
        <v>2757</v>
      </c>
      <c r="B38" s="887"/>
      <c r="C38" s="2597" t="e">
        <f>R39</f>
        <v>#DIV/0!</v>
      </c>
      <c r="D38" s="2598"/>
      <c r="E38" s="2599" t="e">
        <f>R38</f>
        <v>#DIV/0!</v>
      </c>
      <c r="F38" s="2599"/>
      <c r="G38" s="2597" t="e">
        <f>T38</f>
        <v>#DIV/0!</v>
      </c>
      <c r="H38" s="2598"/>
      <c r="I38" s="2599" t="e">
        <f>V38</f>
        <v>#DIV/0!</v>
      </c>
      <c r="J38" s="2598"/>
      <c r="K38" s="1597"/>
      <c r="L38" s="2129"/>
      <c r="M38" s="2130"/>
      <c r="N38" s="2130"/>
      <c r="O38" s="2130"/>
      <c r="P38" s="3452" t="str">
        <f>A38</f>
        <v>比较价格（元/平方米）</v>
      </c>
      <c r="Q38" s="3452"/>
      <c r="R38" s="3572" t="e">
        <f>IF(F1="售价",ROUND(PRODUCT(R37,AA7:AA36),0),ROUND(PRODUCT(R37,AA7:AA36),1))</f>
        <v>#DIV/0!</v>
      </c>
      <c r="S38" s="3572"/>
      <c r="T38" s="3572" t="e">
        <f>IF(F1="售价",ROUND(PRODUCT(T37,AB7:AB36),0),ROUND(PRODUCT(T37,AB7:AB36),1))</f>
        <v>#DIV/0!</v>
      </c>
      <c r="U38" s="3572"/>
      <c r="V38" s="3572" t="e">
        <f>IF(F1="售价",ROUND(PRODUCT(V37,AC7:AC36),0),ROUND(PRODUCT(V37,AC7:AC36),1))</f>
        <v>#DIV/0!</v>
      </c>
      <c r="W38" s="3572"/>
      <c r="X38" s="1545"/>
      <c r="Y38" s="1545"/>
      <c r="Z38" s="1545"/>
      <c r="AA38" s="1545"/>
      <c r="AB38" s="1545"/>
      <c r="AC38" s="1545"/>
    </row>
    <row r="39" spans="1:29" ht="15" thickBot="1">
      <c r="A39" s="621" t="s">
        <v>2929</v>
      </c>
      <c r="B39" s="622"/>
      <c r="C39" s="2600" t="e">
        <f>R39</f>
        <v>#DIV/0!</v>
      </c>
      <c r="D39" s="2600"/>
      <c r="E39" s="2600"/>
      <c r="F39" s="2600"/>
      <c r="G39" s="2600"/>
      <c r="H39" s="2600"/>
      <c r="I39" s="2600"/>
      <c r="J39" s="2600"/>
      <c r="K39" s="1598"/>
      <c r="L39" s="2129"/>
      <c r="M39" s="2130"/>
      <c r="N39" s="2130"/>
      <c r="O39" s="2130"/>
      <c r="P39" s="3456" t="str">
        <f>A39</f>
        <v>估价对象XX用房的比较价格（楼面单价，元/平方米）</v>
      </c>
      <c r="Q39" s="3457"/>
      <c r="R39" s="3571" t="e">
        <f>IF(F1="售价",ROUND(AVERAGE(R38:V38),0),ROUND(AVERAGE(R38:V38),1))</f>
        <v>#DIV/0!</v>
      </c>
      <c r="S39" s="3571"/>
      <c r="T39" s="3571"/>
      <c r="U39" s="3571"/>
      <c r="V39" s="3571"/>
      <c r="W39" s="3571"/>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4.4">
      <c r="A48" s="645" t="s">
        <v>529</v>
      </c>
      <c r="B48" s="646"/>
      <c r="C48" s="2757" t="str">
        <f>YEAR(C7)&amp;"-"&amp;MONTH(C7)</f>
        <v>2020-3</v>
      </c>
      <c r="D48" s="2759">
        <f>EDATE(C48,-1)</f>
        <v>43862</v>
      </c>
      <c r="E48" s="2759">
        <f t="shared" ref="E48:O48" si="16">EDATE(D48,-1)</f>
        <v>43831</v>
      </c>
      <c r="F48" s="2759">
        <f t="shared" si="16"/>
        <v>43800</v>
      </c>
      <c r="G48" s="2759">
        <f t="shared" si="16"/>
        <v>43770</v>
      </c>
      <c r="H48" s="2759">
        <f t="shared" si="16"/>
        <v>43739</v>
      </c>
      <c r="I48" s="2759">
        <f t="shared" si="16"/>
        <v>43709</v>
      </c>
      <c r="J48" s="2759">
        <f t="shared" si="16"/>
        <v>43678</v>
      </c>
      <c r="K48" s="2759">
        <f t="shared" si="16"/>
        <v>43647</v>
      </c>
      <c r="L48" s="2759">
        <f t="shared" si="16"/>
        <v>43617</v>
      </c>
      <c r="M48" s="2759">
        <f t="shared" si="16"/>
        <v>43586</v>
      </c>
      <c r="N48" s="2759">
        <f t="shared" si="16"/>
        <v>43556</v>
      </c>
      <c r="O48" s="2759">
        <f t="shared" si="16"/>
        <v>43525</v>
      </c>
      <c r="P48" s="2145"/>
      <c r="Q48" s="2146"/>
      <c r="R48" s="2146"/>
      <c r="S48" s="2146"/>
      <c r="T48" s="2146"/>
      <c r="U48" s="2146"/>
      <c r="V48" s="2146"/>
      <c r="W48" s="2146"/>
      <c r="X48" s="2146"/>
      <c r="Y48" s="2146"/>
      <c r="Z48" s="2146"/>
      <c r="AA48" s="2146"/>
      <c r="AB48" s="2146"/>
      <c r="AC48" s="2146"/>
    </row>
    <row r="49" spans="1:29" s="1215" customFormat="1">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4.4">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4.4"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4.4">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4.4"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4.4"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4.4"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4.4"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4.4"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4.4"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1881" t="s">
        <v>2555</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2561" t="s">
        <v>2556</v>
      </c>
      <c r="C67" s="2562" t="s">
        <v>2557</v>
      </c>
      <c r="D67" s="2562" t="s">
        <v>2558</v>
      </c>
      <c r="E67" s="2562" t="s">
        <v>2559</v>
      </c>
      <c r="F67" s="2562" t="s">
        <v>2560</v>
      </c>
      <c r="G67" s="2562" t="s">
        <v>2561</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4.4"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4.4"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4.4"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4.4"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4.4"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9.4"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 thickTop="1">
      <c r="A81" s="669"/>
      <c r="B81" s="673"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4.4"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4.4"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4.4"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4.4"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4.4"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4.4"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797</v>
      </c>
      <c r="B4" s="513"/>
      <c r="C4" s="3474" t="s">
        <v>798</v>
      </c>
      <c r="D4" s="3475"/>
      <c r="E4" s="3495" t="s">
        <v>799</v>
      </c>
      <c r="F4" s="3496"/>
      <c r="G4" s="3474" t="s">
        <v>800</v>
      </c>
      <c r="H4" s="3475"/>
      <c r="I4" s="3474" t="s">
        <v>801</v>
      </c>
      <c r="J4" s="3475"/>
      <c r="K4" s="514" t="s">
        <v>802</v>
      </c>
      <c r="L4" s="2118"/>
      <c r="M4" s="2119"/>
      <c r="N4" s="2119"/>
      <c r="O4" s="2119"/>
      <c r="P4" s="3476" t="s">
        <v>803</v>
      </c>
      <c r="Q4" s="3477"/>
      <c r="R4" s="3464" t="s">
        <v>799</v>
      </c>
      <c r="S4" s="3465"/>
      <c r="T4" s="3464" t="s">
        <v>800</v>
      </c>
      <c r="U4" s="3465"/>
      <c r="V4" s="3461" t="s">
        <v>801</v>
      </c>
      <c r="W4" s="3461"/>
      <c r="X4" s="1553"/>
      <c r="Y4" s="3464" t="s">
        <v>803</v>
      </c>
      <c r="Z4" s="3465"/>
      <c r="AA4" s="3470" t="s">
        <v>799</v>
      </c>
      <c r="AB4" s="3471" t="s">
        <v>800</v>
      </c>
      <c r="AC4" s="3470" t="s">
        <v>801</v>
      </c>
    </row>
    <row r="5" spans="1:29">
      <c r="A5" s="515"/>
      <c r="B5" s="516"/>
      <c r="C5" s="3482" t="s">
        <v>2923</v>
      </c>
      <c r="D5" s="3483"/>
      <c r="E5" s="3497" t="s">
        <v>2924</v>
      </c>
      <c r="F5" s="3498"/>
      <c r="G5" s="3482" t="s">
        <v>2925</v>
      </c>
      <c r="H5" s="3483"/>
      <c r="I5" s="3482" t="s">
        <v>2926</v>
      </c>
      <c r="J5" s="3483"/>
      <c r="K5" s="514"/>
      <c r="L5" s="2118"/>
      <c r="M5" s="2119"/>
      <c r="N5" s="2119"/>
      <c r="O5" s="2119"/>
      <c r="P5" s="3478"/>
      <c r="Q5" s="3479"/>
      <c r="R5" s="3466"/>
      <c r="S5" s="3467"/>
      <c r="T5" s="3466"/>
      <c r="U5" s="3467"/>
      <c r="V5" s="3461"/>
      <c r="W5" s="3461"/>
      <c r="X5" s="1553"/>
      <c r="Y5" s="3466"/>
      <c r="Z5" s="3467"/>
      <c r="AA5" s="3471"/>
      <c r="AB5" s="3471"/>
      <c r="AC5" s="3471"/>
    </row>
    <row r="6" spans="1:29" ht="15" thickBot="1">
      <c r="A6" s="517"/>
      <c r="B6" s="518"/>
      <c r="C6" s="3488" t="s">
        <v>2927</v>
      </c>
      <c r="D6" s="3489"/>
      <c r="E6" s="3499" t="s">
        <v>2927</v>
      </c>
      <c r="F6" s="3500"/>
      <c r="G6" s="3488" t="s">
        <v>2927</v>
      </c>
      <c r="H6" s="3489"/>
      <c r="I6" s="3488" t="s">
        <v>2927</v>
      </c>
      <c r="J6" s="3489"/>
      <c r="K6" s="514" t="s">
        <v>528</v>
      </c>
      <c r="L6" s="2118"/>
      <c r="M6" s="2119"/>
      <c r="N6" s="2119"/>
      <c r="O6" s="2119"/>
      <c r="P6" s="3480"/>
      <c r="Q6" s="3481"/>
      <c r="R6" s="3466"/>
      <c r="S6" s="3467"/>
      <c r="T6" s="3468"/>
      <c r="U6" s="3469"/>
      <c r="V6" s="3461"/>
      <c r="W6" s="3461"/>
      <c r="X6" s="1553"/>
      <c r="Y6" s="3468"/>
      <c r="Z6" s="3469"/>
      <c r="AA6" s="3472"/>
      <c r="AB6" s="3472"/>
      <c r="AC6" s="3472"/>
    </row>
    <row r="7" spans="1:29" s="1215" customFormat="1" ht="15" thickBot="1">
      <c r="A7" s="2867"/>
      <c r="B7" s="2874" t="s">
        <v>529</v>
      </c>
      <c r="C7" s="519">
        <f>'数据-取费表'!B2</f>
        <v>43902</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62" t="s">
        <v>530</v>
      </c>
      <c r="Q7" s="3473"/>
      <c r="R7" s="1554" t="s">
        <v>8</v>
      </c>
      <c r="S7" s="1555">
        <f t="shared" ref="S7:S14" si="0">F7</f>
        <v>0</v>
      </c>
      <c r="T7" s="1554" t="s">
        <v>8</v>
      </c>
      <c r="U7" s="1555">
        <f t="shared" ref="U7:U14" si="1">H7</f>
        <v>0</v>
      </c>
      <c r="V7" s="1554" t="s">
        <v>8</v>
      </c>
      <c r="W7" s="1555">
        <f t="shared" ref="W7:W14" si="2">J7</f>
        <v>0</v>
      </c>
      <c r="X7" s="1556"/>
      <c r="Y7" s="3462" t="s">
        <v>530</v>
      </c>
      <c r="Z7" s="3463"/>
      <c r="AA7" s="1557" t="e">
        <f>D7/F7</f>
        <v>#DIV/0!</v>
      </c>
      <c r="AB7" s="1557" t="e">
        <f>D7/H7</f>
        <v>#DIV/0!</v>
      </c>
      <c r="AC7" s="1557" t="e">
        <f>D7/J7</f>
        <v>#DIV/0!</v>
      </c>
    </row>
    <row r="8" spans="1:29" s="1215" customFormat="1" ht="1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62" t="s">
        <v>533</v>
      </c>
      <c r="Q8" s="3463"/>
      <c r="R8" s="1554" t="s">
        <v>8</v>
      </c>
      <c r="S8" s="1555">
        <f t="shared" si="0"/>
        <v>0</v>
      </c>
      <c r="T8" s="1554" t="s">
        <v>8</v>
      </c>
      <c r="U8" s="1555">
        <f t="shared" si="1"/>
        <v>0</v>
      </c>
      <c r="V8" s="1554" t="s">
        <v>8</v>
      </c>
      <c r="W8" s="1555">
        <f t="shared" si="2"/>
        <v>0</v>
      </c>
      <c r="X8" s="1556"/>
      <c r="Y8" s="3462" t="s">
        <v>533</v>
      </c>
      <c r="Z8" s="3463"/>
      <c r="AA8" s="1557" t="e">
        <f t="shared" ref="AA8:AA34" si="3">D8/F8</f>
        <v>#DIV/0!</v>
      </c>
      <c r="AB8" s="1557" t="e">
        <f t="shared" ref="AB8:AB34" si="4">D8/H8</f>
        <v>#DIV/0!</v>
      </c>
      <c r="AC8" s="1557" t="e">
        <f t="shared" ref="AC8:AC34" si="5">D8/J8</f>
        <v>#DIV/0!</v>
      </c>
    </row>
    <row r="9" spans="1:29" s="1215" customFormat="1" ht="14.4">
      <c r="A9" s="2869"/>
      <c r="B9" s="2876" t="s">
        <v>2753</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52" t="s">
        <v>535</v>
      </c>
      <c r="Q9" s="1146" t="str">
        <f t="shared" ref="Q9:Q14" si="6">B9</f>
        <v>用途</v>
      </c>
      <c r="R9" s="1554" t="s">
        <v>8</v>
      </c>
      <c r="S9" s="1555">
        <f t="shared" si="0"/>
        <v>100</v>
      </c>
      <c r="T9" s="1554" t="s">
        <v>8</v>
      </c>
      <c r="U9" s="1555">
        <f t="shared" si="1"/>
        <v>100</v>
      </c>
      <c r="V9" s="1554" t="s">
        <v>8</v>
      </c>
      <c r="W9" s="1555">
        <f t="shared" si="2"/>
        <v>100</v>
      </c>
      <c r="X9" s="1556"/>
      <c r="Y9" s="3416" t="s">
        <v>536</v>
      </c>
      <c r="Z9" s="1145" t="str">
        <f t="shared" ref="Z9:Z14" si="7">Q9</f>
        <v>用途</v>
      </c>
      <c r="AA9" s="1557">
        <f t="shared" si="3"/>
        <v>1</v>
      </c>
      <c r="AB9" s="1557">
        <f t="shared" si="4"/>
        <v>1</v>
      </c>
      <c r="AC9" s="1557">
        <f t="shared" si="5"/>
        <v>1</v>
      </c>
    </row>
    <row r="10" spans="1:29" s="1333" customFormat="1" ht="28.8">
      <c r="A10" s="2870"/>
      <c r="B10" s="2875" t="s">
        <v>2754</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52"/>
      <c r="Q10" s="1146" t="str">
        <f t="shared" si="6"/>
        <v>土地使用年限（年）</v>
      </c>
      <c r="R10" s="1554" t="s">
        <v>8</v>
      </c>
      <c r="S10" s="1555">
        <f t="shared" si="0"/>
        <v>100</v>
      </c>
      <c r="T10" s="1554" t="s">
        <v>8</v>
      </c>
      <c r="U10" s="1555">
        <f t="shared" si="1"/>
        <v>100</v>
      </c>
      <c r="V10" s="1554" t="s">
        <v>8</v>
      </c>
      <c r="W10" s="1555">
        <f t="shared" si="2"/>
        <v>100</v>
      </c>
      <c r="X10" s="1556"/>
      <c r="Y10" s="3416"/>
      <c r="Z10" s="1145" t="str">
        <f t="shared" si="7"/>
        <v>土地使用年限（年）</v>
      </c>
      <c r="AA10" s="1557">
        <f t="shared" si="3"/>
        <v>1</v>
      </c>
      <c r="AB10" s="1557">
        <f t="shared" si="4"/>
        <v>1</v>
      </c>
      <c r="AC10" s="1557">
        <f t="shared" si="5"/>
        <v>1</v>
      </c>
    </row>
    <row r="11" spans="1:29" ht="15">
      <c r="A11" s="2872"/>
      <c r="B11" s="2878">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452"/>
      <c r="Q11" s="1146">
        <f t="shared" si="6"/>
        <v>111</v>
      </c>
      <c r="R11" s="1554" t="s">
        <v>8</v>
      </c>
      <c r="S11" s="1555">
        <f t="shared" si="0"/>
        <v>100</v>
      </c>
      <c r="T11" s="1554" t="s">
        <v>8</v>
      </c>
      <c r="U11" s="1555">
        <f t="shared" si="1"/>
        <v>100</v>
      </c>
      <c r="V11" s="1554" t="s">
        <v>8</v>
      </c>
      <c r="W11" s="1555">
        <f t="shared" si="2"/>
        <v>100</v>
      </c>
      <c r="X11" s="1556"/>
      <c r="Y11" s="3416"/>
      <c r="Z11" s="1145">
        <f t="shared" si="7"/>
        <v>111</v>
      </c>
      <c r="AA11" s="1557">
        <f t="shared" si="3"/>
        <v>1</v>
      </c>
      <c r="AB11" s="1557">
        <f t="shared" si="4"/>
        <v>1</v>
      </c>
      <c r="AC11" s="1557">
        <f t="shared" si="5"/>
        <v>1</v>
      </c>
    </row>
    <row r="12" spans="1:29" s="1215" customFormat="1" ht="15">
      <c r="A12" s="2872"/>
      <c r="B12" s="2878">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452"/>
      <c r="Q12" s="1146">
        <f t="shared" si="6"/>
        <v>111</v>
      </c>
      <c r="R12" s="1554" t="s">
        <v>8</v>
      </c>
      <c r="S12" s="1555">
        <f t="shared" si="0"/>
        <v>100</v>
      </c>
      <c r="T12" s="1554" t="s">
        <v>8</v>
      </c>
      <c r="U12" s="1555">
        <f t="shared" si="1"/>
        <v>100</v>
      </c>
      <c r="V12" s="1554" t="s">
        <v>8</v>
      </c>
      <c r="W12" s="1555">
        <f t="shared" si="2"/>
        <v>100</v>
      </c>
      <c r="X12" s="1556"/>
      <c r="Y12" s="3416"/>
      <c r="Z12" s="1145">
        <f t="shared" si="7"/>
        <v>111</v>
      </c>
      <c r="AA12" s="1557">
        <f>D12/F12</f>
        <v>1</v>
      </c>
      <c r="AB12" s="1557">
        <f>D12/H12</f>
        <v>1</v>
      </c>
      <c r="AC12" s="1557">
        <f>D12/J12</f>
        <v>1</v>
      </c>
    </row>
    <row r="13" spans="1:29" ht="15.6" thickBot="1">
      <c r="A13" s="2873"/>
      <c r="B13" s="2879">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452"/>
      <c r="Q13" s="1146">
        <f t="shared" si="6"/>
        <v>111</v>
      </c>
      <c r="R13" s="1554" t="s">
        <v>8</v>
      </c>
      <c r="S13" s="1555">
        <f t="shared" si="0"/>
        <v>100</v>
      </c>
      <c r="T13" s="1554" t="s">
        <v>8</v>
      </c>
      <c r="U13" s="1555">
        <f t="shared" si="1"/>
        <v>100</v>
      </c>
      <c r="V13" s="1554" t="s">
        <v>8</v>
      </c>
      <c r="W13" s="1555">
        <f t="shared" si="2"/>
        <v>100</v>
      </c>
      <c r="X13" s="1556"/>
      <c r="Y13" s="3416"/>
      <c r="Z13" s="1145">
        <f t="shared" si="7"/>
        <v>111</v>
      </c>
      <c r="AA13" s="1557">
        <f t="shared" si="3"/>
        <v>1</v>
      </c>
      <c r="AB13" s="1557">
        <f t="shared" si="4"/>
        <v>1</v>
      </c>
      <c r="AC13" s="1557">
        <f t="shared" si="5"/>
        <v>1</v>
      </c>
    </row>
    <row r="14" spans="1:29" ht="15">
      <c r="A14" s="2865" t="s">
        <v>2751</v>
      </c>
      <c r="B14" s="166" t="s">
        <v>543</v>
      </c>
      <c r="C14" s="920"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454" t="s">
        <v>540</v>
      </c>
      <c r="Q14" s="1558" t="str">
        <f t="shared" si="6"/>
        <v>交通便捷度</v>
      </c>
      <c r="R14" s="1559" t="s">
        <v>8</v>
      </c>
      <c r="S14" s="1560">
        <f t="shared" si="0"/>
        <v>100</v>
      </c>
      <c r="T14" s="1559" t="s">
        <v>8</v>
      </c>
      <c r="U14" s="1560">
        <f t="shared" si="1"/>
        <v>100</v>
      </c>
      <c r="V14" s="1559" t="s">
        <v>8</v>
      </c>
      <c r="W14" s="1560">
        <f t="shared" si="2"/>
        <v>100</v>
      </c>
      <c r="X14" s="1553"/>
      <c r="Y14" s="3454"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455"/>
      <c r="Q15" s="1558"/>
      <c r="R15" s="1559"/>
      <c r="S15" s="1560"/>
      <c r="T15" s="1559"/>
      <c r="U15" s="1560"/>
      <c r="V15" s="1559"/>
      <c r="W15" s="1560"/>
      <c r="X15" s="1553"/>
      <c r="Y15" s="3455"/>
      <c r="Z15" s="1561"/>
      <c r="AA15" s="1562">
        <v>1</v>
      </c>
      <c r="AB15" s="1562">
        <v>1</v>
      </c>
      <c r="AC15" s="1562">
        <v>1</v>
      </c>
    </row>
    <row r="16" spans="1:29" ht="15">
      <c r="A16" s="532"/>
      <c r="B16" s="2567" t="s">
        <v>2544</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455"/>
      <c r="Q16" s="1558" t="str">
        <f>B16</f>
        <v>公共配套设施</v>
      </c>
      <c r="R16" s="1559" t="s">
        <v>8</v>
      </c>
      <c r="S16" s="1560">
        <f>F16</f>
        <v>100</v>
      </c>
      <c r="T16" s="1559" t="s">
        <v>8</v>
      </c>
      <c r="U16" s="1560">
        <f>H16</f>
        <v>100</v>
      </c>
      <c r="V16" s="1559" t="s">
        <v>8</v>
      </c>
      <c r="W16" s="1560">
        <f>J16</f>
        <v>100</v>
      </c>
      <c r="X16" s="1553"/>
      <c r="Y16" s="3455"/>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455"/>
      <c r="Q17" s="1558"/>
      <c r="R17" s="1559"/>
      <c r="S17" s="1560"/>
      <c r="T17" s="1559"/>
      <c r="U17" s="1560"/>
      <c r="V17" s="1559"/>
      <c r="W17" s="1560"/>
      <c r="X17" s="1553"/>
      <c r="Y17" s="3455"/>
      <c r="Z17" s="1561"/>
      <c r="AA17" s="1562">
        <v>1</v>
      </c>
      <c r="AB17" s="1562">
        <v>1</v>
      </c>
      <c r="AC17" s="1562">
        <v>1</v>
      </c>
    </row>
    <row r="18" spans="1:29" ht="15">
      <c r="A18" s="532"/>
      <c r="B18" s="2555" t="s">
        <v>2556</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455"/>
      <c r="Q18" s="2543" t="str">
        <f>B18</f>
        <v>基础设施水平</v>
      </c>
      <c r="R18" s="1559" t="s">
        <v>8</v>
      </c>
      <c r="S18" s="1560">
        <f>F18</f>
        <v>100</v>
      </c>
      <c r="T18" s="1559" t="s">
        <v>8</v>
      </c>
      <c r="U18" s="1560">
        <f>H18</f>
        <v>100</v>
      </c>
      <c r="V18" s="1559" t="s">
        <v>8</v>
      </c>
      <c r="W18" s="1560">
        <f>J18</f>
        <v>100</v>
      </c>
      <c r="X18" s="2545"/>
      <c r="Y18" s="3455"/>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55"/>
      <c r="Q19" s="2543"/>
      <c r="R19" s="1559"/>
      <c r="S19" s="1560"/>
      <c r="T19" s="1559"/>
      <c r="U19" s="1560"/>
      <c r="V19" s="1559"/>
      <c r="W19" s="1560"/>
      <c r="X19" s="2545"/>
      <c r="Y19" s="3455"/>
      <c r="Z19" s="2544"/>
      <c r="AA19" s="1562">
        <v>1</v>
      </c>
      <c r="AB19" s="1562">
        <v>1</v>
      </c>
      <c r="AC19" s="1562">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455"/>
      <c r="Q20" s="1558" t="str">
        <f>B20</f>
        <v>自然及人文环境</v>
      </c>
      <c r="R20" s="1559" t="s">
        <v>8</v>
      </c>
      <c r="S20" s="1560">
        <f>F20</f>
        <v>100</v>
      </c>
      <c r="T20" s="1559" t="s">
        <v>8</v>
      </c>
      <c r="U20" s="1560">
        <f>H20</f>
        <v>100</v>
      </c>
      <c r="V20" s="1559" t="s">
        <v>8</v>
      </c>
      <c r="W20" s="1560">
        <f>J20</f>
        <v>100</v>
      </c>
      <c r="X20" s="1553"/>
      <c r="Y20" s="3455"/>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455"/>
      <c r="Q21" s="1558"/>
      <c r="R21" s="1559"/>
      <c r="S21" s="1560"/>
      <c r="T21" s="1559"/>
      <c r="U21" s="1560"/>
      <c r="V21" s="1559"/>
      <c r="W21" s="1560"/>
      <c r="X21" s="1553"/>
      <c r="Y21" s="3455"/>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55"/>
      <c r="Q22" s="1558" t="str">
        <f>B22</f>
        <v>楼层</v>
      </c>
      <c r="R22" s="1559" t="s">
        <v>8</v>
      </c>
      <c r="S22" s="1560">
        <f>F22</f>
        <v>100</v>
      </c>
      <c r="T22" s="1559" t="s">
        <v>8</v>
      </c>
      <c r="U22" s="1560">
        <f>H22</f>
        <v>100</v>
      </c>
      <c r="V22" s="1559" t="s">
        <v>8</v>
      </c>
      <c r="W22" s="1560">
        <f>J22</f>
        <v>100</v>
      </c>
      <c r="X22" s="1553"/>
      <c r="Y22" s="3455"/>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55"/>
      <c r="Q23" s="1558">
        <f>B23</f>
        <v>111</v>
      </c>
      <c r="R23" s="1559" t="s">
        <v>8</v>
      </c>
      <c r="S23" s="1560">
        <f>F23</f>
        <v>100</v>
      </c>
      <c r="T23" s="1559" t="s">
        <v>8</v>
      </c>
      <c r="U23" s="1560">
        <f>H23</f>
        <v>100</v>
      </c>
      <c r="V23" s="1559" t="s">
        <v>8</v>
      </c>
      <c r="W23" s="1560">
        <f>J23</f>
        <v>100</v>
      </c>
      <c r="X23" s="1553"/>
      <c r="Y23" s="3455"/>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55"/>
      <c r="Q24" s="1558">
        <f t="shared" ref="Q24:Q34" si="11">B24</f>
        <v>111</v>
      </c>
      <c r="R24" s="1559" t="s">
        <v>8</v>
      </c>
      <c r="S24" s="1560">
        <f>F24</f>
        <v>100</v>
      </c>
      <c r="T24" s="1559" t="s">
        <v>8</v>
      </c>
      <c r="U24" s="1560">
        <f>H24</f>
        <v>100</v>
      </c>
      <c r="V24" s="1559" t="s">
        <v>8</v>
      </c>
      <c r="W24" s="1560">
        <f>J24</f>
        <v>100</v>
      </c>
      <c r="X24" s="1553"/>
      <c r="Y24" s="3455"/>
      <c r="Z24" s="1561">
        <f>Q24</f>
        <v>111</v>
      </c>
      <c r="AA24" s="1562">
        <f t="shared" si="3"/>
        <v>1</v>
      </c>
      <c r="AB24" s="1562">
        <f t="shared" si="4"/>
        <v>1</v>
      </c>
      <c r="AC24" s="1562">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455"/>
      <c r="Q25" s="1146">
        <f t="shared" si="11"/>
        <v>111</v>
      </c>
      <c r="R25" s="1554" t="s">
        <v>8</v>
      </c>
      <c r="S25" s="1555">
        <f>F25</f>
        <v>100</v>
      </c>
      <c r="T25" s="1554" t="s">
        <v>8</v>
      </c>
      <c r="U25" s="1555">
        <f>H25</f>
        <v>100</v>
      </c>
      <c r="V25" s="1554" t="s">
        <v>8</v>
      </c>
      <c r="W25" s="1555">
        <f>J25</f>
        <v>100</v>
      </c>
      <c r="X25" s="1556"/>
      <c r="Y25" s="3455"/>
      <c r="Z25" s="1145">
        <f>Q25</f>
        <v>111</v>
      </c>
      <c r="AA25" s="1562">
        <f>D25/F25</f>
        <v>1</v>
      </c>
      <c r="AB25" s="1562">
        <f>D25/H25</f>
        <v>1</v>
      </c>
      <c r="AC25" s="1562">
        <f>D25/J25</f>
        <v>1</v>
      </c>
    </row>
    <row r="26" spans="1:29" ht="15">
      <c r="A26" s="2862" t="s">
        <v>2752</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459"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60" t="s">
        <v>821</v>
      </c>
      <c r="Z26" s="1561" t="str">
        <f t="shared" ref="Z26:Z34" si="15">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460"/>
      <c r="Q27" s="1590" t="str">
        <f t="shared" si="11"/>
        <v>成新率</v>
      </c>
      <c r="R27" s="1563" t="s">
        <v>8</v>
      </c>
      <c r="S27" s="1564" t="e">
        <f t="shared" si="12"/>
        <v>#N/A</v>
      </c>
      <c r="T27" s="1563" t="s">
        <v>8</v>
      </c>
      <c r="U27" s="1564" t="e">
        <f t="shared" si="13"/>
        <v>#N/A</v>
      </c>
      <c r="V27" s="1563" t="s">
        <v>8</v>
      </c>
      <c r="W27" s="1564" t="e">
        <f t="shared" si="14"/>
        <v>#N/A</v>
      </c>
      <c r="X27" s="1565"/>
      <c r="Y27" s="3460"/>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60"/>
      <c r="Q28" s="1558" t="str">
        <f t="shared" si="11"/>
        <v>物业等级</v>
      </c>
      <c r="R28" s="1559" t="s">
        <v>8</v>
      </c>
      <c r="S28" s="1560">
        <f t="shared" si="12"/>
        <v>100</v>
      </c>
      <c r="T28" s="1559" t="s">
        <v>8</v>
      </c>
      <c r="U28" s="1560">
        <f t="shared" si="13"/>
        <v>100</v>
      </c>
      <c r="V28" s="1559" t="s">
        <v>8</v>
      </c>
      <c r="W28" s="1560">
        <f t="shared" si="14"/>
        <v>100</v>
      </c>
      <c r="X28" s="1553"/>
      <c r="Y28" s="3460"/>
      <c r="Z28" s="1561" t="str">
        <f t="shared" si="15"/>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460"/>
      <c r="Q29" s="1558" t="str">
        <f t="shared" si="11"/>
        <v>有无电梯</v>
      </c>
      <c r="R29" s="1559" t="s">
        <v>8</v>
      </c>
      <c r="S29" s="1560">
        <f t="shared" si="12"/>
        <v>100</v>
      </c>
      <c r="T29" s="1559" t="s">
        <v>8</v>
      </c>
      <c r="U29" s="1560">
        <f t="shared" si="13"/>
        <v>100</v>
      </c>
      <c r="V29" s="1559" t="s">
        <v>8</v>
      </c>
      <c r="W29" s="1560">
        <f t="shared" si="14"/>
        <v>100</v>
      </c>
      <c r="X29" s="1553"/>
      <c r="Y29" s="3460"/>
      <c r="Z29" s="1561" t="str">
        <f t="shared" si="15"/>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460"/>
      <c r="Q30" s="1558" t="str">
        <f t="shared" si="11"/>
        <v>建筑面积</v>
      </c>
      <c r="R30" s="1559" t="s">
        <v>8</v>
      </c>
      <c r="S30" s="1560" t="e">
        <f t="shared" si="12"/>
        <v>#N/A</v>
      </c>
      <c r="T30" s="1559" t="s">
        <v>8</v>
      </c>
      <c r="U30" s="1560" t="e">
        <f t="shared" si="13"/>
        <v>#N/A</v>
      </c>
      <c r="V30" s="1559" t="s">
        <v>8</v>
      </c>
      <c r="W30" s="1560" t="e">
        <f t="shared" si="14"/>
        <v>#N/A</v>
      </c>
      <c r="X30" s="1553"/>
      <c r="Y30" s="3460"/>
      <c r="Z30" s="1561" t="str">
        <f t="shared" si="15"/>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460"/>
      <c r="Q31" s="1146" t="str">
        <f t="shared" si="11"/>
        <v>是否封闭</v>
      </c>
      <c r="R31" s="1554" t="s">
        <v>8</v>
      </c>
      <c r="S31" s="1555">
        <f t="shared" si="12"/>
        <v>100</v>
      </c>
      <c r="T31" s="1554" t="s">
        <v>8</v>
      </c>
      <c r="U31" s="1555">
        <f t="shared" si="13"/>
        <v>100</v>
      </c>
      <c r="V31" s="1554" t="s">
        <v>8</v>
      </c>
      <c r="W31" s="1555">
        <f t="shared" si="14"/>
        <v>100</v>
      </c>
      <c r="X31" s="1556"/>
      <c r="Y31" s="3460"/>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460" t="s">
        <v>550</v>
      </c>
      <c r="Q32" s="1558">
        <f t="shared" si="11"/>
        <v>111</v>
      </c>
      <c r="R32" s="1559" t="s">
        <v>8</v>
      </c>
      <c r="S32" s="1560">
        <f t="shared" si="12"/>
        <v>100</v>
      </c>
      <c r="T32" s="1559" t="s">
        <v>8</v>
      </c>
      <c r="U32" s="1560">
        <f t="shared" si="13"/>
        <v>100</v>
      </c>
      <c r="V32" s="1559" t="s">
        <v>8</v>
      </c>
      <c r="W32" s="1560">
        <f t="shared" si="14"/>
        <v>100</v>
      </c>
      <c r="X32" s="1553"/>
      <c r="Y32" s="3460" t="s">
        <v>550</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460"/>
      <c r="Q33" s="1558">
        <f t="shared" si="11"/>
        <v>111</v>
      </c>
      <c r="R33" s="1559" t="s">
        <v>8</v>
      </c>
      <c r="S33" s="1560">
        <f t="shared" si="12"/>
        <v>100</v>
      </c>
      <c r="T33" s="1559" t="s">
        <v>8</v>
      </c>
      <c r="U33" s="1560">
        <f t="shared" si="13"/>
        <v>100</v>
      </c>
      <c r="V33" s="1559" t="s">
        <v>8</v>
      </c>
      <c r="W33" s="1560">
        <f t="shared" si="14"/>
        <v>100</v>
      </c>
      <c r="X33" s="1553"/>
      <c r="Y33" s="3460"/>
      <c r="Z33" s="1561">
        <f t="shared" si="15"/>
        <v>111</v>
      </c>
      <c r="AA33" s="1562">
        <f t="shared" si="3"/>
        <v>1</v>
      </c>
      <c r="AB33" s="1562">
        <f t="shared" si="4"/>
        <v>1</v>
      </c>
      <c r="AC33" s="1562">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460"/>
      <c r="Q34" s="1558">
        <f t="shared" si="11"/>
        <v>111</v>
      </c>
      <c r="R34" s="1559" t="s">
        <v>8</v>
      </c>
      <c r="S34" s="1560">
        <f t="shared" si="12"/>
        <v>100</v>
      </c>
      <c r="T34" s="1559" t="s">
        <v>8</v>
      </c>
      <c r="U34" s="1560">
        <f t="shared" si="13"/>
        <v>100</v>
      </c>
      <c r="V34" s="1559" t="s">
        <v>8</v>
      </c>
      <c r="W34" s="1560">
        <f t="shared" si="14"/>
        <v>100</v>
      </c>
      <c r="X34" s="1553"/>
      <c r="Y34" s="3460"/>
      <c r="Z34" s="1561">
        <f t="shared" si="15"/>
        <v>111</v>
      </c>
      <c r="AA34" s="1562">
        <f t="shared" si="3"/>
        <v>1</v>
      </c>
      <c r="AB34" s="1562">
        <f t="shared" si="4"/>
        <v>1</v>
      </c>
      <c r="AC34" s="1562">
        <f t="shared" si="5"/>
        <v>1</v>
      </c>
    </row>
    <row r="35" spans="1:29" ht="14.4">
      <c r="A35" s="607" t="s">
        <v>736</v>
      </c>
      <c r="B35" s="886"/>
      <c r="C35" s="2591" t="s">
        <v>1</v>
      </c>
      <c r="D35" s="2592"/>
      <c r="E35" s="2593"/>
      <c r="F35" s="2594"/>
      <c r="G35" s="2595"/>
      <c r="H35" s="2596"/>
      <c r="I35" s="2593"/>
      <c r="J35" s="2596"/>
      <c r="K35" s="1596"/>
      <c r="L35" s="2129"/>
      <c r="M35" s="2130"/>
      <c r="N35" s="2119"/>
      <c r="O35" s="2130"/>
      <c r="P35" s="3452" t="str">
        <f>A35</f>
        <v>成交单价（元/平方米）</v>
      </c>
      <c r="Q35" s="3452"/>
      <c r="R35" s="3572">
        <f>E35</f>
        <v>0</v>
      </c>
      <c r="S35" s="3572"/>
      <c r="T35" s="3572">
        <f>G35</f>
        <v>0</v>
      </c>
      <c r="U35" s="3572"/>
      <c r="V35" s="3572">
        <f>I35</f>
        <v>0</v>
      </c>
      <c r="W35" s="3572"/>
      <c r="X35" s="1545"/>
      <c r="Y35" s="1567"/>
      <c r="Z35" s="1545"/>
      <c r="AA35" s="1545"/>
      <c r="AB35" s="1545"/>
      <c r="AC35" s="1545"/>
    </row>
    <row r="36" spans="1:29" ht="15" thickBot="1">
      <c r="A36" s="615" t="s">
        <v>2757</v>
      </c>
      <c r="B36" s="887"/>
      <c r="C36" s="2597" t="e">
        <f>R37</f>
        <v>#DIV/0!</v>
      </c>
      <c r="D36" s="2598"/>
      <c r="E36" s="2599" t="e">
        <f>R36</f>
        <v>#DIV/0!</v>
      </c>
      <c r="F36" s="2599"/>
      <c r="G36" s="2597" t="e">
        <f>T36</f>
        <v>#DIV/0!</v>
      </c>
      <c r="H36" s="2598"/>
      <c r="I36" s="2599" t="e">
        <f>V36</f>
        <v>#DIV/0!</v>
      </c>
      <c r="J36" s="2598"/>
      <c r="K36" s="1597"/>
      <c r="L36" s="2129"/>
      <c r="M36" s="2130"/>
      <c r="N36" s="2119"/>
      <c r="O36" s="2130"/>
      <c r="P36" s="3452" t="str">
        <f>A36</f>
        <v>比较价格（元/平方米）</v>
      </c>
      <c r="Q36" s="3452"/>
      <c r="R36" s="3572" t="e">
        <f>IF(F1="售价",ROUND(PRODUCT(R35,AA7:AA34),0),ROUND(PRODUCT(R35,AA7:AA34),1))</f>
        <v>#DIV/0!</v>
      </c>
      <c r="S36" s="3572"/>
      <c r="T36" s="3572" t="e">
        <f>IF(F1="售价",ROUND(PRODUCT(T35,AB7:AB34),0),ROUND(PRODUCT(T35,AB7:AB34),1))</f>
        <v>#DIV/0!</v>
      </c>
      <c r="U36" s="3572"/>
      <c r="V36" s="3572" t="e">
        <f>IF(F1="售价",ROUND(PRODUCT(V35,AC7:AC34),0),ROUND(PRODUCT(V35,AC7:AC34),1))</f>
        <v>#DIV/0!</v>
      </c>
      <c r="W36" s="3572"/>
      <c r="X36" s="1545"/>
      <c r="Y36" s="1545"/>
      <c r="Z36" s="1545"/>
      <c r="AA36" s="1545"/>
      <c r="AB36" s="1545"/>
      <c r="AC36" s="1545"/>
    </row>
    <row r="37" spans="1:29" ht="15" thickBot="1">
      <c r="A37" s="621" t="s">
        <v>2929</v>
      </c>
      <c r="B37" s="622"/>
      <c r="C37" s="2600" t="e">
        <f>R37</f>
        <v>#DIV/0!</v>
      </c>
      <c r="D37" s="2600"/>
      <c r="E37" s="2600"/>
      <c r="F37" s="2600"/>
      <c r="G37" s="2600"/>
      <c r="H37" s="2600"/>
      <c r="I37" s="2600"/>
      <c r="J37" s="2600"/>
      <c r="K37" s="1598"/>
      <c r="L37" s="2129"/>
      <c r="M37" s="2130"/>
      <c r="N37" s="2130"/>
      <c r="O37" s="2130"/>
      <c r="P37" s="3456" t="str">
        <f>A37</f>
        <v>估价对象XX用房的比较价格（楼面单价，元/平方米）</v>
      </c>
      <c r="Q37" s="3457"/>
      <c r="R37" s="3571" t="e">
        <f>IF(F1="售价",ROUND(AVERAGE(R36:V36),0),ROUND(AVERAGE(R36:V36),1))</f>
        <v>#DIV/0!</v>
      </c>
      <c r="S37" s="3571"/>
      <c r="T37" s="3571"/>
      <c r="U37" s="3571"/>
      <c r="V37" s="3571"/>
      <c r="W37" s="3571"/>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4.4">
      <c r="A46" s="645" t="s">
        <v>529</v>
      </c>
      <c r="B46" s="646"/>
      <c r="C46" s="2757" t="str">
        <f>YEAR(C7)&amp;"-"&amp;MONTH(C7)</f>
        <v>2020-3</v>
      </c>
      <c r="D46" s="2759">
        <f>EDATE(C46,-1)</f>
        <v>43862</v>
      </c>
      <c r="E46" s="2759">
        <f t="shared" ref="E46:O46" si="16">EDATE(D46,-1)</f>
        <v>43831</v>
      </c>
      <c r="F46" s="2759">
        <f t="shared" si="16"/>
        <v>43800</v>
      </c>
      <c r="G46" s="2759">
        <f t="shared" si="16"/>
        <v>43770</v>
      </c>
      <c r="H46" s="2759">
        <f t="shared" si="16"/>
        <v>43739</v>
      </c>
      <c r="I46" s="2759">
        <f t="shared" si="16"/>
        <v>43709</v>
      </c>
      <c r="J46" s="2759">
        <f t="shared" si="16"/>
        <v>43678</v>
      </c>
      <c r="K46" s="2759">
        <f t="shared" si="16"/>
        <v>43647</v>
      </c>
      <c r="L46" s="2759">
        <f t="shared" si="16"/>
        <v>43617</v>
      </c>
      <c r="M46" s="2759">
        <f t="shared" si="16"/>
        <v>43586</v>
      </c>
      <c r="N46" s="2759">
        <f t="shared" si="16"/>
        <v>43556</v>
      </c>
      <c r="O46" s="2759">
        <f t="shared" si="16"/>
        <v>43525</v>
      </c>
      <c r="P46" s="2145"/>
      <c r="Q46" s="2146"/>
      <c r="R46" s="2146"/>
      <c r="S46" s="2146"/>
      <c r="T46" s="2146"/>
      <c r="U46" s="2146"/>
      <c r="V46" s="2146"/>
      <c r="W46" s="2146"/>
      <c r="X46" s="2146"/>
      <c r="Y46" s="2146"/>
      <c r="Z46" s="2146"/>
      <c r="AA46" s="2146"/>
      <c r="AB46" s="2146"/>
      <c r="AC46" s="2146"/>
    </row>
    <row r="47" spans="1:29" s="1215"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4.4">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4.4"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4.4">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4.4"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4.4"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4.4"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4.4"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4.4"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4.4"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4.4"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 thickTop="1">
      <c r="A63" s="669"/>
      <c r="B63" s="1881" t="s">
        <v>2555</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2561" t="s">
        <v>2556</v>
      </c>
      <c r="C65" s="2562" t="s">
        <v>2557</v>
      </c>
      <c r="D65" s="2562" t="s">
        <v>2558</v>
      </c>
      <c r="E65" s="2562" t="s">
        <v>2559</v>
      </c>
      <c r="F65" s="2562" t="s">
        <v>2560</v>
      </c>
      <c r="G65" s="2562" t="s">
        <v>2561</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4.4"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4.4"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4.4"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4.4"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4.4"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4.4"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4.4"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4.4"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4.4"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4.4"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4.4"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2301</v>
      </c>
      <c r="C1" s="3581" t="s">
        <v>2302</v>
      </c>
      <c r="D1" s="3582"/>
      <c r="E1" s="3582"/>
      <c r="F1" s="3582"/>
      <c r="G1" s="3582"/>
      <c r="H1" s="3582"/>
      <c r="I1" s="3582"/>
      <c r="J1" s="3582"/>
      <c r="K1" s="3582"/>
      <c r="L1" s="3582"/>
      <c r="M1" s="3582"/>
      <c r="N1" s="3582"/>
      <c r="O1" s="3582"/>
      <c r="P1" s="3582"/>
      <c r="Q1" s="3582"/>
      <c r="R1" s="3582"/>
      <c r="S1" s="3583"/>
      <c r="T1" s="2219" t="s">
        <v>2303</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8"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2922</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2921</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2920</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2933</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2919</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2918</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2305</v>
      </c>
      <c r="B17" s="2263" t="s">
        <v>2306</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6">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6">
      <c r="A21" s="959"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578" t="s">
        <v>20</v>
      </c>
      <c r="D22" s="3579"/>
      <c r="E22" s="3579"/>
      <c r="F22" s="3579"/>
      <c r="G22" s="3579"/>
      <c r="H22" s="3579"/>
      <c r="I22" s="3579"/>
      <c r="J22" s="3579"/>
      <c r="K22" s="3579"/>
      <c r="L22" s="3579"/>
      <c r="M22" s="3579"/>
      <c r="N22" s="3579"/>
      <c r="O22" s="3579"/>
      <c r="P22" s="3579"/>
      <c r="Q22" s="3580"/>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2785</v>
      </c>
      <c r="C1" s="2959">
        <f>项目基本情况!D3</f>
        <v>43902</v>
      </c>
      <c r="H1" s="2893">
        <f>IF(C1&gt;C13,0,MATCH(C1,C$13:C$100,-1))+IF(SUMIF(C13:C100,C1,D13:D100)=0,13,12)</f>
        <v>13</v>
      </c>
      <c r="I1" s="2893">
        <f ca="1">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2816</v>
      </c>
      <c r="C2" s="2960">
        <f>'数据-取费表'!B22</f>
        <v>3</v>
      </c>
      <c r="D2" s="2955" t="s">
        <v>2786</v>
      </c>
      <c r="E2" s="2958">
        <f ca="1">INDIRECT("I"&amp;$I$1)/100</f>
        <v>4.7500000000000001E-2</v>
      </c>
      <c r="G2" s="2895"/>
      <c r="H2" s="2895"/>
      <c r="I2" s="2895" t="s">
        <v>2787</v>
      </c>
      <c r="K2" s="2895"/>
      <c r="L2" s="2895"/>
      <c r="M2" s="2895"/>
      <c r="N2" s="2895" t="s">
        <v>2788</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2818</v>
      </c>
      <c r="C3" s="2957">
        <f>'数据-取费表'!B19</f>
        <v>0</v>
      </c>
      <c r="D3" s="2955" t="s">
        <v>2786</v>
      </c>
      <c r="E3" s="2958">
        <f ca="1">INDIRECT("J"&amp;$J$1)/100</f>
        <v>0</v>
      </c>
      <c r="G3" s="2897" t="s">
        <v>2789</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2817</v>
      </c>
      <c r="C4" s="2958">
        <f ca="1">N4/100</f>
        <v>1.4999999999999999E-2</v>
      </c>
      <c r="G4" s="2903" t="s">
        <v>2790</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2791</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2792</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2793</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2794</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2795</v>
      </c>
      <c r="C10" s="2922"/>
      <c r="D10" s="2922"/>
      <c r="E10" s="2922"/>
      <c r="F10" s="2922"/>
      <c r="G10" s="2922"/>
      <c r="H10" s="2922"/>
      <c r="I10" s="2896"/>
      <c r="J10" s="2896"/>
      <c r="K10" s="2922"/>
      <c r="L10" s="2923" t="s">
        <v>2796</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2797</v>
      </c>
      <c r="C11" s="2927" t="s">
        <v>2798</v>
      </c>
      <c r="D11" s="2928" t="s">
        <v>2799</v>
      </c>
      <c r="E11" s="2929"/>
      <c r="F11" s="2928" t="s">
        <v>2800</v>
      </c>
      <c r="G11" s="2930"/>
      <c r="H11" s="2929"/>
      <c r="I11" s="2928" t="s">
        <v>2801</v>
      </c>
      <c r="J11" s="2929"/>
      <c r="K11" s="2925"/>
      <c r="L11" s="2926" t="s">
        <v>2797</v>
      </c>
      <c r="M11" s="2927" t="s">
        <v>2798</v>
      </c>
      <c r="N11" s="2926" t="s">
        <v>2802</v>
      </c>
      <c r="O11" s="2928" t="s">
        <v>2803</v>
      </c>
      <c r="P11" s="2930"/>
      <c r="Q11" s="2930"/>
      <c r="R11" s="2930"/>
      <c r="S11" s="2930"/>
      <c r="T11" s="2929"/>
      <c r="U11" s="2928" t="s">
        <v>2804</v>
      </c>
      <c r="V11" s="2930"/>
      <c r="W11" s="2929"/>
      <c r="X11" s="2926" t="s">
        <v>2805</v>
      </c>
      <c r="Y11" s="2926" t="s">
        <v>2806</v>
      </c>
      <c r="Z11" s="2926" t="s">
        <v>2807</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2808</v>
      </c>
      <c r="E12" s="2935" t="s">
        <v>2809</v>
      </c>
      <c r="F12" s="2935" t="s">
        <v>2810</v>
      </c>
      <c r="G12" s="2935" t="s">
        <v>2811</v>
      </c>
      <c r="H12" s="2935" t="s">
        <v>2793</v>
      </c>
      <c r="I12" s="2936" t="s">
        <v>2812</v>
      </c>
      <c r="J12" s="2936" t="s">
        <v>2812</v>
      </c>
      <c r="K12" s="2932"/>
      <c r="L12" s="2933"/>
      <c r="M12" s="2934"/>
      <c r="N12" s="2933"/>
      <c r="O12" s="2936" t="s">
        <v>2813</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2814</v>
      </c>
      <c r="C13" s="2940">
        <v>42301</v>
      </c>
      <c r="D13" s="2941">
        <v>4.3499999999999996</v>
      </c>
      <c r="E13" s="2941">
        <v>4.3499999999999996</v>
      </c>
      <c r="F13" s="2941">
        <v>4.75</v>
      </c>
      <c r="G13" s="2941">
        <v>4.75</v>
      </c>
      <c r="H13" s="2941">
        <v>4.9000000000000004</v>
      </c>
      <c r="I13" s="2941">
        <v>2.75</v>
      </c>
      <c r="J13" s="2941">
        <v>3.25</v>
      </c>
      <c r="K13" s="2938"/>
      <c r="L13" s="2939" t="s">
        <v>2814</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2815</v>
      </c>
      <c r="Y42" s="2945" t="s">
        <v>2815</v>
      </c>
      <c r="Z42" s="2945" t="s">
        <v>2815</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2815</v>
      </c>
      <c r="Y43" s="2945" t="s">
        <v>2815</v>
      </c>
      <c r="Z43" s="2945" t="s">
        <v>2815</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2815</v>
      </c>
      <c r="Y44" s="2945" t="s">
        <v>2815</v>
      </c>
      <c r="Z44" s="2945" t="s">
        <v>2815</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2815</v>
      </c>
      <c r="Y45" s="2945" t="s">
        <v>2815</v>
      </c>
      <c r="Z45" s="2945" t="s">
        <v>2815</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2815</v>
      </c>
      <c r="Y46" s="2945" t="s">
        <v>2815</v>
      </c>
      <c r="Z46" s="2945" t="s">
        <v>2815</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2815</v>
      </c>
      <c r="Y47" s="2945" t="s">
        <v>2815</v>
      </c>
      <c r="Z47" s="2945" t="s">
        <v>2815</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2815</v>
      </c>
      <c r="Y48" s="2945" t="s">
        <v>2815</v>
      </c>
      <c r="Z48" s="2945" t="s">
        <v>2815</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2815</v>
      </c>
      <c r="Y49" s="2945" t="s">
        <v>2815</v>
      </c>
      <c r="Z49" s="2945" t="s">
        <v>2815</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2815</v>
      </c>
      <c r="Y50" s="2945" t="s">
        <v>2815</v>
      </c>
      <c r="Z50" s="2945" t="s">
        <v>2815</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2815</v>
      </c>
      <c r="V51" s="2945" t="s">
        <v>2815</v>
      </c>
      <c r="W51" s="2945" t="s">
        <v>2815</v>
      </c>
      <c r="X51" s="2945" t="s">
        <v>2815</v>
      </c>
      <c r="Y51" s="2945" t="s">
        <v>2815</v>
      </c>
      <c r="Z51" s="2945" t="s">
        <v>2815</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2815</v>
      </c>
      <c r="J55" s="2945" t="s">
        <v>2815</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52" t="s">
        <v>2036</v>
      </c>
      <c r="B1" s="3252"/>
      <c r="C1" s="3252"/>
      <c r="D1" s="3252"/>
      <c r="E1" s="3252"/>
      <c r="F1" s="3252"/>
      <c r="G1" s="3252"/>
      <c r="H1" s="3252"/>
      <c r="I1" s="3252"/>
      <c r="J1" s="3252"/>
      <c r="K1" s="3252"/>
      <c r="L1" s="3252"/>
      <c r="M1" s="3252"/>
      <c r="N1" s="3252"/>
      <c r="O1" s="3252"/>
      <c r="P1" s="3252"/>
      <c r="Q1" s="3252"/>
      <c r="R1" s="3252"/>
    </row>
    <row r="2" spans="1:18">
      <c r="A2" s="1792" t="s">
        <v>2038</v>
      </c>
      <c r="B2" s="1792"/>
      <c r="C2" s="1792"/>
      <c r="D2" s="1792"/>
      <c r="E2" s="1792"/>
      <c r="F2" s="1792"/>
      <c r="G2" s="1792"/>
      <c r="H2" s="1792"/>
      <c r="I2" s="1793"/>
      <c r="J2" s="1793"/>
      <c r="K2" s="1794" t="str">
        <f>"估价期日："&amp;TEXT(项目基本情况!D3,"yyyy年m月d日;;")</f>
        <v>估价期日：2020年3月12日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53" t="s">
        <v>2027</v>
      </c>
      <c r="B3" s="3253" t="s">
        <v>2728</v>
      </c>
      <c r="C3" s="3254" t="s">
        <v>2028</v>
      </c>
      <c r="D3" s="3253" t="s">
        <v>2732</v>
      </c>
      <c r="E3" s="3256" t="s">
        <v>2029</v>
      </c>
      <c r="F3" s="3256"/>
      <c r="G3" s="3256"/>
      <c r="H3" s="3256" t="s">
        <v>2030</v>
      </c>
      <c r="I3" s="3256"/>
      <c r="J3" s="3256"/>
      <c r="K3" s="3254" t="s">
        <v>2031</v>
      </c>
      <c r="L3" s="3254" t="s">
        <v>2032</v>
      </c>
      <c r="M3" s="3253" t="s">
        <v>2729</v>
      </c>
      <c r="N3" s="3255" t="str">
        <f>"（分摊）"&amp;项目基本情况!B16&amp;"国有建设用地使用权面积/㎡"</f>
        <v>（分摊）出让国有建设用地使用权面积/㎡</v>
      </c>
      <c r="O3" s="3253" t="s">
        <v>2061</v>
      </c>
      <c r="P3" s="3254" t="s">
        <v>2041</v>
      </c>
      <c r="Q3" s="3254" t="s">
        <v>2062</v>
      </c>
      <c r="R3" s="3254" t="s">
        <v>2033</v>
      </c>
    </row>
    <row r="4" spans="1:18" ht="36.75" customHeight="1">
      <c r="A4" s="3253"/>
      <c r="B4" s="3253"/>
      <c r="C4" s="3254"/>
      <c r="D4" s="3253"/>
      <c r="E4" s="2613" t="s">
        <v>2040</v>
      </c>
      <c r="F4" s="2613" t="s">
        <v>2741</v>
      </c>
      <c r="G4" s="2613" t="s">
        <v>2034</v>
      </c>
      <c r="H4" s="2613" t="s">
        <v>2035</v>
      </c>
      <c r="I4" s="2613" t="s">
        <v>2742</v>
      </c>
      <c r="J4" s="2613" t="s">
        <v>2034</v>
      </c>
      <c r="K4" s="3254"/>
      <c r="L4" s="3254"/>
      <c r="M4" s="3253"/>
      <c r="N4" s="3255"/>
      <c r="O4" s="3253"/>
      <c r="P4" s="3254"/>
      <c r="Q4" s="3254"/>
      <c r="R4" s="3254"/>
    </row>
    <row r="5" spans="1:18" ht="135" customHeight="1">
      <c r="A5" s="1928" t="s">
        <v>2652</v>
      </c>
      <c r="B5" s="2822" t="s">
        <v>2650</v>
      </c>
      <c r="C5" s="2612">
        <v>22</v>
      </c>
      <c r="D5" s="2611" t="s">
        <v>2651</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223160.97</v>
      </c>
      <c r="O5" s="1795">
        <f>项目基本情况!C21</f>
        <v>781063.4</v>
      </c>
      <c r="P5" s="1795">
        <f ca="1">结果表!E42</f>
        <v>8646</v>
      </c>
      <c r="Q5" s="1795">
        <f ca="1">结果表!D42</f>
        <v>2470</v>
      </c>
      <c r="R5" s="1796">
        <f ca="1">结果表!C42</f>
        <v>192955</v>
      </c>
    </row>
    <row r="6" spans="1:18">
      <c r="A6" s="3257" t="str">
        <f>IF(项目基本情况!B9="市场价格","——","抵押价格")</f>
        <v>抵押价格</v>
      </c>
      <c r="B6" s="3258"/>
      <c r="C6" s="3258"/>
      <c r="D6" s="3258"/>
      <c r="E6" s="3258"/>
      <c r="F6" s="3258"/>
      <c r="G6" s="3258"/>
      <c r="H6" s="3258"/>
      <c r="I6" s="3258"/>
      <c r="J6" s="3258"/>
      <c r="K6" s="3258"/>
      <c r="L6" s="3258"/>
      <c r="M6" s="3258"/>
      <c r="N6" s="3258"/>
      <c r="O6" s="3258"/>
      <c r="P6" s="3258"/>
      <c r="Q6" s="3259"/>
      <c r="R6" s="1797">
        <f ca="1">结果表!O39</f>
        <v>192955</v>
      </c>
    </row>
    <row r="7" spans="1:18">
      <c r="A7" s="3257" t="str">
        <f>IF(项目基本情况!B9="市场价格","——",IF(项目基本情况!E8="已注销及未注销","抵押担保权已注销时的抵押价格","——"))</f>
        <v>——</v>
      </c>
      <c r="B7" s="3258"/>
      <c r="C7" s="3258"/>
      <c r="D7" s="3258"/>
      <c r="E7" s="3258"/>
      <c r="F7" s="3258"/>
      <c r="G7" s="3258"/>
      <c r="H7" s="3258"/>
      <c r="I7" s="3258"/>
      <c r="J7" s="3258"/>
      <c r="K7" s="3258"/>
      <c r="L7" s="3258"/>
      <c r="M7" s="3258"/>
      <c r="N7" s="3258"/>
      <c r="O7" s="3258"/>
      <c r="P7" s="3258"/>
      <c r="Q7" s="3259"/>
      <c r="R7" s="1797" t="str">
        <f>结果表!O40</f>
        <v>——</v>
      </c>
    </row>
    <row r="8" spans="1:18">
      <c r="A8" s="3257">
        <f>IF(项目基本情况!B9="市场价格","——",项目基本情况!E9)</f>
        <v>0</v>
      </c>
      <c r="B8" s="3258"/>
      <c r="C8" s="3258"/>
      <c r="D8" s="3258"/>
      <c r="E8" s="3258"/>
      <c r="F8" s="3258"/>
      <c r="G8" s="3258"/>
      <c r="H8" s="3258"/>
      <c r="I8" s="3258"/>
      <c r="J8" s="3258"/>
      <c r="K8" s="3258"/>
      <c r="L8" s="3258"/>
      <c r="M8" s="3258"/>
      <c r="N8" s="3258"/>
      <c r="O8" s="3258"/>
      <c r="P8" s="3258"/>
      <c r="Q8" s="3259"/>
      <c r="R8" s="1797" t="str">
        <f>结果表!O41</f>
        <v>——</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88671875" style="1787" customWidth="1"/>
    <col min="5" max="16384" width="9" style="1787"/>
  </cols>
  <sheetData>
    <row r="1" spans="1:4">
      <c r="A1" s="3260" t="s">
        <v>2063</v>
      </c>
      <c r="B1" s="3260"/>
      <c r="C1" s="3260"/>
      <c r="D1" s="3260"/>
    </row>
    <row r="2" spans="1:4" ht="47.25" customHeight="1">
      <c r="A2" s="3264" t="str">
        <f>"1.权利限制："&amp;项目基本情况!L24&amp;"未设定租赁等其他他项权利。"</f>
        <v>1.权利限制：根据估价对象《不动产权证书》原件、《国有土地使用权》复印件，截至估价期日，估价对象抵押权未见登记。未设定租赁等其他他项权利。</v>
      </c>
      <c r="B2" s="3264"/>
      <c r="C2" s="3264"/>
      <c r="D2" s="3264"/>
    </row>
    <row r="3" spans="1:4" ht="48" customHeight="1">
      <c r="A3" s="326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0"/>
      <c r="C3" s="3260"/>
      <c r="D3" s="3260"/>
    </row>
    <row r="4" spans="1:4" ht="36.75" customHeight="1">
      <c r="A4" s="3260" t="str">
        <f>"3.估价规划限制条件：详见"&amp;项目基本情况!E21&amp;"。"</f>
        <v>3.估价规划限制条件：详见《建设工程规划许可证》[]、《出让合同》[]。</v>
      </c>
      <c r="B4" s="3260"/>
      <c r="C4" s="3260"/>
      <c r="D4" s="3260"/>
    </row>
    <row r="5" spans="1:4">
      <c r="A5" s="3263" t="s">
        <v>2064</v>
      </c>
      <c r="B5" s="3263"/>
      <c r="C5" s="3263"/>
      <c r="D5" s="3263"/>
    </row>
    <row r="6" spans="1:4">
      <c r="A6" s="3260" t="s">
        <v>2042</v>
      </c>
      <c r="B6" s="3260"/>
      <c r="C6" s="3260"/>
      <c r="D6" s="3260"/>
    </row>
    <row r="7" spans="1:4" ht="33" customHeight="1">
      <c r="A7" s="3260" t="s">
        <v>2572</v>
      </c>
      <c r="B7" s="3260"/>
      <c r="C7" s="3260"/>
      <c r="D7" s="3260"/>
    </row>
    <row r="8" spans="1:4" ht="32.25" customHeight="1">
      <c r="A8" s="32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0"/>
      <c r="C8" s="3260"/>
      <c r="D8" s="3260"/>
    </row>
    <row r="9" spans="1:4" ht="33.75" customHeight="1">
      <c r="A9" s="326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0"/>
      <c r="C9" s="3260"/>
      <c r="D9" s="3260"/>
    </row>
    <row r="10" spans="1:4">
      <c r="A10" s="3260" t="str">
        <f>IF(项目基本情况!B8="抵押","4.估价师所知悉的法定优先受偿款情况为：","——")</f>
        <v>4.估价师所知悉的法定优先受偿款情况为：</v>
      </c>
      <c r="B10" s="3260"/>
      <c r="C10" s="3260"/>
      <c r="D10" s="3260"/>
    </row>
    <row r="11" spans="1:4" ht="37.5" customHeight="1">
      <c r="A11" s="326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62"/>
      <c r="C11" s="3262"/>
      <c r="D11" s="3262"/>
    </row>
    <row r="12" spans="1:4" ht="168" customHeight="1">
      <c r="A12" s="3263" t="s">
        <v>2066</v>
      </c>
      <c r="B12" s="3263"/>
      <c r="C12" s="3263"/>
      <c r="D12" s="3263"/>
    </row>
    <row r="13" spans="1:4">
      <c r="A13" s="3261" t="s">
        <v>2743</v>
      </c>
      <c r="B13" s="3261"/>
      <c r="C13" s="3261"/>
      <c r="D13" s="3261"/>
    </row>
    <row r="14" spans="1:4">
      <c r="A14" s="3262" t="str">
        <f>IF(项目基本情况!B8="抵押","综上，"&amp;结果表!K47,"——")</f>
        <v>综上，本次评估不存在估价师知悉的法定优先受偿款</v>
      </c>
      <c r="B14" s="3262"/>
      <c r="C14" s="3262"/>
      <c r="D14" s="3262"/>
    </row>
    <row r="15" spans="1:4" ht="58.5" customHeight="1">
      <c r="A15" s="32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0"/>
      <c r="C15" s="3260"/>
      <c r="D15" s="3260"/>
    </row>
    <row r="16" spans="1:4" ht="70.5" customHeight="1">
      <c r="A16" s="32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0"/>
      <c r="C16" s="3260"/>
      <c r="D16" s="3260"/>
    </row>
    <row r="17" spans="1:4">
      <c r="A17" s="3260" t="s">
        <v>2699</v>
      </c>
      <c r="B17" s="3260"/>
      <c r="C17" s="3260"/>
      <c r="D17" s="3260"/>
    </row>
    <row r="18" spans="1:4">
      <c r="A18" s="3260" t="s">
        <v>2691</v>
      </c>
      <c r="B18" s="3260"/>
      <c r="C18" s="3260"/>
      <c r="D18" s="3260"/>
    </row>
    <row r="19" spans="1:4">
      <c r="A19" s="2823" t="s">
        <v>2692</v>
      </c>
      <c r="B19" s="2823" t="s">
        <v>2693</v>
      </c>
      <c r="C19" s="2823" t="s">
        <v>2694</v>
      </c>
      <c r="D19" s="2823" t="s">
        <v>2695</v>
      </c>
    </row>
    <row r="20" spans="1:4">
      <c r="A20" s="2823" t="str">
        <f>项目基本情况!B4</f>
        <v>王鹏</v>
      </c>
      <c r="B20" s="2823">
        <f ca="1">项目基本情况!C4</f>
        <v>2002110030</v>
      </c>
      <c r="C20" s="2825"/>
      <c r="D20" s="1785" t="s">
        <v>2700</v>
      </c>
    </row>
    <row r="21" spans="1:4">
      <c r="A21" s="2823" t="str">
        <f>项目基本情况!D4</f>
        <v>郑燚</v>
      </c>
      <c r="B21" s="2823">
        <f ca="1">项目基本情况!E4</f>
        <v>2014110011</v>
      </c>
      <c r="C21" s="2825"/>
      <c r="D21" s="1785" t="s">
        <v>2701</v>
      </c>
    </row>
    <row r="23" spans="1:4">
      <c r="A23" s="3260" t="s">
        <v>2696</v>
      </c>
      <c r="B23" s="3260"/>
      <c r="C23" s="3260"/>
      <c r="D23" s="3260"/>
    </row>
    <row r="24" spans="1:4">
      <c r="A24" s="2823" t="s">
        <v>2692</v>
      </c>
      <c r="B24" s="2823" t="s">
        <v>2697</v>
      </c>
      <c r="C24" s="2823" t="s">
        <v>2694</v>
      </c>
      <c r="D24" s="2823" t="s">
        <v>2695</v>
      </c>
    </row>
    <row r="25" spans="1:4">
      <c r="A25" s="2826" t="s">
        <v>2698</v>
      </c>
      <c r="B25" s="2823" t="s">
        <v>952</v>
      </c>
      <c r="C25" s="2825"/>
      <c r="D25" s="1785" t="s">
        <v>2701</v>
      </c>
    </row>
    <row r="29" spans="1:4">
      <c r="D29" s="2824" t="s">
        <v>2037</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72" t="s">
        <v>53</v>
      </c>
      <c r="B15" s="3273" t="s">
        <v>846</v>
      </c>
      <c r="C15" s="3269"/>
    </row>
    <row r="16" spans="1:7" ht="14.4">
      <c r="A16" s="3272"/>
      <c r="B16" s="3270" t="s">
        <v>54</v>
      </c>
      <c r="C16" s="1167" t="s">
        <v>53</v>
      </c>
    </row>
    <row r="17" spans="1:3" ht="14.4">
      <c r="A17" s="3272"/>
      <c r="B17" s="3270"/>
      <c r="C17" s="1167" t="s">
        <v>55</v>
      </c>
    </row>
    <row r="18" spans="1:3" ht="14.4">
      <c r="A18" s="3272"/>
      <c r="B18" s="3270"/>
      <c r="C18" s="1167" t="s">
        <v>56</v>
      </c>
    </row>
    <row r="19" spans="1:3" ht="14.4">
      <c r="A19" s="3272"/>
      <c r="B19" s="3268" t="s">
        <v>57</v>
      </c>
      <c r="C19" s="3269"/>
    </row>
    <row r="20" spans="1:3" ht="14.4">
      <c r="A20" s="1168" t="s">
        <v>58</v>
      </c>
      <c r="B20" s="1169"/>
      <c r="C20" s="1170"/>
    </row>
    <row r="21" spans="1:3" ht="14.4">
      <c r="A21" s="3271" t="s">
        <v>59</v>
      </c>
      <c r="B21" s="3268" t="s">
        <v>60</v>
      </c>
      <c r="C21" s="3269"/>
    </row>
    <row r="22" spans="1:3" ht="14.4">
      <c r="A22" s="3271"/>
      <c r="B22" s="3268" t="s">
        <v>61</v>
      </c>
      <c r="C22" s="3269"/>
    </row>
    <row r="23" spans="1:3" ht="14.4">
      <c r="A23" s="3271"/>
      <c r="B23" s="3268" t="s">
        <v>62</v>
      </c>
      <c r="C23" s="3269"/>
    </row>
    <row r="24" spans="1:3" ht="14.4">
      <c r="A24" s="3271"/>
      <c r="B24" s="3274" t="s">
        <v>63</v>
      </c>
      <c r="C24" s="1171" t="s">
        <v>837</v>
      </c>
    </row>
    <row r="25" spans="1:3" ht="14.4">
      <c r="A25" s="3271"/>
      <c r="B25" s="3275"/>
      <c r="C25" s="1171" t="s">
        <v>838</v>
      </c>
    </row>
    <row r="26" spans="1:3" ht="14.4">
      <c r="A26" s="3271"/>
      <c r="B26" s="3275"/>
      <c r="C26" s="1171" t="s">
        <v>839</v>
      </c>
    </row>
    <row r="27" spans="1:3" ht="14.4">
      <c r="A27" s="3271"/>
      <c r="B27" s="3275"/>
      <c r="C27" s="1171" t="s">
        <v>840</v>
      </c>
    </row>
    <row r="28" spans="1:3" ht="14.4">
      <c r="A28" s="3271"/>
      <c r="B28" s="3275"/>
      <c r="C28" s="1171" t="s">
        <v>841</v>
      </c>
    </row>
    <row r="29" spans="1:3" ht="14.4">
      <c r="A29" s="3271"/>
      <c r="B29" s="3275"/>
      <c r="C29" s="1171" t="s">
        <v>842</v>
      </c>
    </row>
    <row r="30" spans="1:3" ht="14.4">
      <c r="A30" s="3271"/>
      <c r="B30" s="3275"/>
      <c r="C30" s="1171" t="s">
        <v>843</v>
      </c>
    </row>
    <row r="31" spans="1:3" ht="14.4">
      <c r="A31" s="3271"/>
      <c r="B31" s="3275"/>
      <c r="C31" s="1171" t="s">
        <v>844</v>
      </c>
    </row>
    <row r="32" spans="1:3" ht="14.4">
      <c r="A32" s="3271"/>
      <c r="B32" s="3275"/>
      <c r="C32" s="1171" t="s">
        <v>1646</v>
      </c>
    </row>
    <row r="33" spans="1:3" ht="14.4">
      <c r="A33" s="3271"/>
      <c r="B33" s="3265" t="s">
        <v>1652</v>
      </c>
      <c r="C33" s="1171" t="s">
        <v>1647</v>
      </c>
    </row>
    <row r="34" spans="1:3" ht="14.4">
      <c r="A34" s="3271"/>
      <c r="B34" s="3266"/>
      <c r="C34" s="1176" t="s">
        <v>1648</v>
      </c>
    </row>
    <row r="35" spans="1:3" ht="14.4">
      <c r="A35" s="3271"/>
      <c r="B35" s="3266"/>
      <c r="C35" s="1177" t="s">
        <v>1649</v>
      </c>
    </row>
    <row r="36" spans="1:3" ht="14.4">
      <c r="A36" s="3271"/>
      <c r="B36" s="3266"/>
      <c r="C36" s="1177" t="s">
        <v>1650</v>
      </c>
    </row>
    <row r="37" spans="1:3" ht="14.4">
      <c r="A37" s="3271"/>
      <c r="B37" s="3267"/>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A76" sqref="A76:B76"/>
    </sheetView>
  </sheetViews>
  <sheetFormatPr defaultColWidth="22.6640625" defaultRowHeight="20.25" customHeight="1"/>
  <cols>
    <col min="1" max="1" width="24.77734375" style="3127" customWidth="1"/>
    <col min="2" max="5" width="22.6640625" style="3127"/>
    <col min="6" max="6" width="25.6640625" style="3127" customWidth="1"/>
    <col min="7" max="16384" width="22.6640625" style="3127"/>
  </cols>
  <sheetData>
    <row r="2" spans="1:6" ht="20.25" customHeight="1">
      <c r="A2" s="3124" t="s">
        <v>1907</v>
      </c>
      <c r="B2" s="3125">
        <f ca="1">TODAY()</f>
        <v>43924</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44876</v>
      </c>
      <c r="D4" s="3129" t="s">
        <v>1914</v>
      </c>
      <c r="E4" s="3129">
        <f ca="1">IF(F4&lt;B2,"已过期",96010014)</f>
        <v>96010014</v>
      </c>
      <c r="F4" s="3132">
        <v>47118</v>
      </c>
    </row>
    <row r="5" spans="1:6" ht="20.25" customHeight="1">
      <c r="A5" s="3129"/>
      <c r="B5" s="3129"/>
      <c r="C5" s="3131"/>
      <c r="D5" s="3129"/>
      <c r="E5" s="3129"/>
      <c r="F5" s="3132"/>
    </row>
    <row r="6" spans="1:6" ht="20.25" customHeight="1">
      <c r="A6" s="3129" t="s">
        <v>1915</v>
      </c>
      <c r="B6" s="3129">
        <f ca="1">IF(C6&lt;B2,"已过期",1119970111)</f>
        <v>1119970111</v>
      </c>
      <c r="C6" s="3131">
        <v>44876</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f ca="1">IF(C8&lt;B2,"已过期",1120000080)</f>
        <v>1120000080</v>
      </c>
      <c r="C8" s="3131">
        <v>44876</v>
      </c>
      <c r="D8" s="3129" t="s">
        <v>1917</v>
      </c>
      <c r="E8" s="3129">
        <f ca="1">IF(F8&lt;B2,"已过期",2000110082)</f>
        <v>2000110082</v>
      </c>
      <c r="F8" s="3132">
        <v>46387</v>
      </c>
    </row>
    <row r="9" spans="1:6" ht="20.25" customHeight="1">
      <c r="A9" s="3129" t="s">
        <v>1918</v>
      </c>
      <c r="B9" s="3129">
        <f ca="1">IF(C9&lt;B2,"已过期",1419970001)</f>
        <v>1419970001</v>
      </c>
      <c r="C9" s="3131">
        <v>44899</v>
      </c>
      <c r="D9" s="3129" t="s">
        <v>1918</v>
      </c>
      <c r="E9" s="3129">
        <f ca="1">IF(F9&lt;B2,"已过期",2002110125)</f>
        <v>2002110125</v>
      </c>
      <c r="F9" s="3132">
        <v>47118</v>
      </c>
    </row>
    <row r="10" spans="1:6" ht="20.25" customHeight="1">
      <c r="A10" s="3129" t="s">
        <v>1919</v>
      </c>
      <c r="B10" s="3129">
        <f ca="1">IF(C10&lt;B2,"已过期",1120060040)</f>
        <v>1120060040</v>
      </c>
      <c r="C10" s="3131">
        <v>44554</v>
      </c>
      <c r="D10" s="3129" t="s">
        <v>1919</v>
      </c>
      <c r="E10" s="3129">
        <f ca="1">IF(F10&lt;B2,"已过期",2004110096)</f>
        <v>2004110096</v>
      </c>
      <c r="F10" s="3132">
        <v>47118</v>
      </c>
    </row>
    <row r="11" spans="1:6" ht="20.25" customHeight="1">
      <c r="A11" s="3129" t="s">
        <v>1920</v>
      </c>
      <c r="B11" s="3129">
        <f ca="1">IF(C11&lt;B2,"已过期",1120100036)</f>
        <v>1120100036</v>
      </c>
      <c r="C11" s="3131">
        <v>44675</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44849</v>
      </c>
      <c r="D13" s="3129" t="s">
        <v>1921</v>
      </c>
      <c r="E13" s="3129">
        <f ca="1">IF(F13&lt;B2,"已过期",2014110011)</f>
        <v>2014110011</v>
      </c>
      <c r="F13" s="3132">
        <v>49302</v>
      </c>
    </row>
    <row r="14" spans="1:6" ht="20.25" customHeight="1">
      <c r="A14" s="3129" t="s">
        <v>2974</v>
      </c>
      <c r="B14" s="3129">
        <f ca="1">IF(C14&lt;B2,"已过期",1120040230)</f>
        <v>1120040230</v>
      </c>
      <c r="C14" s="3133">
        <v>44864</v>
      </c>
      <c r="D14" s="3134" t="s">
        <v>2975</v>
      </c>
      <c r="E14" s="3129">
        <f ca="1">IF(F14&lt;B2,"已过期",98030020)</f>
        <v>98030020</v>
      </c>
      <c r="F14" s="3132">
        <v>47118</v>
      </c>
    </row>
    <row r="15" spans="1:6" ht="20.25" customHeight="1">
      <c r="A15" s="3129"/>
      <c r="B15" s="3129"/>
      <c r="C15" s="3133"/>
      <c r="D15" s="3129"/>
      <c r="E15" s="3129"/>
      <c r="F15" s="3135"/>
    </row>
    <row r="16" spans="1:6" ht="20.25" customHeight="1">
      <c r="A16" s="3129"/>
      <c r="B16" s="3129"/>
      <c r="C16" s="3131"/>
      <c r="D16" s="3129"/>
      <c r="E16" s="3129"/>
      <c r="F16" s="3132"/>
    </row>
    <row r="17" spans="1:7" ht="20.25" customHeight="1">
      <c r="A17" s="3129"/>
      <c r="B17" s="3129"/>
      <c r="C17" s="3131"/>
      <c r="D17" s="3134"/>
      <c r="E17" s="3129"/>
      <c r="F17" s="3132"/>
    </row>
    <row r="18" spans="1:7" ht="20.25" customHeight="1">
      <c r="A18" s="3129" t="s">
        <v>2988</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1922</v>
      </c>
      <c r="E21" s="3129">
        <f ca="1">IF(F21&lt;B2,"已过期",2011110090)</f>
        <v>2011110090</v>
      </c>
      <c r="F21" s="3132">
        <v>48302</v>
      </c>
    </row>
    <row r="22" spans="1:7" ht="20.25" customHeight="1">
      <c r="A22" s="3129" t="s">
        <v>1923</v>
      </c>
      <c r="B22" s="3129">
        <f ca="1">IF(C22&lt;B2,"已过期",1120020033)</f>
        <v>1120020033</v>
      </c>
      <c r="C22" s="3131">
        <v>44339</v>
      </c>
      <c r="D22" s="3129" t="s">
        <v>1923</v>
      </c>
      <c r="E22" s="3129">
        <f ca="1">IF(F22&lt;B2,"已过期",2000110137)</f>
        <v>2000110137</v>
      </c>
      <c r="F22" s="3132">
        <v>46387</v>
      </c>
    </row>
    <row r="23" spans="1:7" ht="20.25" customHeight="1">
      <c r="A23" s="3129" t="s">
        <v>2990</v>
      </c>
      <c r="B23" s="3129">
        <v>1119980106</v>
      </c>
      <c r="C23" s="3131">
        <v>43916</v>
      </c>
      <c r="D23" s="3129" t="s">
        <v>2992</v>
      </c>
      <c r="E23" s="3129">
        <v>96010063</v>
      </c>
      <c r="F23" s="3132">
        <v>47118</v>
      </c>
    </row>
    <row r="24" spans="1:7" s="3137" customFormat="1" ht="20.25" customHeight="1">
      <c r="A24" s="3128" t="s">
        <v>2051</v>
      </c>
      <c r="B24" s="3128" t="s">
        <v>2051</v>
      </c>
      <c r="C24" s="3131"/>
      <c r="D24" s="3136" t="s">
        <v>2051</v>
      </c>
      <c r="E24" s="3128" t="s">
        <v>2051</v>
      </c>
      <c r="F24" s="3135"/>
    </row>
    <row r="25" spans="1:7" ht="20.25" customHeight="1">
      <c r="A25" s="3276" t="s">
        <v>1924</v>
      </c>
      <c r="B25" s="3276"/>
      <c r="C25" s="3276"/>
      <c r="D25" s="3276"/>
      <c r="E25" s="3276"/>
      <c r="F25" s="3276"/>
      <c r="G25" s="3276"/>
    </row>
    <row r="26" spans="1:7" ht="20.25" customHeight="1">
      <c r="A26" s="3277" t="s">
        <v>1925</v>
      </c>
      <c r="B26" s="3277"/>
      <c r="C26" s="3277"/>
      <c r="D26" s="3277" t="s">
        <v>1926</v>
      </c>
      <c r="E26" s="3277"/>
      <c r="F26" s="3277"/>
    </row>
    <row r="27" spans="1:7" s="3124" customFormat="1" ht="20.25" customHeight="1">
      <c r="A27" s="3138" t="s">
        <v>1927</v>
      </c>
      <c r="B27" s="3139" t="s">
        <v>1928</v>
      </c>
      <c r="C27" s="3139" t="s">
        <v>1929</v>
      </c>
      <c r="D27" s="3129" t="s">
        <v>1927</v>
      </c>
      <c r="E27" s="3139" t="s">
        <v>1928</v>
      </c>
      <c r="F27" s="3139" t="s">
        <v>1929</v>
      </c>
    </row>
    <row r="28" spans="1:7" s="3124" customFormat="1" ht="20.25" customHeight="1">
      <c r="A28" s="3140" t="s">
        <v>1930</v>
      </c>
      <c r="B28" s="3140" t="s">
        <v>1931</v>
      </c>
      <c r="C28" s="3132">
        <v>44820</v>
      </c>
      <c r="D28" s="3140" t="s">
        <v>1932</v>
      </c>
      <c r="E28" s="3140" t="s">
        <v>1933</v>
      </c>
      <c r="F28" s="3141">
        <v>44377</v>
      </c>
    </row>
    <row r="29" spans="1:7" s="3124" customFormat="1" ht="20.25" customHeight="1">
      <c r="A29" s="3140"/>
      <c r="B29" s="3140"/>
      <c r="C29" s="3142"/>
      <c r="D29" s="3140" t="s">
        <v>1934</v>
      </c>
      <c r="E29" s="3140" t="s">
        <v>2989</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38" priority="151">
      <formula>AND($C24-TODAY()&lt;30,TODAY()&lt;$C24)</formula>
    </cfRule>
  </conditionalFormatting>
  <conditionalFormatting sqref="C28">
    <cfRule type="expression" dxfId="237" priority="150">
      <formula>AND($C28-TODAY()&lt;30,TODAY()&lt;$C28)</formula>
    </cfRule>
  </conditionalFormatting>
  <conditionalFormatting sqref="C28 F4">
    <cfRule type="cellIs" dxfId="236" priority="152" stopIfTrue="1" operator="lessThan">
      <formula>$B$2</formula>
    </cfRule>
  </conditionalFormatting>
  <conditionalFormatting sqref="F5">
    <cfRule type="cellIs" dxfId="235" priority="148" stopIfTrue="1" operator="lessThan">
      <formula>$B$2</formula>
    </cfRule>
  </conditionalFormatting>
  <conditionalFormatting sqref="F6 F8 F10">
    <cfRule type="cellIs" dxfId="234" priority="146" stopIfTrue="1" operator="lessThan">
      <formula>$B$2</formula>
    </cfRule>
  </conditionalFormatting>
  <conditionalFormatting sqref="C24:D24">
    <cfRule type="expression" dxfId="233" priority="144">
      <formula>AND($C24-TODAY()&lt;30,TODAY()&lt;$C24)</formula>
    </cfRule>
  </conditionalFormatting>
  <conditionalFormatting sqref="F7 F9 F11 C24:D24">
    <cfRule type="cellIs" dxfId="232" priority="145" stopIfTrue="1" operator="lessThan">
      <formula>$B$2</formula>
    </cfRule>
  </conditionalFormatting>
  <conditionalFormatting sqref="F22">
    <cfRule type="cellIs" dxfId="231" priority="116" stopIfTrue="1" operator="lessThan">
      <formula>$B$2</formula>
    </cfRule>
  </conditionalFormatting>
  <conditionalFormatting sqref="F21">
    <cfRule type="cellIs" dxfId="230" priority="115" stopIfTrue="1" operator="lessThan">
      <formula>$B$2</formula>
    </cfRule>
  </conditionalFormatting>
  <conditionalFormatting sqref="B4:B11 E4:E11 E19:E22 B17 B13 E13 B19:B23">
    <cfRule type="cellIs" dxfId="229" priority="113" stopIfTrue="1" operator="equal">
      <formula>"已过期"</formula>
    </cfRule>
  </conditionalFormatting>
  <conditionalFormatting sqref="F28">
    <cfRule type="cellIs" dxfId="228" priority="110" stopIfTrue="1" operator="lessThan">
      <formula>$B$2</formula>
    </cfRule>
  </conditionalFormatting>
  <conditionalFormatting sqref="F28">
    <cfRule type="expression" dxfId="227" priority="154">
      <formula>AND($E28-TODAY()&lt;30,TODAY()&lt;$E28)</formula>
    </cfRule>
  </conditionalFormatting>
  <conditionalFormatting sqref="C5">
    <cfRule type="expression" dxfId="226" priority="105">
      <formula>AND($C5-TODAY()&lt;30,TODAY()&lt;$C5)</formula>
    </cfRule>
  </conditionalFormatting>
  <conditionalFormatting sqref="C5">
    <cfRule type="cellIs" dxfId="225" priority="106" stopIfTrue="1" operator="lessThan">
      <formula>$B$2</formula>
    </cfRule>
  </conditionalFormatting>
  <conditionalFormatting sqref="C5:C6">
    <cfRule type="expression" dxfId="224" priority="103">
      <formula>AND($C5-TODAY()&lt;30,TODAY()&lt;$C5)</formula>
    </cfRule>
  </conditionalFormatting>
  <conditionalFormatting sqref="C5:C6">
    <cfRule type="cellIs" dxfId="223" priority="104" stopIfTrue="1" operator="lessThan">
      <formula>$B$2</formula>
    </cfRule>
  </conditionalFormatting>
  <conditionalFormatting sqref="C7">
    <cfRule type="expression" dxfId="222" priority="84">
      <formula>AND($C7-TODAY()&lt;30,TODAY()&lt;$C7)</formula>
    </cfRule>
  </conditionalFormatting>
  <conditionalFormatting sqref="C7">
    <cfRule type="cellIs" dxfId="221" priority="85" stopIfTrue="1" operator="lessThan">
      <formula>$B$2</formula>
    </cfRule>
  </conditionalFormatting>
  <conditionalFormatting sqref="C13 C23 C17 C19:C21">
    <cfRule type="expression" dxfId="220" priority="82">
      <formula>AND($C13-TODAY()&lt;30,TODAY()&lt;$C13)</formula>
    </cfRule>
  </conditionalFormatting>
  <conditionalFormatting sqref="C13 C23 C17 C19:C21">
    <cfRule type="cellIs" dxfId="219" priority="83" stopIfTrue="1" operator="lessThan">
      <formula>$B$2</formula>
    </cfRule>
  </conditionalFormatting>
  <conditionalFormatting sqref="F13">
    <cfRule type="cellIs" dxfId="218" priority="81" stopIfTrue="1" operator="lessThan">
      <formula>$B$2</formula>
    </cfRule>
  </conditionalFormatting>
  <conditionalFormatting sqref="F12">
    <cfRule type="cellIs" dxfId="217" priority="73" stopIfTrue="1" operator="lessThan">
      <formula>$B$2</formula>
    </cfRule>
  </conditionalFormatting>
  <conditionalFormatting sqref="B12 E12">
    <cfRule type="cellIs" dxfId="216" priority="72" stopIfTrue="1" operator="equal">
      <formula>"已过期"</formula>
    </cfRule>
  </conditionalFormatting>
  <conditionalFormatting sqref="C12">
    <cfRule type="expression" dxfId="215" priority="70">
      <formula>AND($C12-TODAY()&lt;30,TODAY()&lt;$C12)</formula>
    </cfRule>
  </conditionalFormatting>
  <conditionalFormatting sqref="C12">
    <cfRule type="cellIs" dxfId="214" priority="71" stopIfTrue="1" operator="lessThan">
      <formula>$B$2</formula>
    </cfRule>
  </conditionalFormatting>
  <conditionalFormatting sqref="C22">
    <cfRule type="expression" dxfId="213" priority="62">
      <formula>AND($C22-TODAY()&lt;30,TODAY()&lt;$C22)</formula>
    </cfRule>
  </conditionalFormatting>
  <conditionalFormatting sqref="C22">
    <cfRule type="cellIs" dxfId="212" priority="63" stopIfTrue="1" operator="lessThan">
      <formula>$B$2</formula>
    </cfRule>
  </conditionalFormatting>
  <conditionalFormatting sqref="C16">
    <cfRule type="expression" dxfId="211" priority="60">
      <formula>AND($C16-TODAY()&lt;30,TODAY()&lt;$C16)</formula>
    </cfRule>
  </conditionalFormatting>
  <conditionalFormatting sqref="C16">
    <cfRule type="cellIs" dxfId="210" priority="61" stopIfTrue="1" operator="lessThan">
      <formula>$B$2</formula>
    </cfRule>
  </conditionalFormatting>
  <conditionalFormatting sqref="C16">
    <cfRule type="expression" dxfId="209" priority="58">
      <formula>AND($C16-TODAY()&lt;30,TODAY()&lt;$C16)</formula>
    </cfRule>
  </conditionalFormatting>
  <conditionalFormatting sqref="C16">
    <cfRule type="cellIs" dxfId="208" priority="59" stopIfTrue="1" operator="lessThan">
      <formula>$B$2</formula>
    </cfRule>
  </conditionalFormatting>
  <conditionalFormatting sqref="B16">
    <cfRule type="cellIs" dxfId="207" priority="57" stopIfTrue="1" operator="equal">
      <formula>"已过期"</formula>
    </cfRule>
  </conditionalFormatting>
  <conditionalFormatting sqref="C14:C15">
    <cfRule type="expression" dxfId="206" priority="55">
      <formula>AND($C14-TODAY()&lt;30,TODAY()&lt;$C14)</formula>
    </cfRule>
  </conditionalFormatting>
  <conditionalFormatting sqref="C14:C15">
    <cfRule type="cellIs" dxfId="205" priority="56" stopIfTrue="1" operator="lessThan">
      <formula>$B$2</formula>
    </cfRule>
  </conditionalFormatting>
  <conditionalFormatting sqref="C14">
    <cfRule type="expression" dxfId="204" priority="53">
      <formula>AND($C14-TODAY()&lt;30,TODAY()&lt;$C14)</formula>
    </cfRule>
  </conditionalFormatting>
  <conditionalFormatting sqref="C14">
    <cfRule type="cellIs" dxfId="203" priority="54" stopIfTrue="1" operator="lessThan">
      <formula>$B$2</formula>
    </cfRule>
  </conditionalFormatting>
  <conditionalFormatting sqref="C15">
    <cfRule type="expression" dxfId="202" priority="51">
      <formula>AND($C15-TODAY()&lt;30,TODAY()&lt;$C15)</formula>
    </cfRule>
  </conditionalFormatting>
  <conditionalFormatting sqref="C15">
    <cfRule type="cellIs" dxfId="201" priority="52" stopIfTrue="1" operator="lessThan">
      <formula>$B$2</formula>
    </cfRule>
  </conditionalFormatting>
  <conditionalFormatting sqref="B14">
    <cfRule type="cellIs" dxfId="200" priority="50" stopIfTrue="1" operator="equal">
      <formula>"已过期"</formula>
    </cfRule>
  </conditionalFormatting>
  <conditionalFormatting sqref="B15">
    <cfRule type="cellIs" dxfId="199" priority="49" stopIfTrue="1" operator="equal">
      <formula>"已过期"</formula>
    </cfRule>
  </conditionalFormatting>
  <conditionalFormatting sqref="A15">
    <cfRule type="cellIs" dxfId="198" priority="48" stopIfTrue="1" operator="equal">
      <formula>"已过期"</formula>
    </cfRule>
  </conditionalFormatting>
  <conditionalFormatting sqref="C15">
    <cfRule type="expression" dxfId="197" priority="47">
      <formula>AND($C15-TODAY()&lt;30,TODAY()&lt;$C15)</formula>
    </cfRule>
  </conditionalFormatting>
  <conditionalFormatting sqref="F16">
    <cfRule type="cellIs" dxfId="196" priority="46" stopIfTrue="1" operator="lessThan">
      <formula>$B$2</formula>
    </cfRule>
  </conditionalFormatting>
  <conditionalFormatting sqref="E16">
    <cfRule type="cellIs" dxfId="195" priority="45" stopIfTrue="1" operator="equal">
      <formula>"已过期"</formula>
    </cfRule>
  </conditionalFormatting>
  <conditionalFormatting sqref="E15">
    <cfRule type="cellIs" dxfId="194" priority="44" stopIfTrue="1" operator="equal">
      <formula>"已过期"</formula>
    </cfRule>
  </conditionalFormatting>
  <conditionalFormatting sqref="D15">
    <cfRule type="cellIs" dxfId="193" priority="43" stopIfTrue="1" operator="equal">
      <formula>"已过期"</formula>
    </cfRule>
  </conditionalFormatting>
  <conditionalFormatting sqref="F17">
    <cfRule type="cellIs" dxfId="192" priority="42" stopIfTrue="1" operator="lessThan">
      <formula>$B$2</formula>
    </cfRule>
  </conditionalFormatting>
  <conditionalFormatting sqref="E17">
    <cfRule type="cellIs" dxfId="191" priority="41" stopIfTrue="1" operator="equal">
      <formula>"已过期"</formula>
    </cfRule>
  </conditionalFormatting>
  <conditionalFormatting sqref="E14">
    <cfRule type="cellIs" dxfId="190" priority="40" stopIfTrue="1" operator="equal">
      <formula>"已过期"</formula>
    </cfRule>
  </conditionalFormatting>
  <conditionalFormatting sqref="F14">
    <cfRule type="cellIs" dxfId="189" priority="39" stopIfTrue="1" operator="lessThan">
      <formula>$B$2</formula>
    </cfRule>
  </conditionalFormatting>
  <conditionalFormatting sqref="C10:C11">
    <cfRule type="expression" dxfId="188" priority="35">
      <formula>AND($C10-TODAY()&lt;30,TODAY()&lt;$C10)</formula>
    </cfRule>
  </conditionalFormatting>
  <conditionalFormatting sqref="C10:C11">
    <cfRule type="cellIs" dxfId="187" priority="36" stopIfTrue="1" operator="lessThan">
      <formula>$B$2</formula>
    </cfRule>
  </conditionalFormatting>
  <conditionalFormatting sqref="C18">
    <cfRule type="expression" dxfId="186" priority="24">
      <formula>AND($C18-TODAY()&lt;30,TODAY()&lt;$C18)</formula>
    </cfRule>
  </conditionalFormatting>
  <conditionalFormatting sqref="C18">
    <cfRule type="cellIs" dxfId="185" priority="25" stopIfTrue="1" operator="lessThan">
      <formula>$B$2</formula>
    </cfRule>
  </conditionalFormatting>
  <conditionalFormatting sqref="C18">
    <cfRule type="expression" dxfId="184" priority="22">
      <formula>AND($C18-TODAY()&lt;30,TODAY()&lt;$C18)</formula>
    </cfRule>
  </conditionalFormatting>
  <conditionalFormatting sqref="C18">
    <cfRule type="cellIs" dxfId="183" priority="23" stopIfTrue="1" operator="lessThan">
      <formula>$B$2</formula>
    </cfRule>
  </conditionalFormatting>
  <conditionalFormatting sqref="B18">
    <cfRule type="cellIs" dxfId="182" priority="21" stopIfTrue="1" operator="equal">
      <formula>"已过期"</formula>
    </cfRule>
  </conditionalFormatting>
  <conditionalFormatting sqref="F18">
    <cfRule type="cellIs" dxfId="181" priority="20" stopIfTrue="1" operator="lessThan">
      <formula>$B$2</formula>
    </cfRule>
  </conditionalFormatting>
  <conditionalFormatting sqref="E18">
    <cfRule type="cellIs" dxfId="180" priority="19" stopIfTrue="1" operator="equal">
      <formula>"已过期"</formula>
    </cfRule>
  </conditionalFormatting>
  <conditionalFormatting sqref="F29">
    <cfRule type="cellIs" dxfId="179" priority="15" stopIfTrue="1" operator="lessThan">
      <formula>$B$2</formula>
    </cfRule>
  </conditionalFormatting>
  <conditionalFormatting sqref="F29">
    <cfRule type="expression" dxfId="178" priority="16">
      <formula>AND($E29-TODAY()&lt;30,TODAY()&lt;$E29)</formula>
    </cfRule>
  </conditionalFormatting>
  <conditionalFormatting sqref="C4">
    <cfRule type="expression" dxfId="177" priority="11">
      <formula>AND($C4-TODAY()&lt;30,TODAY()&lt;$C4)</formula>
    </cfRule>
  </conditionalFormatting>
  <conditionalFormatting sqref="C4">
    <cfRule type="cellIs" dxfId="176" priority="12" stopIfTrue="1" operator="lessThan">
      <formula>$B$2</formula>
    </cfRule>
  </conditionalFormatting>
  <conditionalFormatting sqref="C8:C9">
    <cfRule type="expression" dxfId="175" priority="5">
      <formula>AND($C8-TODAY()&lt;30,TODAY()&lt;$C8)</formula>
    </cfRule>
  </conditionalFormatting>
  <conditionalFormatting sqref="C8:C9">
    <cfRule type="cellIs" dxfId="174" priority="6" stopIfTrue="1" operator="lessThan">
      <formula>$B$2</formula>
    </cfRule>
  </conditionalFormatting>
  <conditionalFormatting sqref="F23">
    <cfRule type="cellIs" dxfId="173" priority="2" stopIfTrue="1" operator="lessThan">
      <formula>$B$2</formula>
    </cfRule>
  </conditionalFormatting>
  <conditionalFormatting sqref="E23">
    <cfRule type="cellIs" dxfId="172"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Y24" sqref="Y24"/>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2543</v>
      </c>
      <c r="R1" s="2546" t="s">
        <v>2537</v>
      </c>
      <c r="S1" s="6" t="s">
        <v>146</v>
      </c>
      <c r="T1" s="7" t="s">
        <v>147</v>
      </c>
      <c r="U1" s="6" t="s">
        <v>148</v>
      </c>
      <c r="V1" s="6" t="s">
        <v>149</v>
      </c>
      <c r="W1" s="1003" t="s">
        <v>874</v>
      </c>
    </row>
    <row r="2" spans="1:23" ht="14.4">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ht="14.4">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ht="14.4">
      <c r="A4" s="8" t="s">
        <v>87</v>
      </c>
      <c r="B4" s="8" t="s">
        <v>152</v>
      </c>
      <c r="C4" s="1537"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ht="14.4">
      <c r="A5" s="8" t="s">
        <v>94</v>
      </c>
      <c r="B5" s="8" t="s">
        <v>153</v>
      </c>
      <c r="C5" s="1537"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ht="14.4">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ht="14.4">
      <c r="A7" s="8" t="s">
        <v>102</v>
      </c>
      <c r="B7" s="8" t="s">
        <v>103</v>
      </c>
      <c r="C7" s="1537" t="s">
        <v>1714</v>
      </c>
      <c r="F7" s="9" t="s">
        <v>154</v>
      </c>
      <c r="H7" s="9" t="s">
        <v>104</v>
      </c>
      <c r="I7" s="9" t="s">
        <v>105</v>
      </c>
    </row>
    <row r="8" spans="1:23" ht="14.4">
      <c r="A8" s="8" t="s">
        <v>106</v>
      </c>
      <c r="B8" s="8" t="s">
        <v>107</v>
      </c>
      <c r="C8" s="1537" t="s">
        <v>1715</v>
      </c>
      <c r="F8" s="9" t="s">
        <v>155</v>
      </c>
      <c r="H8" s="9"/>
      <c r="I8" s="9" t="s">
        <v>108</v>
      </c>
    </row>
    <row r="9" spans="1:23" ht="14.4">
      <c r="A9" s="8" t="s">
        <v>109</v>
      </c>
      <c r="B9" s="8" t="s">
        <v>156</v>
      </c>
      <c r="C9" s="1537" t="s">
        <v>1716</v>
      </c>
      <c r="F9" s="9" t="s">
        <v>110</v>
      </c>
      <c r="H9" s="9"/>
    </row>
    <row r="10" spans="1:23" ht="14.4">
      <c r="A10" s="8" t="s">
        <v>111</v>
      </c>
      <c r="B10" s="8" t="s">
        <v>157</v>
      </c>
      <c r="C10" s="1537" t="s">
        <v>1717</v>
      </c>
      <c r="F10" s="9" t="s">
        <v>6</v>
      </c>
    </row>
    <row r="11" spans="1:23" ht="14.4">
      <c r="A11" s="8" t="s">
        <v>112</v>
      </c>
      <c r="B11" s="8" t="s">
        <v>158</v>
      </c>
      <c r="C11" s="1537" t="s">
        <v>1718</v>
      </c>
    </row>
    <row r="12" spans="1:23" ht="14.4">
      <c r="A12" s="8" t="s">
        <v>113</v>
      </c>
      <c r="B12" s="8" t="s">
        <v>159</v>
      </c>
      <c r="C12" s="1537" t="s">
        <v>1719</v>
      </c>
    </row>
    <row r="13" spans="1:23" ht="14.4">
      <c r="A13" s="8" t="s">
        <v>114</v>
      </c>
      <c r="B13" s="8" t="s">
        <v>160</v>
      </c>
      <c r="C13" s="1537" t="s">
        <v>1720</v>
      </c>
    </row>
    <row r="14" spans="1:23" ht="14.4">
      <c r="A14" s="8" t="s">
        <v>115</v>
      </c>
      <c r="B14" s="8" t="s">
        <v>161</v>
      </c>
      <c r="C14" s="1540" t="s">
        <v>1896</v>
      </c>
    </row>
    <row r="15" spans="1:23" ht="14.4">
      <c r="A15" s="8" t="s">
        <v>116</v>
      </c>
      <c r="B15" s="8" t="s">
        <v>1681</v>
      </c>
      <c r="C15" s="1540"/>
    </row>
    <row r="16" spans="1:23" ht="14.4">
      <c r="A16" s="8" t="s">
        <v>117</v>
      </c>
      <c r="B16" s="8" t="s">
        <v>1682</v>
      </c>
      <c r="C16" s="1540"/>
    </row>
    <row r="17" spans="1:3" ht="14.4">
      <c r="A17" s="8" t="s">
        <v>118</v>
      </c>
      <c r="B17" s="8" t="s">
        <v>1683</v>
      </c>
      <c r="C17" s="1540"/>
    </row>
    <row r="18" spans="1:3" ht="14.4">
      <c r="A18" s="8" t="s">
        <v>119</v>
      </c>
      <c r="B18" s="3062" t="s">
        <v>2948</v>
      </c>
      <c r="C18" s="1540"/>
    </row>
    <row r="19" spans="1:3" ht="14.4">
      <c r="A19" s="8" t="s">
        <v>120</v>
      </c>
      <c r="B19" s="3062" t="s">
        <v>2956</v>
      </c>
      <c r="C19" s="1540"/>
    </row>
    <row r="20" spans="1:3" ht="14.4">
      <c r="A20" s="8" t="s">
        <v>121</v>
      </c>
      <c r="B20" s="8" t="s">
        <v>1641</v>
      </c>
      <c r="C20" s="1540"/>
    </row>
    <row r="21" spans="1:3" ht="14.4">
      <c r="A21" s="8" t="s">
        <v>122</v>
      </c>
      <c r="B21" s="8" t="s">
        <v>1641</v>
      </c>
      <c r="C21" s="1540"/>
    </row>
    <row r="22" spans="1:3" ht="14.4">
      <c r="A22" s="8" t="s">
        <v>123</v>
      </c>
      <c r="B22" s="8" t="s">
        <v>3433</v>
      </c>
      <c r="C22" s="1540"/>
    </row>
    <row r="23" spans="1:3" ht="14.4">
      <c r="A23" s="8" t="s">
        <v>124</v>
      </c>
      <c r="B23" s="8" t="s">
        <v>1641</v>
      </c>
      <c r="C23" s="1540"/>
    </row>
    <row r="24" spans="1:3">
      <c r="A24" s="8" t="s">
        <v>12</v>
      </c>
      <c r="B24" s="8" t="s">
        <v>1641</v>
      </c>
      <c r="C24" s="1540"/>
    </row>
    <row r="25" spans="1:3" ht="14.4">
      <c r="A25" s="8" t="s">
        <v>125</v>
      </c>
      <c r="B25" s="8" t="s">
        <v>1641</v>
      </c>
      <c r="C25" s="1540"/>
    </row>
    <row r="26" spans="1:3" ht="14.4">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咸阳市秦都区文兴路335亩项目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78"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12日，在规划利用条件下、设定土地开发程度为红线外“七通”、宗地内场地，设定用途为，剩余土地使用年限为的出让国有建设用地使用权价格。</v>
      </c>
      <c r="D53" s="1752"/>
      <c r="E53" s="1752"/>
    </row>
    <row r="54" spans="1:5">
      <c r="A54" s="3278"/>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78"/>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78"/>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78"/>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2047</v>
      </c>
      <c r="B58" s="1751" t="s">
        <v>2048</v>
      </c>
      <c r="C58" s="11" t="s">
        <v>2049</v>
      </c>
      <c r="D58" s="1314"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140</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Sheet3</vt:lpstr>
      <vt:lpstr>数据-汇总表</vt:lpstr>
      <vt:lpstr>数据-取费表</vt:lpstr>
      <vt:lpstr>估价对象房地状况</vt:lpstr>
      <vt:lpstr>系统读取表</vt:lpstr>
      <vt:lpstr>结果表</vt:lpstr>
      <vt:lpstr>剩余法-现房</vt:lpstr>
      <vt:lpstr>比较法-住宅、综合 (2)</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Sheet0</vt:lpstr>
      <vt:lpstr>剩余法-待开发</vt:lpstr>
      <vt:lpstr>不动产收益法</vt:lpstr>
      <vt:lpstr>酒店收入计算</vt:lpstr>
      <vt:lpstr>成本逼近法</vt:lpstr>
      <vt:lpstr>不动产比较法-住宅</vt:lpstr>
      <vt:lpstr>Sheet1</vt:lpstr>
      <vt:lpstr>Sheet2</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(2)'!套工交易情况</vt:lpstr>
      <vt:lpstr>套工交易情况</vt:lpstr>
      <vt:lpstr>套工开发程度</vt:lpstr>
      <vt:lpstr>套工临街等级</vt:lpstr>
      <vt:lpstr>套工土地级别</vt:lpstr>
      <vt:lpstr>套工用途</vt:lpstr>
      <vt:lpstr>套工宗地形状</vt:lpstr>
      <vt:lpstr>'比较法-住宅、综合 (2)'!套综道路等级</vt:lpstr>
      <vt:lpstr>套综道路等级</vt:lpstr>
      <vt:lpstr>'比较法-住宅、综合 (2)'!套综工程地质条件</vt:lpstr>
      <vt:lpstr>套综工程地质条件</vt:lpstr>
      <vt:lpstr>'比较法-住宅、综合 (2)'!套综交易情况</vt:lpstr>
      <vt:lpstr>套综交易情况</vt:lpstr>
      <vt:lpstr>'比较法-住宅、综合 (2)'!套综临街宽度及深度</vt:lpstr>
      <vt:lpstr>套综临街宽度及深度</vt:lpstr>
      <vt:lpstr>'比较法-住宅、综合 (2)'!套综土地级别</vt:lpstr>
      <vt:lpstr>套综土地级别</vt:lpstr>
      <vt:lpstr>'比较法-住宅、综合 (2)'!套综用途</vt:lpstr>
      <vt:lpstr>套综用途</vt:lpstr>
      <vt:lpstr>'比较法-住宅、综合 (2)'!套综宗地内开发程度</vt:lpstr>
      <vt:lpstr>套综宗地内开发程度</vt:lpstr>
      <vt:lpstr>'比较法-住宅、综合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2017-03-09T08:11:21Z</cp:lastPrinted>
  <dcterms:created xsi:type="dcterms:W3CDTF">2015-07-13T07:17:23Z</dcterms:created>
  <dcterms:modified xsi:type="dcterms:W3CDTF">2020-04-03T09:34:19Z</dcterms:modified>
</cp:coreProperties>
</file>