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omments2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8.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F:\火炬大厦\"/>
    </mc:Choice>
  </mc:AlternateContent>
  <xr:revisionPtr revIDLastSave="0" documentId="13_ncr:1_{A080037C-229E-4E84-8A45-2433F5EBAF68}" xr6:coauthVersionLast="47" xr6:coauthVersionMax="47" xr10:uidLastSave="{00000000-0000-0000-0000-000000000000}"/>
  <bookViews>
    <workbookView xWindow="-120" yWindow="-120" windowWidth="38640" windowHeight="21240" tabRatio="899" firstSheet="11"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成本法" sheetId="68" r:id="rId21"/>
    <sheet name="基准地价修正" sheetId="43" r:id="rId22"/>
    <sheet name="收益法（汇总）" sheetId="70" r:id="rId23"/>
    <sheet name="收益法-已出租" sheetId="15" state="hidden" r:id="rId24"/>
    <sheet name="收益法-未出租" sheetId="84" r:id="rId25"/>
    <sheet name="收益法-车库" sheetId="83"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售价比较法-办公 " sheetId="90" state="hidden" r:id="rId38"/>
    <sheet name="收益法-库房" sheetId="91" r:id="rId39"/>
    <sheet name="比较法-仓储" sheetId="36" state="hidden" r:id="rId40"/>
    <sheet name="租金比较法-办公" sheetId="86" r:id="rId41"/>
    <sheet name="办公租金案例" sheetId="87" r:id="rId42"/>
    <sheet name="租金比较法-商业" sheetId="88" r:id="rId43"/>
    <sheet name="商业租金案例" sheetId="89" r:id="rId44"/>
    <sheet name="面积指标" sheetId="85" r:id="rId45"/>
    <sheet name="4-21火炬大厦" sheetId="80" state="hidden" r:id="rId46"/>
    <sheet name="租户信息表" sheetId="82" state="hidden" r:id="rId47"/>
    <sheet name="车库、仓储案例" sheetId="92" r:id="rId48"/>
    <sheet name="面积" sheetId="81"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r:id="rId58"/>
  </sheets>
  <externalReferences>
    <externalReference r:id="rId59"/>
    <externalReference r:id="rId60"/>
    <externalReference r:id="rId61"/>
    <externalReference r:id="rId62"/>
    <externalReference r:id="rId63"/>
    <externalReference r:id="rId64"/>
    <externalReference r:id="rId65"/>
  </externalReferences>
  <definedNames>
    <definedName name="_Fill" hidden="1">[1]eqpmad2!#REF!</definedName>
    <definedName name="_xlnm._FilterDatabase" localSheetId="30" hidden="1">'比较法-办公'!$A$1:$L$50</definedName>
    <definedName name="_xlnm._FilterDatabase" localSheetId="39"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7" hidden="1">'售价比较法-办公 '!$A$1:$L$50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40" hidden="1">'租金比较法-办公'!$A$1:$L$50</definedName>
    <definedName name="_xlnm._FilterDatabase" localSheetId="42" hidden="1">'租金比较法-商业'!$A$1:$L$49</definedName>
    <definedName name="_xlnm._FilterDatabase" hidden="1">#REF!</definedName>
    <definedName name="_Key1" hidden="1">#REF!</definedName>
    <definedName name="_Order1" hidden="1">255</definedName>
    <definedName name="_Sort" hidden="1">#REF!</definedName>
    <definedName name="_Table1_In1" hidden="1">#REF!</definedName>
    <definedName name="_Table2_Out"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S2DocOpenMode" hidden="1">"AS2DocumentEdit"</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HTML_CodePage" hidden="1">936</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Title" hidden="1">"index"</definedName>
    <definedName name="KK" hidden="1">{#N/A,#N/A,FALSE,"Aging Summary";#N/A,#N/A,FALSE,"Ratio Analysis";#N/A,#N/A,FALSE,"Test 120 Day Accts";#N/A,#N/A,FALSE,"Tickmarks"}</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_xlnm.Print_Area" localSheetId="30">'比较法-办公'!$A$1:$K$55,'比较法-办公'!$A$58:$M$132</definedName>
    <definedName name="_xlnm.Print_Area" localSheetId="39">'比较法-仓储'!$A$1:$K$42,'比较法-仓储'!$A$45:$M$96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2">'收益法（汇总）'!$A$1:$F$13</definedName>
    <definedName name="_xlnm.Print_Area" localSheetId="25">'收益法-车库'!$A$1:$F$43,'收益法-车库'!$H$3:$M$29,'收益法-车库'!$A$46:$F$71,'收益法-车库'!$I$46:$N$65</definedName>
    <definedName name="_xlnm.Print_Area" localSheetId="38">'收益法-库房'!$A$1:$F$43,'收益法-库房'!$H$3:$M$29,'收益法-库房'!$A$46:$F$71,'收益法-库房'!$I$46:$N$65</definedName>
    <definedName name="_xlnm.Print_Area" localSheetId="24">'收益法-未出租'!$A$1:$F$43,'收益法-未出租'!$H$3:$M$29,'收益法-未出租'!$A$46:$F$71,'收益法-未出租'!$I$46:$N$65</definedName>
    <definedName name="_xlnm.Print_Area" localSheetId="23">'收益法-已出租'!$A$1:$F$43,'收益法-已出租'!$H$3:$M$29,'收益法-已出租'!$A$46:$F$71,'收益法-已出租'!$I$46:$N$65</definedName>
    <definedName name="_xlnm.Print_Area" localSheetId="37">'售价比较法-办公 '!$A$1:$K$55,'售价比较法-办公 '!$A$58:$M$132</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0">'租金比较法-办公'!$A$1:$K$55,'租金比较法-办公'!$A$58:$M$132</definedName>
    <definedName name="_xlnm.Print_Area" localSheetId="42">'租金比较法-商业'!$A$1:$K$54,'租金比较法-商业'!$A$57:$M$131</definedName>
    <definedName name="TextRefCopyRangeCount" hidden="1">12</definedName>
    <definedName name="wrn.12." hidden="1">{#N/A,#N/A,FALSE,"现金"}</definedName>
    <definedName name="wrn.Aging._.and._.Trend._.Analysis." hidden="1">{#N/A,#N/A,FALSE,"Aging Summary";#N/A,#N/A,FALSE,"Ratio Analysis";#N/A,#N/A,FALSE,"Test 120 Day Accts";#N/A,#N/A,FALSE,"Tickmarks"}</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contribution." hidden="1">{#N/A,#N/A,FALSE,"Contribution Analysis"}</definedName>
    <definedName name="wrn.Cover." hidden="1">{"coverall",#N/A,FALSE,"Definitions";"cover1",#N/A,FALSE,"Definitions";"cover2",#N/A,FALSE,"Definitions";"cover3",#N/A,FALSE,"Definitions";"cover4",#N/A,FALSE,"Definitions";"cover5",#N/A,FALSE,"Definitions";"blank",#N/A,FALSE,"Definitions"}</definedName>
    <definedName name="wrn.csc." hidden="1">{"orixcsc",#N/A,FALSE,"ORIX CSC";"orixcsc2",#N/A,FALSE,"ORIX CSC"}</definedName>
    <definedName name="wrn.csc2." hidden="1">{#N/A,#N/A,FALSE,"ORIX CSC"}</definedName>
    <definedName name="wrn.dcf." hidden="1">{"mgmt forecast",#N/A,FALSE,"Mgmt Forecast";"dcf table",#N/A,FALSE,"Mgmt Forecast";"sensitivity",#N/A,FALSE,"Mgmt Forecast";"table inputs",#N/A,FALSE,"Mgmt Forecast";"calculations",#N/A,FALSE,"Mgmt Forecast"}</definedName>
    <definedName name="wrn.Entire._.Model." hidden="1">{"Issues1",#N/A,FALSE,"Issues"}</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Printout." hidden="1">{"Multiple view",#N/A,FALSE,"GS Update Valuation";"NLG Merger view",#N/A,FALSE,"GS Update Valuation";"Dollar Merger view",#N/A,FALSE,"GS Update Valuation"}</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test." hidden="1">{"test2",#N/A,TRUE,"Prices"}</definedName>
    <definedName name="XREF_COLUMN_1" hidden="1">#REF!</definedName>
    <definedName name="XREF_COLUMN_2" hidden="1">#REF!</definedName>
    <definedName name="XRefActiveRow" hidden="1">#REF!</definedName>
    <definedName name="XRefColumnsCount" hidden="1">2</definedName>
    <definedName name="XRefCopy1" hidden="1">[2]detail!$E$243</definedName>
    <definedName name="XRefCopy1Row" hidden="1">#REF!</definedName>
    <definedName name="XRefCopy2" hidden="1">#REF!</definedName>
    <definedName name="XRefCopyRangeCount" hidden="1">2</definedName>
    <definedName name="XRefPaste1" hidden="1">#REF!</definedName>
    <definedName name="XRefPaste1Row" hidden="1">#REF!</definedName>
    <definedName name="XRefPaste2" hidden="1">[2]detail!$E$243</definedName>
    <definedName name="XRefPaste2Row" hidden="1">[3]XREF!#REF!</definedName>
    <definedName name="XRefPaste3Row" hidden="1">[3]XREF!#REF!</definedName>
    <definedName name="XRefPaste4Row" hidden="1">[3]XREF!#REF!</definedName>
    <definedName name="XRefPaste5Row" hidden="1">[3]XREF!#REF!</definedName>
    <definedName name="XRefPaste6Row" hidden="1">[3]XREF!#REF!</definedName>
    <definedName name="XRefPasteRangeCount" hidden="1">2</definedName>
    <definedName name="xxx" hidden="1">{"Demand",#N/A,TRUE,"MARKETING";"ESTL Sales",#N/A,TRUE,"MARKETING";"Sales Breakout",#N/A,TRUE,"MARKETING";"Pricing One",#N/A,TRUE,"MARKETING";"Pricing Two",#N/A,TRUE,"MARKETING";"Gross Margin",#N/A,TRUE,"MARKETING";"OPEX",#N/A,TRUE,"MARKETING";"EBIT",#N/A,TRUE,"MARKETING";"Depreciation",#N/A,TRUE,"MARKETING";"Working Cap",#N/A,TRUE,"MARKETING";"WC Gross Revenues",#N/A,TRUE,"MARKETING";"WC RTP Revenues",#N/A,TRUE,"MARKETING";"WC Funds",#N/A,TRUE,"MARKETING";"WC VAT Receivable",#N/A,TRUE,"MARKETING";"WC VAT Payable",#N/A,TRUE,"MARKETING"}</definedName>
    <definedName name="z" hidden="1">{"ops1",#N/A,TRUE,"PAMPILLA2";"ops2",#N/A,TRUE,"PAMPILLA2";"ops3",#N/A,TRUE,"PAMPILLA2";"ops4",#N/A,TRUE,"PAMPILLA2";"PL1",#N/A,TRUE,"PAMPILLA2";"PL2",#N/A,TRUE,"PAMPILLA2";"workcap",#N/A,TRUE,"PAMPILLA2";"assump1",#N/A,TRUE,"PAMPILLA2";"assump2",#N/A,TRUE,"PAMPILLA2";"assump3",#N/A,TRUE,"PAMPILLA2";"assump4",#N/A,TRUE,"PAMPILLA2";"assump5",#N/A,TRUE,"PAMPILLA2";"assump6",#N/A,TRUE,"PAMPILLA2";"assump7",#N/A,TRUE,"PAMPILLA2";"assump8",#N/A,TRUE,"PAMPILLA2";"assump9",#N/A,TRUE,"PAMPILLA2";"assump10",#N/A,TRUE,"PAMPILLA2";"assump11",#N/A,TRUE,"PAMPILLA2";"assump12",#N/A,TRUE,"PAMPILLA2";"deprec1",#N/A,TRUE,"PAMPILLA2";"matrix",#N/A,TRUE,"PAMPILLA2";"summary",#N/A,TRUE,"PAMPILLA2"}</definedName>
    <definedName name="八级">区片价!$P$1:$P$44</definedName>
    <definedName name="办公">'[4]比较法-办公'!$B$87:$M$87</definedName>
    <definedName name="办公层高" localSheetId="41">'[5]租金比较法-办公'!$B$119:$M$119</definedName>
    <definedName name="办公层高" localSheetId="48">'[5]租金比较法-办公'!$B$119:$M$119</definedName>
    <definedName name="办公层高" localSheetId="37">'售价比较法-办公 '!$B$119:$M$119</definedName>
    <definedName name="办公层高" localSheetId="40">'租金比较法-办公'!$B$119:$M$119</definedName>
    <definedName name="办公层高">'比较法-办公'!$B$119:$M$119</definedName>
    <definedName name="办公朝向" localSheetId="41">'[5]租金比较法-办公'!$B$91:$M$91</definedName>
    <definedName name="办公朝向" localSheetId="48">'[5]租金比较法-办公'!$B$91:$M$91</definedName>
    <definedName name="办公朝向" localSheetId="37">'售价比较法-办公 '!$B$91:$M$91</definedName>
    <definedName name="办公朝向" localSheetId="40">'租金比较法-办公'!$B$91:$M$91</definedName>
    <definedName name="办公朝向">'比较法-办公'!$B$91:$M$91</definedName>
    <definedName name="办公道路级别" localSheetId="41">'[5]租金比较法-办公'!$B$87:$M$87</definedName>
    <definedName name="办公道路级别" localSheetId="48">'[5]租金比较法-办公'!$B$87:$M$87</definedName>
    <definedName name="办公道路级别" localSheetId="37">'售价比较法-办公 '!$B$87:$M$87</definedName>
    <definedName name="办公道路级别" localSheetId="40">'租金比较法-办公'!$B$87:$M$87</definedName>
    <definedName name="办公道路级别">'比较法-办公'!$B$87:$M$87</definedName>
    <definedName name="办公公共部分装修" localSheetId="41">'[5]租金比较法-办公'!$B$108:$M$108</definedName>
    <definedName name="办公公共部分装修" localSheetId="48">'[5]租金比较法-办公'!$B$108:$M$108</definedName>
    <definedName name="办公公共部分装修" localSheetId="37">'售价比较法-办公 '!$B$108:$M$108</definedName>
    <definedName name="办公公共部分装修" localSheetId="40">'租金比较法-办公'!$B$108:$M$108</definedName>
    <definedName name="办公公共部分装修">'比较法-办公'!$B$108:$M$108</definedName>
    <definedName name="办公基础设施水平" localSheetId="41">'[5]租金比较法-办公'!$B$117:$M$117</definedName>
    <definedName name="办公基础设施水平" localSheetId="48">'[5]租金比较法-办公'!$B$117:$M$117</definedName>
    <definedName name="办公基础设施水平" localSheetId="37">'售价比较法-办公 '!$B$117:$M$117</definedName>
    <definedName name="办公基础设施水平" localSheetId="40">'租金比较法-办公'!$B$117:$M$117</definedName>
    <definedName name="办公基础设施水平">'比较法-办公'!$B$117:$M$117</definedName>
    <definedName name="办公集聚程度" localSheetId="41">[5]定义!$M$1:$M$6</definedName>
    <definedName name="办公集聚程度" localSheetId="48">[5]定义!$M$1:$M$6</definedName>
    <definedName name="办公集聚程度" localSheetId="37">[5]定义!$M$1:$M$6</definedName>
    <definedName name="办公集聚程度" localSheetId="40">[5]定义!$M$1:$M$6</definedName>
    <definedName name="办公集聚程度">定义!$M$1:$M$6</definedName>
    <definedName name="办公建筑结构" localSheetId="41">'[5]租金比较法-办公'!$B$106:$M$106</definedName>
    <definedName name="办公建筑结构" localSheetId="48">'[5]租金比较法-办公'!$B$106:$M$106</definedName>
    <definedName name="办公建筑结构" localSheetId="37">'售价比较法-办公 '!$B$106:$M$106</definedName>
    <definedName name="办公建筑结构" localSheetId="40">'租金比较法-办公'!$B$106:$M$106</definedName>
    <definedName name="办公建筑结构">'比较法-办公'!$B$106:$M$106</definedName>
    <definedName name="办公建筑类型" localSheetId="41">'[5]租金比较法-办公'!$B$101:$M$101</definedName>
    <definedName name="办公建筑类型" localSheetId="48">'[5]租金比较法-办公'!$B$101:$M$101</definedName>
    <definedName name="办公建筑类型" localSheetId="37">'售价比较法-办公 '!$B$101:$M$101</definedName>
    <definedName name="办公建筑类型" localSheetId="40">'租金比较法-办公'!$B$101:$M$101</definedName>
    <definedName name="办公建筑类型">'比较法-办公'!$B$101:$M$101</definedName>
    <definedName name="办公交易情况" localSheetId="41">'[5]租金比较法-办公'!$A$62:$M$62</definedName>
    <definedName name="办公交易情况" localSheetId="48">'[5]租金比较法-办公'!$A$62:$M$62</definedName>
    <definedName name="办公交易情况" localSheetId="37">'售价比较法-办公 '!$A$62:$M$62</definedName>
    <definedName name="办公交易情况" localSheetId="40">'租金比较法-办公'!$A$62:$M$62</definedName>
    <definedName name="办公交易情况">'比较法-办公'!$A$62:$M$62</definedName>
    <definedName name="办公楼层" localSheetId="41">'[5]租金比较法-办公'!$B$89:$M$89</definedName>
    <definedName name="办公楼层" localSheetId="48">'[5]租金比较法-办公'!$B$89:$M$89</definedName>
    <definedName name="办公楼层" localSheetId="37">'售价比较法-办公 '!$B$89:$M$89</definedName>
    <definedName name="办公楼层" localSheetId="40">'租金比较法-办公'!$B$89:$M$89</definedName>
    <definedName name="办公楼层">'比较法-办公'!$B$89:$M$89</definedName>
    <definedName name="办公内部装修" localSheetId="41">'[5]租金比较法-办公'!$B$123:$M$123</definedName>
    <definedName name="办公内部装修" localSheetId="48">'[5]租金比较法-办公'!$B$123:$M$123</definedName>
    <definedName name="办公内部装修" localSheetId="37">'售价比较法-办公 '!$B$123:$M$123</definedName>
    <definedName name="办公内部装修" localSheetId="40">'租金比较法-办公'!$B$123:$M$123</definedName>
    <definedName name="办公内部装修">'比较法-办公'!$B$123:$M$123</definedName>
    <definedName name="办公物业管理" localSheetId="41">'[5]租金比较法-办公'!$B$115:$M$115</definedName>
    <definedName name="办公物业管理" localSheetId="48">'[5]租金比较法-办公'!$B$115:$M$115</definedName>
    <definedName name="办公物业管理" localSheetId="37">'售价比较法-办公 '!$B$115:$M$115</definedName>
    <definedName name="办公物业管理" localSheetId="40">'租金比较法-办公'!$B$115:$M$115</definedName>
    <definedName name="办公物业管理">'比较法-办公'!$B$115:$M$115</definedName>
    <definedName name="办公用途" localSheetId="41">'[5]租金比较法-办公'!$B$64:$M$64</definedName>
    <definedName name="办公用途" localSheetId="48">'[5]租金比较法-办公'!$B$64:$M$64</definedName>
    <definedName name="办公用途" localSheetId="37">'售价比较法-办公 '!$B$64:$M$64</definedName>
    <definedName name="办公用途" localSheetId="40">'租金比较法-办公'!$B$64:$M$64</definedName>
    <definedName name="办公用途">'比较法-办公'!$B$64:$M$64</definedName>
    <definedName name="仓储公共部分装修" localSheetId="41">'[5]比较法-仓储'!$B$77:$M$77</definedName>
    <definedName name="仓储公共部分装修" localSheetId="48">'[5]比较法-仓储'!$B$77:$M$77</definedName>
    <definedName name="仓储公共部分装修" localSheetId="37">'[5]比较法-仓储'!$B$77:$M$77</definedName>
    <definedName name="仓储公共部分装修" localSheetId="40">'[5]比较法-仓储'!$B$77:$M$77</definedName>
    <definedName name="仓储公共部分装修">'比较法-仓储'!$B$77:$M$77</definedName>
    <definedName name="仓储交易情况" localSheetId="41">'[5]比较法-仓储'!$A$49:$M$49</definedName>
    <definedName name="仓储交易情况" localSheetId="48">'[5]比较法-仓储'!$A$49:$M$49</definedName>
    <definedName name="仓储交易情况" localSheetId="37">'[5]比较法-仓储'!$A$49:$M$49</definedName>
    <definedName name="仓储交易情况" localSheetId="40">'[5]比较法-仓储'!$A$49:$M$49</definedName>
    <definedName name="仓储交易情况">'比较法-仓储'!$A$49:$M$49</definedName>
    <definedName name="仓储楼层" localSheetId="41">'[5]比较法-仓储'!$B$69:$M$69</definedName>
    <definedName name="仓储楼层" localSheetId="48">'[5]比较法-仓储'!$B$69:$M$69</definedName>
    <definedName name="仓储楼层" localSheetId="37">'[5]比较法-仓储'!$B$69:$M$69</definedName>
    <definedName name="仓储楼层" localSheetId="40">'[5]比较法-仓储'!$B$69:$M$69</definedName>
    <definedName name="仓储楼层">'比较法-仓储'!$B$69:$M$69</definedName>
    <definedName name="仓储物业等级" localSheetId="41">'[5]比较法-仓储'!$B$82:$M$82</definedName>
    <definedName name="仓储物业等级" localSheetId="48">'[5]比较法-仓储'!$B$82:$M$82</definedName>
    <definedName name="仓储物业等级" localSheetId="37">'[5]比较法-仓储'!$B$82:$M$82</definedName>
    <definedName name="仓储物业等级" localSheetId="40">'[5]比较法-仓储'!$B$82:$M$82</definedName>
    <definedName name="仓储物业等级">'比较法-仓储'!$B$82:$M$82</definedName>
    <definedName name="仓储用途" localSheetId="41">'[5]比较法-仓储'!$B$51:$M$51</definedName>
    <definedName name="仓储用途" localSheetId="48">'[5]比较法-仓储'!$B$51:$M$51</definedName>
    <definedName name="仓储用途" localSheetId="37">'[5]比较法-仓储'!$B$51:$M$51</definedName>
    <definedName name="仓储用途" localSheetId="40">'[5]比较法-仓储'!$B$51:$M$51</definedName>
    <definedName name="仓储用途">'比较法-仓储'!$B$51:$M$51</definedName>
    <definedName name="产业集聚程度" localSheetId="41">[5]定义!$N$1:$N$6</definedName>
    <definedName name="产业集聚程度" localSheetId="48">[5]定义!$N$1:$N$6</definedName>
    <definedName name="产业集聚程度" localSheetId="37">[5]定义!$N$1:$N$6</definedName>
    <definedName name="产业集聚程度" localSheetId="40">[5]定义!$N$1:$N$6</definedName>
    <definedName name="产业集聚程度">定义!$N$1:$N$6</definedName>
    <definedName name="车位公共部分装修" localSheetId="41">'[5]比较法-车位'!$B$83:$M$83</definedName>
    <definedName name="车位公共部分装修" localSheetId="48">'[5]比较法-车位'!$B$83:$M$83</definedName>
    <definedName name="车位公共部分装修" localSheetId="37">'[5]比较法-车位'!$B$83:$M$83</definedName>
    <definedName name="车位公共部分装修" localSheetId="40">'[5]比较法-车位'!$B$83:$M$83</definedName>
    <definedName name="车位公共部分装修">'比较法-车位'!$B$83:$M$83</definedName>
    <definedName name="车位交易情况" localSheetId="41">'[5]比较法-车位'!$A$51:$M$51</definedName>
    <definedName name="车位交易情况" localSheetId="48">'[5]比较法-车位'!$A$51:$M$51</definedName>
    <definedName name="车位交易情况" localSheetId="37">'[5]比较法-车位'!$A$51:$M$51</definedName>
    <definedName name="车位交易情况" localSheetId="40">'[5]比较法-车位'!$A$51:$M$51</definedName>
    <definedName name="车位交易情况">'比较法-车位'!$A$51:$M$51</definedName>
    <definedName name="车位类型" localSheetId="41">'[5]比较法-车位'!$B$93:$M$93</definedName>
    <definedName name="车位类型" localSheetId="48">'[5]比较法-车位'!$B$93:$M$93</definedName>
    <definedName name="车位类型" localSheetId="37">'[5]比较法-车位'!$B$93:$M$93</definedName>
    <definedName name="车位类型" localSheetId="40">'[5]比较法-车位'!$B$93:$M$93</definedName>
    <definedName name="车位类型">'比较法-车位'!$B$93:$M$93</definedName>
    <definedName name="车位楼层" localSheetId="41">'[5]比较法-车位'!$B$71:$M$71</definedName>
    <definedName name="车位楼层" localSheetId="48">'[5]比较法-车位'!$B$71:$M$71</definedName>
    <definedName name="车位楼层" localSheetId="37">'[5]比较法-车位'!$B$71:$M$71</definedName>
    <definedName name="车位楼层" localSheetId="40">'[5]比较法-车位'!$B$71:$M$71</definedName>
    <definedName name="车位楼层">'比较法-车位'!$B$71:$M$71</definedName>
    <definedName name="车位配套类型" localSheetId="41">'[5]比较法-车位'!$B$79:$M$79</definedName>
    <definedName name="车位配套类型" localSheetId="48">'[5]比较法-车位'!$B$79:$M$79</definedName>
    <definedName name="车位配套类型" localSheetId="37">'[5]比较法-车位'!$B$79:$M$79</definedName>
    <definedName name="车位配套类型" localSheetId="40">'[5]比较法-车位'!$B$79:$M$79</definedName>
    <definedName name="车位配套类型">'比较法-车位'!$B$79:$M$79</definedName>
    <definedName name="车位物业等级" localSheetId="41">'[5]比较法-车位'!$B$88:$M$88</definedName>
    <definedName name="车位物业等级" localSheetId="48">'[5]比较法-车位'!$B$88:$M$88</definedName>
    <definedName name="车位物业等级" localSheetId="37">'[5]比较法-车位'!$B$88:$M$88</definedName>
    <definedName name="车位物业等级" localSheetId="40">'[5]比较法-车位'!$B$88:$M$88</definedName>
    <definedName name="车位物业等级">'比较法-车位'!$B$88:$M$88</definedName>
    <definedName name="车位用途" localSheetId="41">'[5]比较法-车位'!$B$53:$M$53</definedName>
    <definedName name="车位用途" localSheetId="48">'[5]比较法-车位'!$B$53:$M$53</definedName>
    <definedName name="车位用途" localSheetId="37">'[5]比较法-车位'!$B$53:$M$53</definedName>
    <definedName name="车位用途" localSheetId="40">'[5]比较法-车位'!$B$53:$M$53</definedName>
    <definedName name="车位用途">'比较法-车位'!$B$53:$M$53</definedName>
    <definedName name="城镇土地纳税等级分级范围" localSheetId="41">'[5]数据-取费表'!$A$53:$A$63</definedName>
    <definedName name="城镇土地纳税等级分级范围" localSheetId="48">'[5]数据-取费表'!$A$53:$A$63</definedName>
    <definedName name="城镇土地纳税等级分级范围" localSheetId="37">'[5]数据-取费表'!$A$53:$A$63</definedName>
    <definedName name="城镇土地纳税等级分级范围" localSheetId="40">'[5]数据-取费表'!$A$53:$A$63</definedName>
    <definedName name="城镇土地纳税等级分级范围">'数据-取费表'!$A$53:$A$63</definedName>
    <definedName name="单价内涵" localSheetId="41">[5]定义!$V$1:$V$3</definedName>
    <definedName name="单价内涵" localSheetId="48">[5]定义!$V$1:$V$3</definedName>
    <definedName name="单价内涵" localSheetId="37">[5]定义!$V$1:$V$3</definedName>
    <definedName name="单价内涵" localSheetId="40">[5]定义!$V$1:$V$3</definedName>
    <definedName name="单价内涵">定义!$V$1:$V$3</definedName>
    <definedName name="地类判定" localSheetId="41">[5]定义!$H$1:$H$9</definedName>
    <definedName name="地类判定" localSheetId="48">[5]定义!$H$1:$H$9</definedName>
    <definedName name="地类判定" localSheetId="37">[5]定义!$H$1:$H$9</definedName>
    <definedName name="地类判定" localSheetId="40">[5]定义!$H$1:$H$9</definedName>
    <definedName name="地类判定">定义!$H$1:$H$9</definedName>
    <definedName name="二级">区片价!$J$1:$J$21</definedName>
    <definedName name="二级分类" localSheetId="41">[5]修正!$C$19:$C$51</definedName>
    <definedName name="二级分类" localSheetId="48">[5]修正!$C$19:$C$51</definedName>
    <definedName name="二级分类" localSheetId="37">[5]修正!$C$19:$C$51</definedName>
    <definedName name="二级分类" localSheetId="40">[5]修正!$C$19:$C$51</definedName>
    <definedName name="二级分类">修正!$C$19:$C$51</definedName>
    <definedName name="法定最高年限" localSheetId="41">[5]定义!$G$1:$G$6</definedName>
    <definedName name="法定最高年限" localSheetId="48">[5]定义!$G$1:$G$6</definedName>
    <definedName name="法定最高年限" localSheetId="37">[5]定义!$G$1:$G$6</definedName>
    <definedName name="法定最高年限" localSheetId="40">[5]定义!$G$1:$G$6</definedName>
    <definedName name="法定最高年限">定义!$G$1:$G$6</definedName>
    <definedName name="工业公共部分装修" localSheetId="41">'[5]比较法-工业'!$B$95:$M$95</definedName>
    <definedName name="工业公共部分装修" localSheetId="48">'[5]比较法-工业'!$B$95:$M$95</definedName>
    <definedName name="工业公共部分装修" localSheetId="37">'[5]比较法-工业'!$B$95:$M$95</definedName>
    <definedName name="工业公共部分装修" localSheetId="40">'[5]比较法-工业'!$B$95:$M$95</definedName>
    <definedName name="工业公共部分装修">'比较法-工业'!$B$95:$M$95</definedName>
    <definedName name="工业基础设施水平" localSheetId="41">'[5]比较法-工业'!$B$102:$M$102</definedName>
    <definedName name="工业基础设施水平" localSheetId="48">'[5]比较法-工业'!$B$102:$M$102</definedName>
    <definedName name="工业基础设施水平" localSheetId="37">'[5]比较法-工业'!$B$102:$M$102</definedName>
    <definedName name="工业基础设施水平" localSheetId="40">'[5]比较法-工业'!$B$102:$M$102</definedName>
    <definedName name="工业基础设施水平">'比较法-工业'!$B$102:$M$102</definedName>
    <definedName name="工业建筑结构" localSheetId="41">'[5]比较法-工业'!$B$93:$M$93</definedName>
    <definedName name="工业建筑结构" localSheetId="48">'[5]比较法-工业'!$B$93:$M$93</definedName>
    <definedName name="工业建筑结构" localSheetId="37">'[5]比较法-工业'!$B$93:$M$93</definedName>
    <definedName name="工业建筑结构" localSheetId="40">'[5]比较法-工业'!$B$93:$M$93</definedName>
    <definedName name="工业建筑结构">'比较法-工业'!$B$93:$M$93</definedName>
    <definedName name="工业建筑类型" localSheetId="41">'[5]比较法-工业'!$B$88:$M$88</definedName>
    <definedName name="工业建筑类型" localSheetId="48">'[5]比较法-工业'!$B$88:$M$88</definedName>
    <definedName name="工业建筑类型" localSheetId="37">'[5]比较法-工业'!$B$88:$M$88</definedName>
    <definedName name="工业建筑类型" localSheetId="40">'[5]比较法-工业'!$B$88:$M$88</definedName>
    <definedName name="工业建筑类型">'比较法-工业'!$B$88:$M$88</definedName>
    <definedName name="工业交易情况" localSheetId="41">'[5]比较法-工业'!$A$55:$M$55</definedName>
    <definedName name="工业交易情况" localSheetId="48">'[5]比较法-工业'!$A$55:$M$55</definedName>
    <definedName name="工业交易情况" localSheetId="37">'[5]比较法-工业'!$A$55:$M$55</definedName>
    <definedName name="工业交易情况" localSheetId="40">'[5]比较法-工业'!$A$55:$M$55</definedName>
    <definedName name="工业交易情况">'比较法-工业'!$A$55:$M$55</definedName>
    <definedName name="工业内部装修" localSheetId="41">'[5]比较法-工业'!$B$104:$M$104</definedName>
    <definedName name="工业内部装修" localSheetId="48">'[5]比较法-工业'!$B$104:$M$104</definedName>
    <definedName name="工业内部装修" localSheetId="37">'[5]比较法-工业'!$B$104:$M$104</definedName>
    <definedName name="工业内部装修" localSheetId="40">'[5]比较法-工业'!$B$104:$M$104</definedName>
    <definedName name="工业内部装修">'比较法-工业'!$B$104:$M$104</definedName>
    <definedName name="工业物业管理" localSheetId="41">'[5]比较法-工业'!$B$100:$M$100</definedName>
    <definedName name="工业物业管理" localSheetId="48">'[5]比较法-工业'!$B$100:$M$100</definedName>
    <definedName name="工业物业管理" localSheetId="37">'[5]比较法-工业'!$B$100:$M$100</definedName>
    <definedName name="工业物业管理" localSheetId="40">'[5]比较法-工业'!$B$100:$M$100</definedName>
    <definedName name="工业物业管理">'比较法-工业'!$B$100:$M$100</definedName>
    <definedName name="工业用途" localSheetId="41">'[5]比较法-工业'!$B$57:$M$57</definedName>
    <definedName name="工业用途" localSheetId="48">'[5]比较法-工业'!$B$57:$M$57</definedName>
    <definedName name="工业用途" localSheetId="37">'[5]比较法-工业'!$B$57:$M$57</definedName>
    <definedName name="工业用途" localSheetId="40">'[5]比较法-工业'!$B$57:$M$57</definedName>
    <definedName name="工业用途">'比较法-工业'!$B$57:$M$57</definedName>
    <definedName name="公共配套设施" localSheetId="41">[5]定义!$Q$1:$Q$6</definedName>
    <definedName name="公共配套设施" localSheetId="48">[5]定义!$Q$1:$Q$6</definedName>
    <definedName name="公共配套设施" localSheetId="37">[5]定义!$Q$1:$Q$6</definedName>
    <definedName name="公共配套设施" localSheetId="40">[5]定义!$Q$1:$Q$6</definedName>
    <definedName name="公共配套设施">定义!$Q$1:$Q$6</definedName>
    <definedName name="估价范围判定" localSheetId="41">[5]定义!$D$1:$D$4</definedName>
    <definedName name="估价范围判定" localSheetId="48">[5]定义!$D$1:$D$4</definedName>
    <definedName name="估价范围判定" localSheetId="37">[5]定义!$D$1:$D$4</definedName>
    <definedName name="估价范围判定" localSheetId="40">[5]定义!$D$1:$D$4</definedName>
    <definedName name="估价范围判定">定义!$D$1:$D$4</definedName>
    <definedName name="估价方法" localSheetId="41">[5]定义!$B$1:$B$50</definedName>
    <definedName name="估价方法" localSheetId="48">[5]定义!$B$1:$B$50</definedName>
    <definedName name="估价方法" localSheetId="37">[5]定义!$B$1:$B$50</definedName>
    <definedName name="估价方法" localSheetId="40">[5]定义!$B$1:$B$50</definedName>
    <definedName name="估价方法">定义!$B$1:$B$50</definedName>
    <definedName name="华光一" hidden="1">{"ops1",#N/A,TRUE,"PAMPILLA2";"ops2",#N/A,TRUE,"PAMPILLA2";"ops3",#N/A,TRUE,"PAMPILLA2";"ops4",#N/A,TRUE,"PAMPILLA2";"PL1",#N/A,TRUE,"PAMPILLA2";"PL2",#N/A,TRUE,"PAMPILLA2";"workcap",#N/A,TRUE,"PAMPILLA2";"assump1",#N/A,TRUE,"PAMPILLA2";"assump2",#N/A,TRUE,"PAMPILLA2";"assump3",#N/A,TRUE,"PAMPILLA2";"assump4",#N/A,TRUE,"PAMPILLA2";"assump5",#N/A,TRUE,"PAMPILLA2";"assump6",#N/A,TRUE,"PAMPILLA2";"assump7",#N/A,TRUE,"PAMPILLA2";"assump8",#N/A,TRUE,"PAMPILLA2";"assump9",#N/A,TRUE,"PAMPILLA2";"assump10",#N/A,TRUE,"PAMPILLA2";"assump11",#N/A,TRUE,"PAMPILLA2";"assump12",#N/A,TRUE,"PAMPILLA2";"deprec1",#N/A,TRUE,"PAMPILLA2";"matrix",#N/A,TRUE,"PAMPILLA2";"summary",#N/A,TRUE,"PAMPILLA2"}</definedName>
    <definedName name="环境" localSheetId="41">[5]定义!$S$1:$S$6</definedName>
    <definedName name="环境" localSheetId="48">[5]定义!$S$1:$S$6</definedName>
    <definedName name="环境" localSheetId="37">[5]定义!$S$1:$S$6</definedName>
    <definedName name="环境" localSheetId="40">[5]定义!$S$1:$S$6</definedName>
    <definedName name="环境">定义!$S$1:$S$6</definedName>
    <definedName name="基础设施水平" localSheetId="41">[5]定义!$R$1:$R$6</definedName>
    <definedName name="基础设施水平" localSheetId="48">[5]定义!$R$1:$R$6</definedName>
    <definedName name="基础设施水平" localSheetId="37">[5]定义!$R$1:$R$6</definedName>
    <definedName name="基础设施水平" localSheetId="40">[5]定义!$R$1:$R$6</definedName>
    <definedName name="基础设施水平">定义!$R$1:$R$6</definedName>
    <definedName name="季度">基准地价修正!$Q$19:$AD$19</definedName>
    <definedName name="价值类型2" localSheetId="41">[5]定义!$B$54:$B$56</definedName>
    <definedName name="价值类型2" localSheetId="48">[5]定义!$B$54:$B$56</definedName>
    <definedName name="价值类型2" localSheetId="37">[5]定义!$B$54:$B$56</definedName>
    <definedName name="价值类型2" localSheetId="40">[5]定义!$B$54:$B$56</definedName>
    <definedName name="价值类型2">定义!$B$54:$B$56</definedName>
    <definedName name="交通便捷度" localSheetId="41">[5]定义!$O$1:$O$6</definedName>
    <definedName name="交通便捷度" localSheetId="48">[5]定义!$O$1:$O$6</definedName>
    <definedName name="交通便捷度" localSheetId="37">[5]定义!$O$1:$O$6</definedName>
    <definedName name="交通便捷度" localSheetId="40">[5]定义!$O$1:$O$6</definedName>
    <definedName name="交通便捷度">定义!$O$1:$O$6</definedName>
    <definedName name="九级">区片价!$Q$1:$Q$51</definedName>
    <definedName name="居住社区成熟度" localSheetId="41">[5]定义!$K$1:$K$6</definedName>
    <definedName name="居住社区成熟度" localSheetId="48">[5]定义!$K$1:$K$6</definedName>
    <definedName name="居住社区成熟度" localSheetId="37">[5]定义!$K$1:$K$6</definedName>
    <definedName name="居住社区成熟度" localSheetId="40">[5]定义!$K$1:$K$6</definedName>
    <definedName name="居住社区成熟度">定义!$K$1:$K$6</definedName>
    <definedName name="类别" localSheetId="41">[5]定义!$J$1:$J$3</definedName>
    <definedName name="类别" localSheetId="48">[5]定义!$J$1:$J$3</definedName>
    <definedName name="类别" localSheetId="37">[5]定义!$J$1:$J$3</definedName>
    <definedName name="类别" localSheetId="40">[5]定义!$J$1:$J$3</definedName>
    <definedName name="类别">定义!$J$1:$J$3</definedName>
    <definedName name="临街状况" localSheetId="41">[5]定义!$T$1:$T$5</definedName>
    <definedName name="临街状况" localSheetId="48">[5]定义!$T$1:$T$5</definedName>
    <definedName name="临街状况" localSheetId="37">[5]定义!$T$1:$T$5</definedName>
    <definedName name="临街状况" localSheetId="40">[5]定义!$T$1:$T$5</definedName>
    <definedName name="临街状况">定义!$T$1:$T$5</definedName>
    <definedName name="六级">区片价!$N$1:$N$64</definedName>
    <definedName name="内部装修维护情况" localSheetId="41">[5]定义!$U$1:$U$6</definedName>
    <definedName name="内部装修维护情况" localSheetId="48">[5]定义!$U$1:$U$6</definedName>
    <definedName name="内部装修维护情况" localSheetId="37">[5]定义!$U$1:$U$6</definedName>
    <definedName name="内部装修维护情况" localSheetId="40">[5]定义!$U$1:$U$6</definedName>
    <definedName name="内部装修维护情况">定义!$U$1:$U$6</definedName>
    <definedName name="判定">[4]定义!$D$1:$D$4</definedName>
    <definedName name="七级">区片价!$O$1:$O$45</definedName>
    <definedName name="七通一平" localSheetId="41">[5]修正!$A$8:$A$16</definedName>
    <definedName name="七通一平" localSheetId="48">[5]修正!$A$8:$A$16</definedName>
    <definedName name="七通一平" localSheetId="37">[5]修正!$A$8:$A$16</definedName>
    <definedName name="七通一平" localSheetId="40">[5]修正!$A$8:$A$16</definedName>
    <definedName name="七通一平">修正!$A$8:$A$16</definedName>
    <definedName name="区域土地利用方向" localSheetId="41">[5]定义!$P$1:$P$6</definedName>
    <definedName name="区域土地利用方向" localSheetId="48">[5]定义!$P$1:$P$6</definedName>
    <definedName name="区域土地利用方向" localSheetId="37">[5]定义!$P$1:$P$6</definedName>
    <definedName name="区域土地利用方向" localSheetId="40">[5]定义!$P$1:$P$6</definedName>
    <definedName name="区域土地利用方向">定义!$P$1:$P$6</definedName>
    <definedName name="人">'[4]比较法-办公'!$A$62:$M$62</definedName>
    <definedName name="三级">区片价!$K$1:$K$26</definedName>
    <definedName name="商业层高" localSheetId="41">'[5]租金比较法-商业'!$B$116:$M$116</definedName>
    <definedName name="商业层高" localSheetId="48">'[5]租金比较法-商业'!$B$116:$M$116</definedName>
    <definedName name="商业层高" localSheetId="37">'[5]租金比较法-商业'!$B$116:$M$116</definedName>
    <definedName name="商业层高" localSheetId="40">'[5]租金比较法-商业'!$B$116:$M$116</definedName>
    <definedName name="商业层高">'比较法-商业'!$B$116:$M$116</definedName>
    <definedName name="商业成新度">'比较法-商业'!$B$109:$M$109</definedName>
    <definedName name="商业繁华度" localSheetId="41">[5]定义!$L$1:$L$6</definedName>
    <definedName name="商业繁华度" localSheetId="48">[5]定义!$L$1:$L$6</definedName>
    <definedName name="商业繁华度" localSheetId="37">[5]定义!$L$1:$L$6</definedName>
    <definedName name="商业繁华度" localSheetId="40">[5]定义!$L$1:$L$6</definedName>
    <definedName name="商业繁华度">定义!$L$1:$L$6</definedName>
    <definedName name="商业公共部分装修" localSheetId="41">'[5]租金比较法-商业'!$B$107:$M$107</definedName>
    <definedName name="商业公共部分装修" localSheetId="48">'[5]租金比较法-商业'!$B$107:$M$107</definedName>
    <definedName name="商业公共部分装修" localSheetId="37">'[5]租金比较法-商业'!$B$107:$M$107</definedName>
    <definedName name="商业公共部分装修" localSheetId="40">'[5]租金比较法-商业'!$B$107:$M$107</definedName>
    <definedName name="商业公共部分装修">'比较法-商业'!$B$107:$M$107</definedName>
    <definedName name="商业基础设施水平" localSheetId="41">'[5]租金比较法-商业'!$B$112:$M$112</definedName>
    <definedName name="商业基础设施水平" localSheetId="48">'[5]租金比较法-商业'!$B$112:$M$112</definedName>
    <definedName name="商业基础设施水平" localSheetId="37">'[5]租金比较法-商业'!$B$112:$M$112</definedName>
    <definedName name="商业基础设施水平" localSheetId="40">'[5]租金比较法-商业'!$B$112:$M$112</definedName>
    <definedName name="商业基础设施水平">'比较法-商业'!$B$112:$M$112</definedName>
    <definedName name="商业建筑结构" localSheetId="41">'[5]租金比较法-商业'!$B$105:$M$105</definedName>
    <definedName name="商业建筑结构" localSheetId="48">'[5]租金比较法-商业'!$B$105:$M$105</definedName>
    <definedName name="商业建筑结构" localSheetId="37">'[5]租金比较法-商业'!$B$105:$M$105</definedName>
    <definedName name="商业建筑结构" localSheetId="40">'[5]租金比较法-商业'!$B$105:$M$105</definedName>
    <definedName name="商业建筑结构">'比较法-商业'!$B$105:$M$105</definedName>
    <definedName name="商业交易情况" localSheetId="41">'[5]租金比较法-商业'!$A$61:$M$61</definedName>
    <definedName name="商业交易情况" localSheetId="48">'[5]租金比较法-商业'!$A$61:$M$61</definedName>
    <definedName name="商业交易情况" localSheetId="37">'[5]租金比较法-商业'!$A$61:$M$61</definedName>
    <definedName name="商业交易情况" localSheetId="40">'[5]租金比较法-商业'!$A$61:$M$61</definedName>
    <definedName name="商业交易情况">'比较法-商业'!$A$61:$M$61</definedName>
    <definedName name="商业街名称" localSheetId="41">[5]修正!$C$71:$C$138</definedName>
    <definedName name="商业街名称" localSheetId="48">[5]修正!$C$71:$C$138</definedName>
    <definedName name="商业街名称" localSheetId="37">[5]修正!$C$71:$C$138</definedName>
    <definedName name="商业街名称" localSheetId="40">[5]修正!$C$71:$C$138</definedName>
    <definedName name="商业街名称">修正!$C$71:$C$138</definedName>
    <definedName name="商业进深比" localSheetId="41">'[5]租金比较法-商业'!$B$120:$M$120</definedName>
    <definedName name="商业进深比" localSheetId="48">'[5]租金比较法-商业'!$B$120:$M$120</definedName>
    <definedName name="商业进深比" localSheetId="37">'[5]租金比较法-商业'!$B$120:$M$120</definedName>
    <definedName name="商业进深比" localSheetId="40">'[5]租金比较法-商业'!$B$120:$M$120</definedName>
    <definedName name="商业进深比">'比较法-商业'!$B$120:$M$120</definedName>
    <definedName name="商业类型" localSheetId="41">'[5]租金比较法-商业'!$B$100:$M$100</definedName>
    <definedName name="商业类型" localSheetId="48">'[5]租金比较法-商业'!$B$100:$M$100</definedName>
    <definedName name="商业类型" localSheetId="37">'[5]租金比较法-商业'!$B$100:$M$100</definedName>
    <definedName name="商业类型" localSheetId="40">'[5]租金比较法-商业'!$B$100:$M$100</definedName>
    <definedName name="商业类型">'比较法-商业'!$B$100:$M$100</definedName>
    <definedName name="商业临街状况" localSheetId="41">'[5]租金比较法-商业'!$B$86:$M$86</definedName>
    <definedName name="商业临街状况" localSheetId="48">'[5]租金比较法-商业'!$B$86:$M$86</definedName>
    <definedName name="商业临街状况" localSheetId="37">'[5]租金比较法-商业'!$B$86:$M$86</definedName>
    <definedName name="商业临街状况" localSheetId="40">'[5]租金比较法-商业'!$B$86:$M$86</definedName>
    <definedName name="商业临街状况">'比较法-商业'!$B$86:$M$86</definedName>
    <definedName name="商业楼层" localSheetId="41">'[5]租金比较法-商业'!$B$92:$M$92</definedName>
    <definedName name="商业楼层" localSheetId="48">'[5]租金比较法-商业'!$B$92:$M$92</definedName>
    <definedName name="商业楼层" localSheetId="37">'[5]租金比较法-商业'!$B$92:$M$92</definedName>
    <definedName name="商业楼层" localSheetId="40">'[5]租金比较法-商业'!$B$92:$M$92</definedName>
    <definedName name="商业楼层">'比较法-商业'!$B$92:$M$92</definedName>
    <definedName name="商业内部装修" localSheetId="41">'[5]租金比较法-商业'!$B$122:$M$122</definedName>
    <definedName name="商业内部装修" localSheetId="48">'[5]租金比较法-商业'!$B$122:$M$122</definedName>
    <definedName name="商业内部装修" localSheetId="37">'[5]租金比较法-商业'!$B$122:$M$122</definedName>
    <definedName name="商业内部装修" localSheetId="40">'[5]租金比较法-商业'!$B$122:$M$122</definedName>
    <definedName name="商业内部装修">'比较法-商业'!$B$122:$M$122</definedName>
    <definedName name="商业人流量" localSheetId="41">'[5]租金比较法-商业'!$B$90:$M$90</definedName>
    <definedName name="商业人流量" localSheetId="48">'[5]租金比较法-商业'!$B$90:$M$90</definedName>
    <definedName name="商业人流量" localSheetId="37">'[5]租金比较法-商业'!$B$90:$M$90</definedName>
    <definedName name="商业人流量" localSheetId="40">'[5]租金比较法-商业'!$B$90:$M$90</definedName>
    <definedName name="商业人流量">'比较法-商业'!$B$90:$M$90</definedName>
    <definedName name="商业业态" localSheetId="41">'[5]租金比较法-商业'!$B$114:$M$114</definedName>
    <definedName name="商业业态" localSheetId="48">'[5]租金比较法-商业'!$B$114:$M$114</definedName>
    <definedName name="商业业态" localSheetId="37">'[5]租金比较法-商业'!$B$114:$M$114</definedName>
    <definedName name="商业业态" localSheetId="40">'[5]租金比较法-商业'!$B$114:$M$114</definedName>
    <definedName name="商业业态">'比较法-商业'!$B$114:$M$114</definedName>
    <definedName name="商业用途" localSheetId="41">'[5]租金比较法-商业'!$B$63:$M$63</definedName>
    <definedName name="商业用途" localSheetId="48">'[5]租金比较法-商业'!$B$63:$M$63</definedName>
    <definedName name="商业用途" localSheetId="37">'[5]租金比较法-商业'!$B$63:$M$63</definedName>
    <definedName name="商业用途" localSheetId="40">'[5]租金比较法-商业'!$B$63:$M$63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'[5]比较法-仓储'!$B$89:$M$89</definedName>
    <definedName name="是否封闭" localSheetId="48">'[5]比较法-仓储'!$B$89:$M$89</definedName>
    <definedName name="是否封闭" localSheetId="37">'[5]比较法-仓储'!$B$89:$M$89</definedName>
    <definedName name="是否封闭" localSheetId="40">'[5]比较法-仓储'!$B$89:$M$89</definedName>
    <definedName name="是否封闭">'比较法-仓储'!$B$89:$M$89</definedName>
    <definedName name="是否直接入户" localSheetId="41">'[5]比较法-车位'!$B$95:$M$95</definedName>
    <definedName name="是否直接入户" localSheetId="48">'[5]比较法-车位'!$B$95:$M$95</definedName>
    <definedName name="是否直接入户" localSheetId="37">'[5]比较法-车位'!$B$95:$M$95</definedName>
    <definedName name="是否直接入户" localSheetId="40">'[5]比较法-车位'!$B$95:$M$95</definedName>
    <definedName name="是否直接入户">'比较法-车位'!$B$95:$M$95</definedName>
    <definedName name="四级">区片价!$L$1:$L$33</definedName>
    <definedName name="套工道路等级" localSheetId="41">'[5]土地比较法-工业'!$B$97:$M$97</definedName>
    <definedName name="套工道路等级" localSheetId="48">'[5]土地比较法-工业'!$B$97:$M$97</definedName>
    <definedName name="套工道路等级" localSheetId="37">'[5]土地比较法-工业'!$B$97:$M$97</definedName>
    <definedName name="套工道路等级" localSheetId="40">'[5]土地比较法-工业'!$B$97:$M$97</definedName>
    <definedName name="套工道路等级">'土地比较法-工业'!$B$97:$M$97</definedName>
    <definedName name="套工地质条件" localSheetId="41">'[5]土地比较法-工业'!$B$114:$M$114</definedName>
    <definedName name="套工地质条件" localSheetId="48">'[5]土地比较法-工业'!$B$114:$M$114</definedName>
    <definedName name="套工地质条件" localSheetId="37">'[5]土地比较法-工业'!$B$114:$M$114</definedName>
    <definedName name="套工地质条件" localSheetId="40">'[5]土地比较法-工业'!$B$114:$M$114</definedName>
    <definedName name="套工地质条件">'土地比较法-工业'!$B$114:$M$114</definedName>
    <definedName name="套工交易情况" localSheetId="41">'[5]土地比较法-住宅、综合'!$A$72:$M$72</definedName>
    <definedName name="套工交易情况" localSheetId="48">'[5]土地比较法-住宅、综合'!$A$72:$M$72</definedName>
    <definedName name="套工交易情况" localSheetId="37">'[5]土地比较法-住宅、综合'!$A$72:$M$72</definedName>
    <definedName name="套工交易情况" localSheetId="40">'[5]土地比较法-住宅、综合'!$A$72:$M$72</definedName>
    <definedName name="套工交易情况">'土地比较法-住宅、综合'!$A$72:$M$72</definedName>
    <definedName name="套工土地级别" localSheetId="41">'[5]土地比较法-工业'!$B$99:$M$99</definedName>
    <definedName name="套工土地级别" localSheetId="48">'[5]土地比较法-工业'!$B$99:$M$99</definedName>
    <definedName name="套工土地级别" localSheetId="37">'[5]土地比较法-工业'!$B$99:$M$99</definedName>
    <definedName name="套工土地级别" localSheetId="40">'[5]土地比较法-工业'!$B$99:$M$99</definedName>
    <definedName name="套工土地级别">'土地比较法-工业'!$B$99:$M$99</definedName>
    <definedName name="套工用途" localSheetId="41">'[5]土地比较法-工业'!$B$70:$M$70</definedName>
    <definedName name="套工用途" localSheetId="48">'[5]土地比较法-工业'!$B$70:$M$70</definedName>
    <definedName name="套工用途" localSheetId="37">'[5]土地比较法-工业'!$B$70:$M$70</definedName>
    <definedName name="套工用途" localSheetId="40">'[5]土地比较法-工业'!$B$70:$M$70</definedName>
    <definedName name="套工用途">'土地比较法-工业'!$B$70:$M$70</definedName>
    <definedName name="套工宗地开发程度" localSheetId="41">'[5]土地比较法-工业'!$B$112:$M$112</definedName>
    <definedName name="套工宗地开发程度" localSheetId="48">'[5]土地比较法-工业'!$B$112:$M$112</definedName>
    <definedName name="套工宗地开发程度" localSheetId="37">'[5]土地比较法-工业'!$B$112:$M$112</definedName>
    <definedName name="套工宗地开发程度" localSheetId="40">'[5]土地比较法-工业'!$B$112:$M$112</definedName>
    <definedName name="套工宗地开发程度">'土地比较法-工业'!$B$112:$M$112</definedName>
    <definedName name="套工宗地形状" localSheetId="41">'[5]土地比较法-工业'!$B$110:$M$110</definedName>
    <definedName name="套工宗地形状" localSheetId="48">'[5]土地比较法-工业'!$B$110:$M$110</definedName>
    <definedName name="套工宗地形状" localSheetId="37">'[5]土地比较法-工业'!$B$110:$M$110</definedName>
    <definedName name="套工宗地形状" localSheetId="40">'[5]土地比较法-工业'!$B$110:$M$110</definedName>
    <definedName name="套工宗地形状">'土地比较法-工业'!$B$110:$M$110</definedName>
    <definedName name="套综道路等级" localSheetId="41">'[5]土地比较法-住宅、综合'!$B$105:$M$105</definedName>
    <definedName name="套综道路等级" localSheetId="48">'[5]土地比较法-住宅、综合'!$B$105:$M$105</definedName>
    <definedName name="套综道路等级" localSheetId="37">'[5]土地比较法-住宅、综合'!$B$105:$M$105</definedName>
    <definedName name="套综道路等级" localSheetId="40">'[5]土地比较法-住宅、综合'!$B$105:$M$105</definedName>
    <definedName name="套综道路等级">'土地比较法-住宅、综合'!$B$105:$M$105</definedName>
    <definedName name="套综工程地质条件" localSheetId="41">'[5]土地比较法-住宅、综合'!$B$124:$M$124</definedName>
    <definedName name="套综工程地质条件" localSheetId="48">'[5]土地比较法-住宅、综合'!$B$124:$M$124</definedName>
    <definedName name="套综工程地质条件" localSheetId="37">'[5]土地比较法-住宅、综合'!$B$124:$M$124</definedName>
    <definedName name="套综工程地质条件" localSheetId="40">'[5]土地比较法-住宅、综合'!$B$124:$M$124</definedName>
    <definedName name="套综工程地质条件">'土地比较法-住宅、综合'!$B$124:$M$124</definedName>
    <definedName name="套综交易情况" localSheetId="41">'[5]土地比较法-住宅、综合'!$A$72:$M$72</definedName>
    <definedName name="套综交易情况" localSheetId="48">'[5]土地比较法-住宅、综合'!$A$72:$M$72</definedName>
    <definedName name="套综交易情况" localSheetId="37">'[5]土地比较法-住宅、综合'!$A$72:$M$72</definedName>
    <definedName name="套综交易情况" localSheetId="40">'[5]土地比较法-住宅、综合'!$A$72:$M$72</definedName>
    <definedName name="套综交易情况">'土地比较法-住宅、综合'!$A$72:$M$72</definedName>
    <definedName name="套综临街宽度及深度" localSheetId="41">'[5]土地比较法-住宅、综合'!$B$120:$M$120</definedName>
    <definedName name="套综临街宽度及深度" localSheetId="48">'[5]土地比较法-住宅、综合'!$B$120:$M$120</definedName>
    <definedName name="套综临街宽度及深度" localSheetId="37">'[5]土地比较法-住宅、综合'!$B$120:$M$120</definedName>
    <definedName name="套综临街宽度及深度" localSheetId="40">'[5]土地比较法-住宅、综合'!$B$120:$M$120</definedName>
    <definedName name="套综临街宽度及深度">'土地比较法-住宅、综合'!$B$120:$M$120</definedName>
    <definedName name="套综土地级别" localSheetId="41">'[5]土地比较法-住宅、综合'!$B$107:$M$107</definedName>
    <definedName name="套综土地级别" localSheetId="48">'[5]土地比较法-住宅、综合'!$B$107:$M$107</definedName>
    <definedName name="套综土地级别" localSheetId="37">'[5]土地比较法-住宅、综合'!$B$107:$M$107</definedName>
    <definedName name="套综土地级别" localSheetId="40">'[5]土地比较法-住宅、综合'!$B$107:$M$107</definedName>
    <definedName name="套综土地级别">'土地比较法-住宅、综合'!$B$107:$M$107</definedName>
    <definedName name="套综用途" localSheetId="41">'[5]土地比较法-住宅、综合'!$B$74:$M$74</definedName>
    <definedName name="套综用途" localSheetId="48">'[5]土地比较法-住宅、综合'!$B$74:$M$74</definedName>
    <definedName name="套综用途" localSheetId="37">'[5]土地比较法-住宅、综合'!$B$74:$M$74</definedName>
    <definedName name="套综用途" localSheetId="40">'[5]土地比较法-住宅、综合'!$B$74:$M$74</definedName>
    <definedName name="套综用途">'土地比较法-住宅、综合'!$B$74:$M$74</definedName>
    <definedName name="套综宗地内开发程度" localSheetId="41">'[5]土地比较法-住宅、综合'!$B$122:$M$122</definedName>
    <definedName name="套综宗地内开发程度" localSheetId="48">'[5]土地比较法-住宅、综合'!$B$122:$M$122</definedName>
    <definedName name="套综宗地内开发程度" localSheetId="37">'[5]土地比较法-住宅、综合'!$B$122:$M$122</definedName>
    <definedName name="套综宗地内开发程度" localSheetId="40">'[5]土地比较法-住宅、综合'!$B$122:$M$122</definedName>
    <definedName name="套综宗地内开发程度">'土地比较法-住宅、综合'!$B$122:$M$122</definedName>
    <definedName name="套综宗地形状" localSheetId="41">'[5]土地比较法-住宅、综合'!$B$118:$M$118</definedName>
    <definedName name="套综宗地形状" localSheetId="48">'[5]土地比较法-住宅、综合'!$B$118:$M$118</definedName>
    <definedName name="套综宗地形状" localSheetId="37">'[5]土地比较法-住宅、综合'!$B$118:$M$118</definedName>
    <definedName name="套综宗地形状" localSheetId="40">'[5]土地比较法-住宅、综合'!$B$118:$M$118</definedName>
    <definedName name="套综宗地形状">'土地比较法-住宅、综合'!$B$118:$M$118</definedName>
    <definedName name="土地估价师">估价师及机构信息!$D$3:$D$24</definedName>
    <definedName name="土地级别" localSheetId="41">[5]定义!$C$1:$C$14</definedName>
    <definedName name="土地级别" localSheetId="48">[5]定义!$C$1:$C$14</definedName>
    <definedName name="土地级别" localSheetId="37">[5]定义!$C$1:$C$14</definedName>
    <definedName name="土地级别" localSheetId="40">[5]定义!$C$1:$C$14</definedName>
    <definedName name="土地级别">定义!$C$1:$C$14</definedName>
    <definedName name="土地利用方向">定义!$P$1:$P$6</definedName>
    <definedName name="土地年限区间">定义!$I$1:$I$16</definedName>
    <definedName name="位置" localSheetId="41">[5]定义!$E$2:$E$4</definedName>
    <definedName name="位置" localSheetId="48">[5]定义!$E$2:$E$4</definedName>
    <definedName name="位置" localSheetId="37">[5]定义!$E$2:$E$4</definedName>
    <definedName name="位置" localSheetId="40">[5]定义!$E$2:$E$4</definedName>
    <definedName name="位置">定义!$E$2:$E$4</definedName>
    <definedName name="我">'[4]比较法-办公'!$B$115:$M$115</definedName>
    <definedName name="五等判定" localSheetId="41">[5]定义!$W$1:$W$6</definedName>
    <definedName name="五等判定" localSheetId="48">[5]定义!$W$1:$W$6</definedName>
    <definedName name="五等判定" localSheetId="37">[5]定义!$W$1:$W$6</definedName>
    <definedName name="五等判定" localSheetId="40">[5]定义!$W$1:$W$6</definedName>
    <definedName name="五等判定">定义!$W$1:$W$6</definedName>
    <definedName name="五级">区片价!$M$1:$M$41</definedName>
    <definedName name="项目类型" localSheetId="41">'[5]数据-汇总表'!$C$17:$C$26</definedName>
    <definedName name="项目类型" localSheetId="48">'[5]数据-汇总表'!$C$17:$C$26</definedName>
    <definedName name="项目类型" localSheetId="27">'[6]数据-汇总表'!$C$17:$C$26</definedName>
    <definedName name="项目类型" localSheetId="37">'[5]数据-汇总表'!$C$17:$C$26</definedName>
    <definedName name="项目类型" localSheetId="40">'[5]数据-汇总表'!$C$17:$C$26</definedName>
    <definedName name="项目类型">'数据-汇总表'!$C$17:$C$26</definedName>
    <definedName name="写字楼等级" localSheetId="41">'[5]租金比较法-办公'!$B$113:$M$113</definedName>
    <definedName name="写字楼等级" localSheetId="48">'[5]租金比较法-办公'!$B$113:$M$113</definedName>
    <definedName name="写字楼等级" localSheetId="37">'售价比较法-办公 '!$B$113:$M$113</definedName>
    <definedName name="写字楼等级" localSheetId="40">'租金比较法-办公'!$B$113:$M$113</definedName>
    <definedName name="写字楼等级">'比较法-办公'!$B$113:$M$113</definedName>
    <definedName name="一级">区片价!$I$1:$I$6</definedName>
    <definedName name="一修多修正项2" localSheetId="41">[5]典型户型修正!$5:$5</definedName>
    <definedName name="一修多修正项2" localSheetId="48">[5]典型户型修正!$5:$5</definedName>
    <definedName name="一修多修正项2" localSheetId="37">[5]典型户型修正!$5:$5</definedName>
    <definedName name="一修多修正项2" localSheetId="40">[5]典型户型修正!$5:$5</definedName>
    <definedName name="一修多修正项2">典型户型修正!$5:$5</definedName>
    <definedName name="一修多修正项3" localSheetId="41">[5]典型户型修正!$7:$7</definedName>
    <definedName name="一修多修正项3" localSheetId="48">[5]典型户型修正!$7:$7</definedName>
    <definedName name="一修多修正项3" localSheetId="37">[5]典型户型修正!$7:$7</definedName>
    <definedName name="一修多修正项3" localSheetId="40">[5]典型户型修正!$7:$7</definedName>
    <definedName name="一修多修正项3">典型户型修正!$7:$7</definedName>
    <definedName name="一修多修正项4" localSheetId="41">[5]典型户型修正!$9:$9</definedName>
    <definedName name="一修多修正项4" localSheetId="48">[5]典型户型修正!$9:$9</definedName>
    <definedName name="一修多修正项4" localSheetId="37">[5]典型户型修正!$9:$9</definedName>
    <definedName name="一修多修正项4" localSheetId="40">[5]典型户型修正!$9:$9</definedName>
    <definedName name="一修多修正项4">典型户型修正!$9:$9</definedName>
    <definedName name="一修多修正项5" localSheetId="41">[5]典型户型修正!$11:$11</definedName>
    <definedName name="一修多修正项5" localSheetId="48">[5]典型户型修正!$11:$11</definedName>
    <definedName name="一修多修正项5" localSheetId="37">[5]典型户型修正!$11:$11</definedName>
    <definedName name="一修多修正项5" localSheetId="40">[5]典型户型修正!$11:$11</definedName>
    <definedName name="一修多修正项5">典型户型修正!$11:$11</definedName>
    <definedName name="一修多修正项6" localSheetId="41">[5]典型户型修正!$13:$13</definedName>
    <definedName name="一修多修正项6" localSheetId="48">[5]典型户型修正!$13:$13</definedName>
    <definedName name="一修多修正项6" localSheetId="37">[5]典型户型修正!$13:$13</definedName>
    <definedName name="一修多修正项6" localSheetId="40">[5]典型户型修正!$13:$13</definedName>
    <definedName name="一修多修正项6">典型户型修正!$13:$13</definedName>
    <definedName name="一修多修正项7" localSheetId="41">[5]典型户型修正!$15:$15</definedName>
    <definedName name="一修多修正项7" localSheetId="48">[5]典型户型修正!$15:$15</definedName>
    <definedName name="一修多修正项7" localSheetId="37">[5]典型户型修正!$15:$15</definedName>
    <definedName name="一修多修正项7" localSheetId="40">[5]典型户型修正!$15:$15</definedName>
    <definedName name="一修多修正项7">典型户型修正!$15:$15</definedName>
    <definedName name="一修多修正项8" localSheetId="41">[5]典型户型修正!$17:$17</definedName>
    <definedName name="一修多修正项8" localSheetId="48">[5]典型户型修正!$17:$17</definedName>
    <definedName name="一修多修正项8" localSheetId="37">[5]典型户型修正!$17:$17</definedName>
    <definedName name="一修多修正项8" localSheetId="40">[5]典型户型修正!$17:$17</definedName>
    <definedName name="一修多修正项8">典型户型修正!$17:$17</definedName>
    <definedName name="用途明细" localSheetId="41">[5]定义!$A$1:$A$50</definedName>
    <definedName name="用途明细" localSheetId="48">[5]定义!$A$1:$A$50</definedName>
    <definedName name="用途明细" localSheetId="37">[5]定义!$A$1:$A$50</definedName>
    <definedName name="用途明细" localSheetId="40">[5]定义!$A$1:$A$50</definedName>
    <definedName name="用途明细">定义!$A$1:$A$50</definedName>
    <definedName name="有无电梯" localSheetId="41">'[5]比较法-仓储'!$B$84:$M$84</definedName>
    <definedName name="有无电梯" localSheetId="48">'[5]比较法-仓储'!$B$84:$M$84</definedName>
    <definedName name="有无电梯" localSheetId="37">'[5]比较法-仓储'!$B$84:$M$84</definedName>
    <definedName name="有无电梯" localSheetId="40">'[5]比较法-仓储'!$B$84:$M$84</definedName>
    <definedName name="有无电梯">'比较法-仓储'!$B$84:$M$84</definedName>
    <definedName name="主用途" localSheetId="41">[5]定义!$F$1:$F$12</definedName>
    <definedName name="主用途" localSheetId="48">[5]定义!$F$1:$F$12</definedName>
    <definedName name="主用途" localSheetId="37">[5]定义!$F$1:$F$12</definedName>
    <definedName name="主用途" localSheetId="40">[5]定义!$F$1:$F$12</definedName>
    <definedName name="主用途">定义!$F$1:$F$12</definedName>
    <definedName name="住宅朝向" localSheetId="41">'[5]比较法-住宅'!$B$88:$M$88</definedName>
    <definedName name="住宅朝向" localSheetId="48">'[5]比较法-住宅'!$B$88:$M$88</definedName>
    <definedName name="住宅朝向" localSheetId="37">'[5]比较法-住宅'!$B$88:$M$88</definedName>
    <definedName name="住宅朝向" localSheetId="40">'[5]比较法-住宅'!$B$88:$M$88</definedName>
    <definedName name="住宅朝向">'比较法-住宅'!$B$88:$M$88</definedName>
    <definedName name="住宅房型" localSheetId="41">'[5]比较法-住宅'!$B$118:$M$118</definedName>
    <definedName name="住宅房型" localSheetId="48">'[5]比较法-住宅'!$B$118:$M$118</definedName>
    <definedName name="住宅房型" localSheetId="37">'[5]比较法-住宅'!$B$118:$M$118</definedName>
    <definedName name="住宅房型" localSheetId="40">'[5]比较法-住宅'!$B$118:$M$118</definedName>
    <definedName name="住宅房型">'比较法-住宅'!$B$118:$M$118</definedName>
    <definedName name="住宅公共部分装修" localSheetId="41">'[5]比较法-住宅'!$B$109:$M$109</definedName>
    <definedName name="住宅公共部分装修" localSheetId="48">'[5]比较法-住宅'!$B$109:$M$109</definedName>
    <definedName name="住宅公共部分装修" localSheetId="37">'[5]比较法-住宅'!$B$109:$M$109</definedName>
    <definedName name="住宅公共部分装修" localSheetId="40">'[5]比较法-住宅'!$B$109:$M$109</definedName>
    <definedName name="住宅公共部分装修">'比较法-住宅'!$B$109:$M$109</definedName>
    <definedName name="住宅基础设施水平" localSheetId="41">'[5]比较法-住宅'!$B$116:$M$116</definedName>
    <definedName name="住宅基础设施水平" localSheetId="48">'[5]比较法-住宅'!$B$116:$M$116</definedName>
    <definedName name="住宅基础设施水平" localSheetId="37">'[5]比较法-住宅'!$B$116:$M$116</definedName>
    <definedName name="住宅基础设施水平" localSheetId="40">'[5]比较法-住宅'!$B$116:$M$116</definedName>
    <definedName name="住宅基础设施水平">'比较法-住宅'!$B$116:$M$116</definedName>
    <definedName name="住宅建筑结构" localSheetId="41">'[5]比较法-住宅'!$B$105:$M$105</definedName>
    <definedName name="住宅建筑结构" localSheetId="48">'[5]比较法-住宅'!$B$105:$M$105</definedName>
    <definedName name="住宅建筑结构" localSheetId="37">'[5]比较法-住宅'!$B$105:$M$105</definedName>
    <definedName name="住宅建筑结构" localSheetId="40">'[5]比较法-住宅'!$B$105:$M$105</definedName>
    <definedName name="住宅建筑结构">'比较法-住宅'!$B$105:$M$105</definedName>
    <definedName name="住宅建筑类型" localSheetId="41">'[5]比较法-住宅'!$B$100:$M$100</definedName>
    <definedName name="住宅建筑类型" localSheetId="48">'[5]比较法-住宅'!$B$100:$M$100</definedName>
    <definedName name="住宅建筑类型" localSheetId="37">'[5]比较法-住宅'!$B$100:$M$100</definedName>
    <definedName name="住宅建筑类型" localSheetId="40">'[5]比较法-住宅'!$B$100:$M$100</definedName>
    <definedName name="住宅建筑类型">'比较法-住宅'!$B$100:$M$100</definedName>
    <definedName name="住宅建筑品质" localSheetId="41">'[5]比较法-住宅'!$B$107:$M$107</definedName>
    <definedName name="住宅建筑品质" localSheetId="48">'[5]比较法-住宅'!$B$107:$M$107</definedName>
    <definedName name="住宅建筑品质" localSheetId="37">'[5]比较法-住宅'!$B$107:$M$107</definedName>
    <definedName name="住宅建筑品质" localSheetId="40">'[5]比较法-住宅'!$B$107:$M$107</definedName>
    <definedName name="住宅建筑品质">'比较法-住宅'!$B$107:$M$107</definedName>
    <definedName name="住宅交易情况" localSheetId="41">'[5]比较法-住宅'!$A$61:$M$61</definedName>
    <definedName name="住宅交易情况" localSheetId="48">'[5]比较法-住宅'!$A$61:$M$61</definedName>
    <definedName name="住宅交易情况" localSheetId="37">'[5]比较法-住宅'!$A$61:$M$61</definedName>
    <definedName name="住宅交易情况" localSheetId="40">'[5]比较法-住宅'!$A$61:$M$61</definedName>
    <definedName name="住宅交易情况">'比较法-住宅'!$A$61:$M$61</definedName>
    <definedName name="住宅楼层" localSheetId="41">'[5]比较法-住宅'!$B$86:$M$86</definedName>
    <definedName name="住宅楼层" localSheetId="48">'[5]比较法-住宅'!$B$86:$M$86</definedName>
    <definedName name="住宅楼层" localSheetId="37">'[5]比较法-住宅'!$B$86:$M$86</definedName>
    <definedName name="住宅楼层" localSheetId="40">'[5]比较法-住宅'!$B$86:$M$86</definedName>
    <definedName name="住宅楼层">'比较法-住宅'!$B$86:$M$86</definedName>
    <definedName name="住宅内部装修" localSheetId="41">'[5]比较法-住宅'!$B$122:$M$122</definedName>
    <definedName name="住宅内部装修" localSheetId="48">'[5]比较法-住宅'!$B$122:$M$122</definedName>
    <definedName name="住宅内部装修" localSheetId="37">'[5]比较法-住宅'!$B$122:$M$122</definedName>
    <definedName name="住宅内部装修" localSheetId="40">'[5]比较法-住宅'!$B$122:$M$122</definedName>
    <definedName name="住宅内部装修">'比较法-住宅'!$B$122:$M$122</definedName>
    <definedName name="住宅物业管理" localSheetId="41">'[5]比较法-住宅'!$B$114:$M$114</definedName>
    <definedName name="住宅物业管理" localSheetId="48">'[5]比较法-住宅'!$B$114:$M$114</definedName>
    <definedName name="住宅物业管理" localSheetId="37">'[5]比较法-住宅'!$B$114:$M$114</definedName>
    <definedName name="住宅物业管理" localSheetId="40">'[5]比较法-住宅'!$B$114:$M$114</definedName>
    <definedName name="住宅物业管理">'比较法-住宅'!$B$114:$M$114</definedName>
    <definedName name="住宅用途" localSheetId="41">'[5]比较法-住宅'!$B$63:$M$63</definedName>
    <definedName name="住宅用途" localSheetId="48">'[5]比较法-住宅'!$B$63:$M$63</definedName>
    <definedName name="住宅用途" localSheetId="37">'[5]比较法-住宅'!$B$63:$M$63</definedName>
    <definedName name="住宅用途" localSheetId="40">'[5]比较法-住宅'!$B$63:$M$63</definedName>
    <definedName name="住宅用途">'比较法-住宅'!$B$63:$M$63</definedName>
    <definedName name="住宅主力户型面积">'比较法-住宅'!$B$120:$M$120</definedName>
    <definedName name="注册房地产估价师" localSheetId="41">[5]估价师及机构信息!$A$3:$A$16</definedName>
    <definedName name="注册房地产估价师" localSheetId="48">[5]估价师及机构信息!$A$3:$A$16</definedName>
    <definedName name="注册房地产估价师" localSheetId="37">[5]估价师及机构信息!$A$3:$A$16</definedName>
    <definedName name="注册房地产估价师" localSheetId="40">[5]估价师及机构信息!$A$3:$A$16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H6" i="1"/>
  <c r="E24" i="43"/>
  <c r="AM7" i="1"/>
  <c r="Y37" i="85"/>
  <c r="D62" i="88"/>
  <c r="M34" i="86" l="1"/>
  <c r="G28" i="85"/>
  <c r="I48" i="86"/>
  <c r="G48" i="86"/>
  <c r="E48" i="86"/>
  <c r="E29" i="86"/>
  <c r="I34" i="86"/>
  <c r="G34" i="86"/>
  <c r="E34" i="86"/>
  <c r="I5" i="86"/>
  <c r="G5" i="86"/>
  <c r="E5" i="86"/>
  <c r="X36" i="85"/>
  <c r="U38" i="85"/>
  <c r="U40" i="85" s="1"/>
  <c r="U36" i="85"/>
  <c r="V36" i="85"/>
  <c r="K47" i="85" l="1"/>
  <c r="K46" i="85"/>
  <c r="Q9" i="92"/>
  <c r="G22" i="6"/>
  <c r="D41" i="43" s="1"/>
  <c r="G20" i="6"/>
  <c r="D42" i="43" s="1"/>
  <c r="I13" i="3"/>
  <c r="AL13" i="3"/>
  <c r="K13" i="3"/>
  <c r="P40" i="85"/>
  <c r="P41" i="85" s="1"/>
  <c r="W36" i="85"/>
  <c r="K45" i="85"/>
  <c r="K44" i="85"/>
  <c r="K43" i="85"/>
  <c r="K42" i="85"/>
  <c r="K41" i="85"/>
  <c r="K40" i="85"/>
  <c r="K39" i="85"/>
  <c r="K38" i="85"/>
  <c r="W22" i="85"/>
  <c r="W23" i="85"/>
  <c r="W24" i="85"/>
  <c r="W25" i="85"/>
  <c r="W26" i="85"/>
  <c r="W27" i="85"/>
  <c r="W28" i="85"/>
  <c r="W29" i="85"/>
  <c r="W30" i="85"/>
  <c r="W31" i="85"/>
  <c r="W32" i="85"/>
  <c r="W33" i="85"/>
  <c r="W34" i="85"/>
  <c r="W35" i="85"/>
  <c r="W15" i="85"/>
  <c r="W16" i="85"/>
  <c r="W17" i="85"/>
  <c r="W18" i="85"/>
  <c r="W19" i="85"/>
  <c r="W20" i="85"/>
  <c r="W21" i="85"/>
  <c r="W14" i="85"/>
  <c r="X11" i="85"/>
  <c r="X12" i="85"/>
  <c r="X13" i="85"/>
  <c r="X14" i="85"/>
  <c r="X15" i="85"/>
  <c r="X16" i="85"/>
  <c r="X17" i="85"/>
  <c r="X18" i="85"/>
  <c r="X19" i="85"/>
  <c r="X20" i="85"/>
  <c r="X21" i="85"/>
  <c r="X22" i="85"/>
  <c r="X23" i="85"/>
  <c r="X24" i="85"/>
  <c r="X25" i="85"/>
  <c r="X26" i="85"/>
  <c r="X27" i="85"/>
  <c r="X28" i="85"/>
  <c r="X29" i="85"/>
  <c r="X30" i="85"/>
  <c r="X31" i="85"/>
  <c r="X32" i="85"/>
  <c r="X33" i="85"/>
  <c r="X34" i="85"/>
  <c r="X35" i="85"/>
  <c r="X10" i="85"/>
  <c r="U39" i="85"/>
  <c r="U37" i="85"/>
  <c r="S36" i="85"/>
  <c r="U14" i="85"/>
  <c r="U15" i="85"/>
  <c r="U16" i="85"/>
  <c r="U17" i="85"/>
  <c r="U18" i="85"/>
  <c r="U19" i="85"/>
  <c r="U20" i="85"/>
  <c r="U21" i="85"/>
  <c r="U22" i="85"/>
  <c r="U23" i="85"/>
  <c r="U24" i="85"/>
  <c r="U25" i="85"/>
  <c r="U26" i="85"/>
  <c r="U27" i="85"/>
  <c r="U28" i="85"/>
  <c r="U29" i="85"/>
  <c r="U30" i="85"/>
  <c r="U31" i="85"/>
  <c r="U32" i="85"/>
  <c r="U33" i="85"/>
  <c r="U34" i="85"/>
  <c r="U35" i="85"/>
  <c r="U13" i="85"/>
  <c r="U12" i="85"/>
  <c r="U11" i="85"/>
  <c r="U10" i="85"/>
  <c r="U6" i="85"/>
  <c r="U5" i="85"/>
  <c r="U4" i="85"/>
  <c r="U2" i="85"/>
  <c r="Q72" i="91"/>
  <c r="F60" i="91"/>
  <c r="Q59" i="91"/>
  <c r="K59" i="91"/>
  <c r="P74" i="91" s="1"/>
  <c r="F59" i="91"/>
  <c r="Q58" i="91"/>
  <c r="Q51" i="91"/>
  <c r="J50" i="91"/>
  <c r="J51" i="91" s="1"/>
  <c r="M47" i="91"/>
  <c r="D46" i="91"/>
  <c r="F33" i="91"/>
  <c r="F61" i="91" s="1"/>
  <c r="F32" i="91"/>
  <c r="F31" i="91"/>
  <c r="F28" i="91"/>
  <c r="C28" i="91" s="1"/>
  <c r="F23" i="91"/>
  <c r="D24" i="91" s="1"/>
  <c r="F21" i="91"/>
  <c r="F20" i="91"/>
  <c r="M19" i="91"/>
  <c r="M18" i="91"/>
  <c r="F18" i="91"/>
  <c r="M17" i="91"/>
  <c r="F17" i="91"/>
  <c r="F15" i="91"/>
  <c r="C7" i="86"/>
  <c r="C7" i="88"/>
  <c r="P61" i="91" l="1"/>
  <c r="D22" i="91"/>
  <c r="D23" i="91"/>
  <c r="I7" i="1" l="1"/>
  <c r="AB6" i="1"/>
  <c r="AA6" i="1"/>
  <c r="B131" i="90"/>
  <c r="B129" i="90"/>
  <c r="B127" i="90"/>
  <c r="G126" i="90"/>
  <c r="D126" i="90"/>
  <c r="E126" i="90" s="1"/>
  <c r="F126" i="90" s="1"/>
  <c r="E124" i="90"/>
  <c r="F124" i="90" s="1"/>
  <c r="G124" i="90" s="1"/>
  <c r="H124" i="90" s="1"/>
  <c r="I124" i="90" s="1"/>
  <c r="J124" i="90" s="1"/>
  <c r="K124" i="90" s="1"/>
  <c r="L124" i="90" s="1"/>
  <c r="M124" i="90" s="1"/>
  <c r="D124" i="90"/>
  <c r="D120" i="90"/>
  <c r="E120" i="90" s="1"/>
  <c r="F120" i="90" s="1"/>
  <c r="G120" i="90" s="1"/>
  <c r="H120" i="90" s="1"/>
  <c r="I120" i="90" s="1"/>
  <c r="J120" i="90" s="1"/>
  <c r="K120" i="90" s="1"/>
  <c r="L120" i="90" s="1"/>
  <c r="M120" i="90" s="1"/>
  <c r="G118" i="90"/>
  <c r="D118" i="90"/>
  <c r="E118" i="90" s="1"/>
  <c r="F118" i="90" s="1"/>
  <c r="I116" i="90"/>
  <c r="J116" i="90" s="1"/>
  <c r="K116" i="90" s="1"/>
  <c r="L116" i="90" s="1"/>
  <c r="M116" i="90" s="1"/>
  <c r="E116" i="90"/>
  <c r="F116" i="90" s="1"/>
  <c r="G116" i="90" s="1"/>
  <c r="H116" i="90" s="1"/>
  <c r="D116" i="90"/>
  <c r="G114" i="90"/>
  <c r="H114" i="90" s="1"/>
  <c r="I114" i="90" s="1"/>
  <c r="J114" i="90" s="1"/>
  <c r="K114" i="90" s="1"/>
  <c r="L114" i="90" s="1"/>
  <c r="M114" i="90" s="1"/>
  <c r="D114" i="90"/>
  <c r="E114" i="90" s="1"/>
  <c r="F114" i="90" s="1"/>
  <c r="E112" i="90"/>
  <c r="F112" i="90" s="1"/>
  <c r="G112" i="90" s="1"/>
  <c r="D112" i="90"/>
  <c r="G110" i="90"/>
  <c r="F110" i="90"/>
  <c r="E110" i="90"/>
  <c r="D110" i="90"/>
  <c r="C110" i="90"/>
  <c r="H109" i="90"/>
  <c r="I109" i="90" s="1"/>
  <c r="J109" i="90" s="1"/>
  <c r="K109" i="90" s="1"/>
  <c r="L109" i="90" s="1"/>
  <c r="M109" i="90" s="1"/>
  <c r="D109" i="90"/>
  <c r="E109" i="90" s="1"/>
  <c r="F109" i="90" s="1"/>
  <c r="G109" i="90" s="1"/>
  <c r="D107" i="90"/>
  <c r="E107" i="90" s="1"/>
  <c r="F107" i="90" s="1"/>
  <c r="G107" i="90" s="1"/>
  <c r="H107" i="90" s="1"/>
  <c r="I107" i="90" s="1"/>
  <c r="J107" i="90" s="1"/>
  <c r="K107" i="90" s="1"/>
  <c r="L107" i="90" s="1"/>
  <c r="M107" i="90" s="1"/>
  <c r="M103" i="90"/>
  <c r="L103" i="90"/>
  <c r="K103" i="90"/>
  <c r="J103" i="90"/>
  <c r="I103" i="90"/>
  <c r="H103" i="90"/>
  <c r="G103" i="90"/>
  <c r="F103" i="90"/>
  <c r="E103" i="90"/>
  <c r="D103" i="90"/>
  <c r="C103" i="90"/>
  <c r="K102" i="90"/>
  <c r="L102" i="90" s="1"/>
  <c r="M102" i="90" s="1"/>
  <c r="G102" i="90"/>
  <c r="H102" i="90" s="1"/>
  <c r="I102" i="90" s="1"/>
  <c r="J102" i="90" s="1"/>
  <c r="E102" i="90"/>
  <c r="F102" i="90" s="1"/>
  <c r="D102" i="90"/>
  <c r="B99" i="90"/>
  <c r="B97" i="90"/>
  <c r="B95" i="90"/>
  <c r="F93" i="90"/>
  <c r="E93" i="90"/>
  <c r="C93" i="90"/>
  <c r="B93" i="90"/>
  <c r="H92" i="90"/>
  <c r="I92" i="90" s="1"/>
  <c r="J92" i="90" s="1"/>
  <c r="K92" i="90" s="1"/>
  <c r="L92" i="90" s="1"/>
  <c r="M92" i="90" s="1"/>
  <c r="D92" i="90"/>
  <c r="E92" i="90" s="1"/>
  <c r="F92" i="90" s="1"/>
  <c r="G92" i="90" s="1"/>
  <c r="B91" i="90"/>
  <c r="G90" i="90"/>
  <c r="H90" i="90" s="1"/>
  <c r="I90" i="90" s="1"/>
  <c r="J90" i="90" s="1"/>
  <c r="K90" i="90" s="1"/>
  <c r="L90" i="90" s="1"/>
  <c r="M90" i="90" s="1"/>
  <c r="E90" i="90"/>
  <c r="F90" i="90" s="1"/>
  <c r="D90" i="90"/>
  <c r="B89" i="90"/>
  <c r="J27" i="90" s="1"/>
  <c r="J88" i="90"/>
  <c r="K88" i="90" s="1"/>
  <c r="L88" i="90" s="1"/>
  <c r="M88" i="90" s="1"/>
  <c r="F88" i="90"/>
  <c r="G88" i="90" s="1"/>
  <c r="H88" i="90" s="1"/>
  <c r="I88" i="90" s="1"/>
  <c r="D88" i="90"/>
  <c r="E88" i="90" s="1"/>
  <c r="D86" i="90"/>
  <c r="E86" i="90" s="1"/>
  <c r="F86" i="90" s="1"/>
  <c r="G86" i="90" s="1"/>
  <c r="F84" i="90"/>
  <c r="G84" i="90" s="1"/>
  <c r="D84" i="90"/>
  <c r="E84" i="90" s="1"/>
  <c r="D82" i="90"/>
  <c r="E82" i="90" s="1"/>
  <c r="F82" i="90" s="1"/>
  <c r="G82" i="90" s="1"/>
  <c r="F80" i="90"/>
  <c r="G80" i="90" s="1"/>
  <c r="D80" i="90"/>
  <c r="E80" i="90" s="1"/>
  <c r="D78" i="90"/>
  <c r="E78" i="90" s="1"/>
  <c r="F78" i="90" s="1"/>
  <c r="G78" i="90" s="1"/>
  <c r="B75" i="90"/>
  <c r="B73" i="90"/>
  <c r="B71" i="90"/>
  <c r="E70" i="90"/>
  <c r="F70" i="90" s="1"/>
  <c r="G70" i="90" s="1"/>
  <c r="H70" i="90" s="1"/>
  <c r="I70" i="90" s="1"/>
  <c r="J70" i="90" s="1"/>
  <c r="K70" i="90" s="1"/>
  <c r="L70" i="90" s="1"/>
  <c r="M70" i="90" s="1"/>
  <c r="D70" i="90"/>
  <c r="M68" i="90"/>
  <c r="L68" i="90"/>
  <c r="K68" i="90"/>
  <c r="J68" i="90"/>
  <c r="I68" i="90"/>
  <c r="H68" i="90"/>
  <c r="G68" i="90"/>
  <c r="F68" i="90"/>
  <c r="E68" i="90"/>
  <c r="D68" i="90"/>
  <c r="C68" i="90"/>
  <c r="C64" i="90"/>
  <c r="I55" i="90"/>
  <c r="J55" i="90" s="1"/>
  <c r="G55" i="90"/>
  <c r="H55" i="90" s="1"/>
  <c r="E55" i="90"/>
  <c r="F55" i="90" s="1"/>
  <c r="P50" i="90"/>
  <c r="P49" i="90"/>
  <c r="K49" i="90"/>
  <c r="V48" i="90"/>
  <c r="T48" i="90"/>
  <c r="R48" i="90"/>
  <c r="P48" i="90"/>
  <c r="U47" i="90"/>
  <c r="Q47" i="90"/>
  <c r="Z47" i="90" s="1"/>
  <c r="J47" i="90"/>
  <c r="AC47" i="90" s="1"/>
  <c r="H47" i="90"/>
  <c r="AB47" i="90" s="1"/>
  <c r="F47" i="90"/>
  <c r="AA47" i="90" s="1"/>
  <c r="Q46" i="90"/>
  <c r="Z46" i="90" s="1"/>
  <c r="J46" i="90"/>
  <c r="AC46" i="90" s="1"/>
  <c r="H46" i="90"/>
  <c r="AB46" i="90" s="1"/>
  <c r="F46" i="90"/>
  <c r="AA46" i="90" s="1"/>
  <c r="Q45" i="90"/>
  <c r="Z45" i="90" s="1"/>
  <c r="J45" i="90"/>
  <c r="AC45" i="90" s="1"/>
  <c r="H45" i="90"/>
  <c r="AB45" i="90" s="1"/>
  <c r="F45" i="90"/>
  <c r="AA45" i="90" s="1"/>
  <c r="AC44" i="90"/>
  <c r="Q44" i="90"/>
  <c r="Z44" i="90" s="1"/>
  <c r="J44" i="90"/>
  <c r="W44" i="90" s="1"/>
  <c r="H44" i="90"/>
  <c r="AB44" i="90" s="1"/>
  <c r="F44" i="90"/>
  <c r="AA44" i="90" s="1"/>
  <c r="U43" i="90"/>
  <c r="Q43" i="90"/>
  <c r="Z43" i="90" s="1"/>
  <c r="J43" i="90"/>
  <c r="AC43" i="90" s="1"/>
  <c r="H43" i="90"/>
  <c r="AB43" i="90" s="1"/>
  <c r="F43" i="90"/>
  <c r="AA43" i="90" s="1"/>
  <c r="AA42" i="90"/>
  <c r="Q42" i="90"/>
  <c r="Z42" i="90" s="1"/>
  <c r="J42" i="90"/>
  <c r="AC42" i="90" s="1"/>
  <c r="H42" i="90"/>
  <c r="AB42" i="90" s="1"/>
  <c r="F42" i="90"/>
  <c r="S42" i="90" s="1"/>
  <c r="Q41" i="90"/>
  <c r="Z41" i="90" s="1"/>
  <c r="J41" i="90"/>
  <c r="AC41" i="90" s="1"/>
  <c r="H41" i="90"/>
  <c r="AB41" i="90" s="1"/>
  <c r="F41" i="90"/>
  <c r="AA41" i="90" s="1"/>
  <c r="AC40" i="90"/>
  <c r="W40" i="90"/>
  <c r="Q40" i="90"/>
  <c r="Z40" i="90" s="1"/>
  <c r="J40" i="90"/>
  <c r="H40" i="90"/>
  <c r="AB40" i="90" s="1"/>
  <c r="F40" i="90"/>
  <c r="AA40" i="90" s="1"/>
  <c r="U39" i="90"/>
  <c r="Q39" i="90"/>
  <c r="Z39" i="90" s="1"/>
  <c r="J39" i="90"/>
  <c r="AC39" i="90" s="1"/>
  <c r="H39" i="90"/>
  <c r="AB39" i="90" s="1"/>
  <c r="F39" i="90"/>
  <c r="AA39" i="90" s="1"/>
  <c r="Q38" i="90"/>
  <c r="Z38" i="90" s="1"/>
  <c r="J38" i="90"/>
  <c r="AC38" i="90" s="1"/>
  <c r="H38" i="90"/>
  <c r="AB38" i="90" s="1"/>
  <c r="F38" i="90"/>
  <c r="AA38" i="90" s="1"/>
  <c r="Q37" i="90"/>
  <c r="Z37" i="90" s="1"/>
  <c r="AC36" i="90"/>
  <c r="W36" i="90"/>
  <c r="Q36" i="90"/>
  <c r="Z36" i="90" s="1"/>
  <c r="J36" i="90"/>
  <c r="H36" i="90"/>
  <c r="AB36" i="90" s="1"/>
  <c r="F36" i="90"/>
  <c r="AA36" i="90" s="1"/>
  <c r="U35" i="90"/>
  <c r="Q35" i="90"/>
  <c r="Z35" i="90" s="1"/>
  <c r="J35" i="90"/>
  <c r="AC35" i="90" s="1"/>
  <c r="H35" i="90"/>
  <c r="AB35" i="90" s="1"/>
  <c r="F35" i="90"/>
  <c r="AA35" i="90" s="1"/>
  <c r="Q34" i="90"/>
  <c r="Z34" i="90" s="1"/>
  <c r="J34" i="90"/>
  <c r="AC34" i="90" s="1"/>
  <c r="H34" i="90"/>
  <c r="AB34" i="90" s="1"/>
  <c r="F34" i="90"/>
  <c r="AA34" i="90" s="1"/>
  <c r="Q33" i="90"/>
  <c r="Z33" i="90" s="1"/>
  <c r="J33" i="90"/>
  <c r="AC33" i="90" s="1"/>
  <c r="H33" i="90"/>
  <c r="AB33" i="90" s="1"/>
  <c r="F33" i="90"/>
  <c r="AA33" i="90" s="1"/>
  <c r="Q32" i="90"/>
  <c r="Z32" i="90" s="1"/>
  <c r="U31" i="90"/>
  <c r="Q31" i="90"/>
  <c r="Z31" i="90" s="1"/>
  <c r="J31" i="90"/>
  <c r="AC31" i="90" s="1"/>
  <c r="H31" i="90"/>
  <c r="AB31" i="90" s="1"/>
  <c r="F31" i="90"/>
  <c r="AA31" i="90" s="1"/>
  <c r="AA30" i="90"/>
  <c r="Q30" i="90"/>
  <c r="Z30" i="90" s="1"/>
  <c r="J30" i="90"/>
  <c r="AC30" i="90" s="1"/>
  <c r="H30" i="90"/>
  <c r="AB30" i="90" s="1"/>
  <c r="F30" i="90"/>
  <c r="S30" i="90" s="1"/>
  <c r="Q29" i="90"/>
  <c r="Z29" i="90" s="1"/>
  <c r="AC28" i="90"/>
  <c r="W28" i="90"/>
  <c r="U28" i="90"/>
  <c r="Q28" i="90"/>
  <c r="Z28" i="90" s="1"/>
  <c r="J28" i="90"/>
  <c r="H28" i="90"/>
  <c r="AB28" i="90" s="1"/>
  <c r="F28" i="90"/>
  <c r="AA28" i="90" s="1"/>
  <c r="Z27" i="90"/>
  <c r="S27" i="90"/>
  <c r="Q27" i="90"/>
  <c r="F27" i="90"/>
  <c r="AA27" i="90" s="1"/>
  <c r="AC25" i="90"/>
  <c r="Z25" i="90"/>
  <c r="W25" i="90"/>
  <c r="Q25" i="90"/>
  <c r="J25" i="90"/>
  <c r="H25" i="90"/>
  <c r="AB25" i="90" s="1"/>
  <c r="F25" i="90"/>
  <c r="AA25" i="90" s="1"/>
  <c r="Z23" i="90"/>
  <c r="W23" i="90"/>
  <c r="Q23" i="90"/>
  <c r="J23" i="90"/>
  <c r="AC23" i="90" s="1"/>
  <c r="H23" i="90"/>
  <c r="U23" i="90" s="1"/>
  <c r="F23" i="90"/>
  <c r="C23" i="90"/>
  <c r="Q21" i="90"/>
  <c r="Z21" i="90" s="1"/>
  <c r="J21" i="90"/>
  <c r="AC21" i="90" s="1"/>
  <c r="H21" i="90"/>
  <c r="U21" i="90" s="1"/>
  <c r="F21" i="90"/>
  <c r="AA21" i="90" s="1"/>
  <c r="C21" i="90"/>
  <c r="Q19" i="90"/>
  <c r="Z19" i="90" s="1"/>
  <c r="J19" i="90"/>
  <c r="AC19" i="90" s="1"/>
  <c r="H19" i="90"/>
  <c r="AB19" i="90" s="1"/>
  <c r="F19" i="90"/>
  <c r="AA19" i="90" s="1"/>
  <c r="C19" i="90"/>
  <c r="Q17" i="90"/>
  <c r="Z17" i="90" s="1"/>
  <c r="J17" i="90"/>
  <c r="AC17" i="90" s="1"/>
  <c r="H17" i="90"/>
  <c r="AB17" i="90" s="1"/>
  <c r="F17" i="90"/>
  <c r="AA17" i="90" s="1"/>
  <c r="C17" i="90"/>
  <c r="Q15" i="90"/>
  <c r="Z15" i="90" s="1"/>
  <c r="J15" i="90"/>
  <c r="AC15" i="90" s="1"/>
  <c r="H15" i="90"/>
  <c r="AB15" i="90" s="1"/>
  <c r="F15" i="90"/>
  <c r="AA15" i="90" s="1"/>
  <c r="C15" i="90"/>
  <c r="Q14" i="90"/>
  <c r="Z14" i="90" s="1"/>
  <c r="J14" i="90"/>
  <c r="AC14" i="90" s="1"/>
  <c r="H14" i="90"/>
  <c r="AB14" i="90" s="1"/>
  <c r="F14" i="90"/>
  <c r="AA14" i="90" s="1"/>
  <c r="Q13" i="90"/>
  <c r="Z13" i="90" s="1"/>
  <c r="J13" i="90"/>
  <c r="AC13" i="90" s="1"/>
  <c r="H13" i="90"/>
  <c r="AB13" i="90" s="1"/>
  <c r="F13" i="90"/>
  <c r="AA13" i="90" s="1"/>
  <c r="Q12" i="90"/>
  <c r="Z12" i="90" s="1"/>
  <c r="J12" i="90"/>
  <c r="AC12" i="90" s="1"/>
  <c r="H12" i="90"/>
  <c r="AB12" i="90" s="1"/>
  <c r="F12" i="90"/>
  <c r="AA12" i="90" s="1"/>
  <c r="Q11" i="90"/>
  <c r="Z11" i="90" s="1"/>
  <c r="J11" i="90"/>
  <c r="AC11" i="90" s="1"/>
  <c r="H11" i="90"/>
  <c r="AB11" i="90" s="1"/>
  <c r="F11" i="90"/>
  <c r="AA11" i="90" s="1"/>
  <c r="Q10" i="90"/>
  <c r="Z10" i="90" s="1"/>
  <c r="J10" i="90"/>
  <c r="AC10" i="90" s="1"/>
  <c r="H10" i="90"/>
  <c r="AB10" i="90" s="1"/>
  <c r="F10" i="90"/>
  <c r="AA10" i="90" s="1"/>
  <c r="Q9" i="90"/>
  <c r="Z9" i="90" s="1"/>
  <c r="J9" i="90"/>
  <c r="AC9" i="90" s="1"/>
  <c r="H9" i="90"/>
  <c r="AB9" i="90" s="1"/>
  <c r="F9" i="90"/>
  <c r="AA9" i="90" s="1"/>
  <c r="AA8" i="90"/>
  <c r="W8" i="90"/>
  <c r="J8" i="90"/>
  <c r="AC8" i="90" s="1"/>
  <c r="H8" i="90"/>
  <c r="U8" i="90" s="1"/>
  <c r="F8" i="90"/>
  <c r="S8" i="90" s="1"/>
  <c r="C7" i="90"/>
  <c r="E7" i="90" s="1"/>
  <c r="E5" i="90"/>
  <c r="I5" i="90" s="1"/>
  <c r="D3" i="90"/>
  <c r="AL7" i="1"/>
  <c r="AK7" i="1"/>
  <c r="D2" i="90"/>
  <c r="G7" i="90" l="1"/>
  <c r="I7" i="90"/>
  <c r="C59" i="90"/>
  <c r="D59" i="90" s="1"/>
  <c r="E59" i="90" s="1"/>
  <c r="F59" i="90" s="1"/>
  <c r="G59" i="90" s="1"/>
  <c r="H59" i="90" s="1"/>
  <c r="S9" i="90"/>
  <c r="U14" i="90"/>
  <c r="U17" i="90"/>
  <c r="AB21" i="90"/>
  <c r="S25" i="90"/>
  <c r="S34" i="90"/>
  <c r="S38" i="90"/>
  <c r="W10" i="90"/>
  <c r="S12" i="90"/>
  <c r="W14" i="90"/>
  <c r="W17" i="90"/>
  <c r="W21" i="90"/>
  <c r="AC27" i="90"/>
  <c r="W27" i="90"/>
  <c r="AB8" i="90"/>
  <c r="W9" i="90"/>
  <c r="S11" i="90"/>
  <c r="U12" i="90"/>
  <c r="W13" i="90"/>
  <c r="AB23" i="90"/>
  <c r="H27" i="90"/>
  <c r="S46" i="90"/>
  <c r="U10" i="90"/>
  <c r="W11" i="90"/>
  <c r="S13" i="90"/>
  <c r="U15" i="90"/>
  <c r="U19" i="90"/>
  <c r="J29" i="90"/>
  <c r="H29" i="90"/>
  <c r="F29" i="90"/>
  <c r="H32" i="90"/>
  <c r="F32" i="90"/>
  <c r="H112" i="90"/>
  <c r="I112" i="90" s="1"/>
  <c r="J112" i="90" s="1"/>
  <c r="K112" i="90" s="1"/>
  <c r="L112" i="90" s="1"/>
  <c r="M112" i="90" s="1"/>
  <c r="J37" i="90"/>
  <c r="H37" i="90"/>
  <c r="F37" i="90"/>
  <c r="U9" i="90"/>
  <c r="U13" i="90"/>
  <c r="W15" i="90"/>
  <c r="W19" i="90"/>
  <c r="S10" i="90"/>
  <c r="U11" i="90"/>
  <c r="W12" i="90"/>
  <c r="S14" i="90"/>
  <c r="S15" i="90"/>
  <c r="S17" i="90"/>
  <c r="S19" i="90"/>
  <c r="S21" i="90"/>
  <c r="AA23" i="90"/>
  <c r="S23" i="90"/>
  <c r="J32" i="90"/>
  <c r="U25" i="90"/>
  <c r="U30" i="90"/>
  <c r="W31" i="90"/>
  <c r="S33" i="90"/>
  <c r="U34" i="90"/>
  <c r="W35" i="90"/>
  <c r="U38" i="90"/>
  <c r="W39" i="90"/>
  <c r="S41" i="90"/>
  <c r="U42" i="90"/>
  <c r="W43" i="90"/>
  <c r="S45" i="90"/>
  <c r="U46" i="90"/>
  <c r="W47" i="90"/>
  <c r="S28" i="90"/>
  <c r="W30" i="90"/>
  <c r="U33" i="90"/>
  <c r="W34" i="90"/>
  <c r="S36" i="90"/>
  <c r="W38" i="90"/>
  <c r="S40" i="90"/>
  <c r="U41" i="90"/>
  <c r="W42" i="90"/>
  <c r="S44" i="90"/>
  <c r="U45" i="90"/>
  <c r="W46" i="90"/>
  <c r="S31" i="90"/>
  <c r="W33" i="90"/>
  <c r="S35" i="90"/>
  <c r="U36" i="90"/>
  <c r="S39" i="90"/>
  <c r="U40" i="90"/>
  <c r="W41" i="90"/>
  <c r="S43" i="90"/>
  <c r="U44" i="90"/>
  <c r="W45" i="90"/>
  <c r="S47" i="90"/>
  <c r="I59" i="90" l="1"/>
  <c r="J59" i="90" s="1"/>
  <c r="K59" i="90" s="1"/>
  <c r="L59" i="90" s="1"/>
  <c r="M59" i="90" s="1"/>
  <c r="N59" i="90" s="1"/>
  <c r="O59" i="90" s="1"/>
  <c r="H7" i="90"/>
  <c r="U7" i="90" s="1"/>
  <c r="J7" i="90"/>
  <c r="W7" i="90" s="1"/>
  <c r="F7" i="90"/>
  <c r="AA7" i="90" s="1"/>
  <c r="AC37" i="90"/>
  <c r="W37" i="90"/>
  <c r="AA37" i="90"/>
  <c r="S37" i="90"/>
  <c r="AA32" i="90"/>
  <c r="S32" i="90"/>
  <c r="AC29" i="90"/>
  <c r="W29" i="90"/>
  <c r="U27" i="90"/>
  <c r="AB27" i="90"/>
  <c r="AA29" i="90"/>
  <c r="S29" i="90"/>
  <c r="AB29" i="90"/>
  <c r="U29" i="90"/>
  <c r="W32" i="90"/>
  <c r="AC32" i="90"/>
  <c r="AB37" i="90"/>
  <c r="U37" i="90"/>
  <c r="AB32" i="90"/>
  <c r="U32" i="90"/>
  <c r="S7" i="90" l="1"/>
  <c r="AB7" i="90"/>
  <c r="AC7" i="90"/>
  <c r="V49" i="90" s="1"/>
  <c r="I49" i="90" s="1"/>
  <c r="R49" i="90"/>
  <c r="T49" i="90"/>
  <c r="G49" i="90" s="1"/>
  <c r="G54" i="90" l="1"/>
  <c r="H54" i="90" s="1"/>
  <c r="G53" i="90"/>
  <c r="H53" i="90" s="1"/>
  <c r="I53" i="90"/>
  <c r="J53" i="90" s="1"/>
  <c r="E49" i="90"/>
  <c r="I54" i="90" s="1"/>
  <c r="J54" i="90" s="1"/>
  <c r="R50" i="90"/>
  <c r="B130" i="88"/>
  <c r="B128" i="88"/>
  <c r="B126" i="88"/>
  <c r="E125" i="88"/>
  <c r="F125" i="88" s="1"/>
  <c r="G125" i="88" s="1"/>
  <c r="D125" i="88"/>
  <c r="E123" i="88"/>
  <c r="F123" i="88" s="1"/>
  <c r="G123" i="88" s="1"/>
  <c r="H123" i="88" s="1"/>
  <c r="I123" i="88" s="1"/>
  <c r="J123" i="88" s="1"/>
  <c r="K123" i="88" s="1"/>
  <c r="L123" i="88" s="1"/>
  <c r="M123" i="88" s="1"/>
  <c r="D123" i="88"/>
  <c r="E121" i="88"/>
  <c r="F121" i="88" s="1"/>
  <c r="G121" i="88" s="1"/>
  <c r="H121" i="88" s="1"/>
  <c r="I121" i="88" s="1"/>
  <c r="J121" i="88" s="1"/>
  <c r="K121" i="88" s="1"/>
  <c r="L121" i="88" s="1"/>
  <c r="M121" i="88" s="1"/>
  <c r="D121" i="88"/>
  <c r="E117" i="88"/>
  <c r="F117" i="88" s="1"/>
  <c r="G117" i="88" s="1"/>
  <c r="D117" i="88"/>
  <c r="E115" i="88"/>
  <c r="F115" i="88" s="1"/>
  <c r="G115" i="88" s="1"/>
  <c r="H115" i="88" s="1"/>
  <c r="I115" i="88" s="1"/>
  <c r="J115" i="88" s="1"/>
  <c r="K115" i="88" s="1"/>
  <c r="L115" i="88" s="1"/>
  <c r="M115" i="88" s="1"/>
  <c r="D115" i="88"/>
  <c r="E113" i="88"/>
  <c r="F113" i="88" s="1"/>
  <c r="G113" i="88" s="1"/>
  <c r="H113" i="88" s="1"/>
  <c r="I113" i="88" s="1"/>
  <c r="J113" i="88" s="1"/>
  <c r="K113" i="88" s="1"/>
  <c r="L113" i="88" s="1"/>
  <c r="M113" i="88" s="1"/>
  <c r="D113" i="88"/>
  <c r="E111" i="88"/>
  <c r="D111" i="88"/>
  <c r="G109" i="88"/>
  <c r="F109" i="88"/>
  <c r="E109" i="88"/>
  <c r="D109" i="88"/>
  <c r="C109" i="88"/>
  <c r="D108" i="88"/>
  <c r="E108" i="88" s="1"/>
  <c r="F108" i="88" s="1"/>
  <c r="G108" i="88" s="1"/>
  <c r="H108" i="88" s="1"/>
  <c r="I108" i="88" s="1"/>
  <c r="J108" i="88" s="1"/>
  <c r="K108" i="88" s="1"/>
  <c r="L108" i="88" s="1"/>
  <c r="M108" i="88" s="1"/>
  <c r="F106" i="88"/>
  <c r="G106" i="88" s="1"/>
  <c r="H106" i="88" s="1"/>
  <c r="I106" i="88" s="1"/>
  <c r="J106" i="88" s="1"/>
  <c r="K106" i="88" s="1"/>
  <c r="L106" i="88" s="1"/>
  <c r="M106" i="88" s="1"/>
  <c r="E106" i="88"/>
  <c r="D106" i="88"/>
  <c r="M102" i="88"/>
  <c r="L102" i="88"/>
  <c r="K102" i="88"/>
  <c r="J102" i="88"/>
  <c r="I102" i="88"/>
  <c r="H102" i="88"/>
  <c r="G102" i="88"/>
  <c r="F102" i="88"/>
  <c r="E102" i="88"/>
  <c r="D102" i="88"/>
  <c r="C102" i="88"/>
  <c r="E101" i="88"/>
  <c r="F101" i="88" s="1"/>
  <c r="H32" i="88" s="1"/>
  <c r="D101" i="88"/>
  <c r="B98" i="88"/>
  <c r="B96" i="88"/>
  <c r="B94" i="88"/>
  <c r="B92" i="88"/>
  <c r="E91" i="88"/>
  <c r="F91" i="88" s="1"/>
  <c r="G91" i="88" s="1"/>
  <c r="H91" i="88" s="1"/>
  <c r="I91" i="88" s="1"/>
  <c r="J91" i="88" s="1"/>
  <c r="K91" i="88" s="1"/>
  <c r="L91" i="88" s="1"/>
  <c r="M91" i="88" s="1"/>
  <c r="D91" i="88"/>
  <c r="B90" i="88"/>
  <c r="B88" i="88"/>
  <c r="E87" i="88"/>
  <c r="F25" i="88" s="1"/>
  <c r="D87" i="88"/>
  <c r="E85" i="88"/>
  <c r="F85" i="88" s="1"/>
  <c r="G85" i="88" s="1"/>
  <c r="D85" i="88"/>
  <c r="E83" i="88"/>
  <c r="F83" i="88" s="1"/>
  <c r="G83" i="88" s="1"/>
  <c r="D83" i="88"/>
  <c r="E81" i="88"/>
  <c r="F81" i="88" s="1"/>
  <c r="G81" i="88" s="1"/>
  <c r="D81" i="88"/>
  <c r="E79" i="88"/>
  <c r="F79" i="88" s="1"/>
  <c r="G79" i="88" s="1"/>
  <c r="D79" i="88"/>
  <c r="E77" i="88"/>
  <c r="F77" i="88" s="1"/>
  <c r="G77" i="88" s="1"/>
  <c r="D77" i="88"/>
  <c r="B74" i="88"/>
  <c r="B72" i="88"/>
  <c r="B70" i="88"/>
  <c r="F69" i="88"/>
  <c r="G69" i="88" s="1"/>
  <c r="H69" i="88" s="1"/>
  <c r="I69" i="88" s="1"/>
  <c r="J69" i="88" s="1"/>
  <c r="K69" i="88" s="1"/>
  <c r="L69" i="88" s="1"/>
  <c r="M69" i="88" s="1"/>
  <c r="E69" i="88"/>
  <c r="D69" i="88"/>
  <c r="M67" i="88"/>
  <c r="L67" i="88"/>
  <c r="K67" i="88"/>
  <c r="J67" i="88"/>
  <c r="I67" i="88"/>
  <c r="H67" i="88"/>
  <c r="G67" i="88"/>
  <c r="F67" i="88"/>
  <c r="E67" i="88"/>
  <c r="D67" i="88"/>
  <c r="C67" i="88"/>
  <c r="C63" i="88"/>
  <c r="I54" i="88"/>
  <c r="J54" i="88" s="1"/>
  <c r="G54" i="88"/>
  <c r="H54" i="88" s="1"/>
  <c r="E54" i="88"/>
  <c r="F54" i="88" s="1"/>
  <c r="P49" i="88"/>
  <c r="P48" i="88"/>
  <c r="K48" i="88"/>
  <c r="V47" i="88"/>
  <c r="T47" i="88"/>
  <c r="R47" i="88"/>
  <c r="P47" i="88"/>
  <c r="AC46" i="88"/>
  <c r="AB46" i="88"/>
  <c r="Z46" i="88"/>
  <c r="W46" i="88"/>
  <c r="U46" i="88"/>
  <c r="Q46" i="88"/>
  <c r="J46" i="88"/>
  <c r="H46" i="88"/>
  <c r="F46" i="88"/>
  <c r="S46" i="88" s="1"/>
  <c r="AC45" i="88"/>
  <c r="AB45" i="88"/>
  <c r="AA45" i="88"/>
  <c r="W45" i="88"/>
  <c r="U45" i="88"/>
  <c r="S45" i="88"/>
  <c r="Q45" i="88"/>
  <c r="Z45" i="88" s="1"/>
  <c r="J45" i="88"/>
  <c r="H45" i="88"/>
  <c r="F45" i="88"/>
  <c r="AB44" i="88"/>
  <c r="AA44" i="88"/>
  <c r="Z44" i="88"/>
  <c r="U44" i="88"/>
  <c r="S44" i="88"/>
  <c r="Q44" i="88"/>
  <c r="J44" i="88"/>
  <c r="AC44" i="88" s="1"/>
  <c r="H44" i="88"/>
  <c r="F44" i="88"/>
  <c r="AC43" i="88"/>
  <c r="AA43" i="88"/>
  <c r="Z43" i="88"/>
  <c r="W43" i="88"/>
  <c r="S43" i="88"/>
  <c r="Q43" i="88"/>
  <c r="J43" i="88"/>
  <c r="H43" i="88"/>
  <c r="AB43" i="88" s="1"/>
  <c r="F43" i="88"/>
  <c r="AC42" i="88"/>
  <c r="AB42" i="88"/>
  <c r="Z42" i="88"/>
  <c r="W42" i="88"/>
  <c r="U42" i="88"/>
  <c r="Q42" i="88"/>
  <c r="J42" i="88"/>
  <c r="H42" i="88"/>
  <c r="F42" i="88"/>
  <c r="AA42" i="88" s="1"/>
  <c r="AC41" i="88"/>
  <c r="AB41" i="88"/>
  <c r="AA41" i="88"/>
  <c r="W41" i="88"/>
  <c r="U41" i="88"/>
  <c r="S41" i="88"/>
  <c r="Q41" i="88"/>
  <c r="Z41" i="88" s="1"/>
  <c r="J41" i="88"/>
  <c r="H41" i="88"/>
  <c r="F41" i="88"/>
  <c r="AB40" i="88"/>
  <c r="AA40" i="88"/>
  <c r="Z40" i="88"/>
  <c r="U40" i="88"/>
  <c r="S40" i="88"/>
  <c r="Q40" i="88"/>
  <c r="J40" i="88"/>
  <c r="AC40" i="88" s="1"/>
  <c r="H40" i="88"/>
  <c r="F40" i="88"/>
  <c r="AC39" i="88"/>
  <c r="AA39" i="88"/>
  <c r="Z39" i="88"/>
  <c r="W39" i="88"/>
  <c r="S39" i="88"/>
  <c r="Q39" i="88"/>
  <c r="J39" i="88"/>
  <c r="H39" i="88"/>
  <c r="AB39" i="88" s="1"/>
  <c r="F39" i="88"/>
  <c r="AC38" i="88"/>
  <c r="AB38" i="88"/>
  <c r="Z38" i="88"/>
  <c r="W38" i="88"/>
  <c r="U38" i="88"/>
  <c r="Q38" i="88"/>
  <c r="J38" i="88"/>
  <c r="H38" i="88"/>
  <c r="F38" i="88"/>
  <c r="AA38" i="88" s="1"/>
  <c r="Q37" i="88"/>
  <c r="Z37" i="88" s="1"/>
  <c r="J37" i="88"/>
  <c r="AC37" i="88" s="1"/>
  <c r="H37" i="88"/>
  <c r="AB37" i="88" s="1"/>
  <c r="F37" i="88"/>
  <c r="AA37" i="88" s="1"/>
  <c r="Z36" i="88"/>
  <c r="Q36" i="88"/>
  <c r="J36" i="88"/>
  <c r="W36" i="88" s="1"/>
  <c r="AC35" i="88"/>
  <c r="AA35" i="88"/>
  <c r="Z35" i="88"/>
  <c r="W35" i="88"/>
  <c r="S35" i="88"/>
  <c r="Q35" i="88"/>
  <c r="J35" i="88"/>
  <c r="H35" i="88"/>
  <c r="AB35" i="88" s="1"/>
  <c r="F35" i="88"/>
  <c r="AC34" i="88"/>
  <c r="AB34" i="88"/>
  <c r="Z34" i="88"/>
  <c r="W34" i="88"/>
  <c r="U34" i="88"/>
  <c r="Q34" i="88"/>
  <c r="J34" i="88"/>
  <c r="H34" i="88"/>
  <c r="F34" i="88"/>
  <c r="AA34" i="88" s="1"/>
  <c r="Q33" i="88"/>
  <c r="Z33" i="88" s="1"/>
  <c r="C33" i="88"/>
  <c r="Q32" i="88"/>
  <c r="Z32" i="88" s="1"/>
  <c r="J32" i="88"/>
  <c r="AC32" i="88" s="1"/>
  <c r="Q31" i="88"/>
  <c r="Z31" i="88" s="1"/>
  <c r="AB30" i="88"/>
  <c r="AA30" i="88"/>
  <c r="Z30" i="88"/>
  <c r="S30" i="88"/>
  <c r="Q30" i="88"/>
  <c r="J30" i="88"/>
  <c r="AC30" i="88" s="1"/>
  <c r="H30" i="88"/>
  <c r="U30" i="88" s="1"/>
  <c r="F30" i="88"/>
  <c r="AC29" i="88"/>
  <c r="AA29" i="88"/>
  <c r="Z29" i="88"/>
  <c r="W29" i="88"/>
  <c r="Q29" i="88"/>
  <c r="J29" i="88"/>
  <c r="H29" i="88"/>
  <c r="AB29" i="88" s="1"/>
  <c r="F29" i="88"/>
  <c r="S29" i="88" s="1"/>
  <c r="AC28" i="88"/>
  <c r="AB28" i="88"/>
  <c r="Z28" i="88"/>
  <c r="W28" i="88"/>
  <c r="U28" i="88"/>
  <c r="Q28" i="88"/>
  <c r="J28" i="88"/>
  <c r="H28" i="88"/>
  <c r="F28" i="88"/>
  <c r="AA28" i="88" s="1"/>
  <c r="Q27" i="88"/>
  <c r="Z27" i="88" s="1"/>
  <c r="J27" i="88"/>
  <c r="AC27" i="88" s="1"/>
  <c r="F27" i="88"/>
  <c r="AA27" i="88" s="1"/>
  <c r="Z26" i="88"/>
  <c r="U26" i="88"/>
  <c r="Q26" i="88"/>
  <c r="J26" i="88"/>
  <c r="AC26" i="88" s="1"/>
  <c r="H26" i="88"/>
  <c r="AB26" i="88" s="1"/>
  <c r="F26" i="88"/>
  <c r="AA26" i="88" s="1"/>
  <c r="Q25" i="88"/>
  <c r="Z25" i="88" s="1"/>
  <c r="Z23" i="88"/>
  <c r="Q23" i="88"/>
  <c r="J23" i="88"/>
  <c r="AC23" i="88" s="1"/>
  <c r="H23" i="88"/>
  <c r="AB23" i="88" s="1"/>
  <c r="F23" i="88"/>
  <c r="AA23" i="88" s="1"/>
  <c r="C23" i="88"/>
  <c r="Q21" i="88"/>
  <c r="Z21" i="88" s="1"/>
  <c r="J21" i="88"/>
  <c r="AC21" i="88" s="1"/>
  <c r="H21" i="88"/>
  <c r="AB21" i="88" s="1"/>
  <c r="F21" i="88"/>
  <c r="AA21" i="88" s="1"/>
  <c r="C21" i="88"/>
  <c r="Z19" i="88"/>
  <c r="Q19" i="88"/>
  <c r="J19" i="88"/>
  <c r="AC19" i="88" s="1"/>
  <c r="H19" i="88"/>
  <c r="AB19" i="88" s="1"/>
  <c r="F19" i="88"/>
  <c r="AA19" i="88" s="1"/>
  <c r="C19" i="88"/>
  <c r="Q17" i="88"/>
  <c r="Z17" i="88" s="1"/>
  <c r="J17" i="88"/>
  <c r="AC17" i="88" s="1"/>
  <c r="H17" i="88"/>
  <c r="AB17" i="88" s="1"/>
  <c r="F17" i="88"/>
  <c r="AA17" i="88" s="1"/>
  <c r="C17" i="88"/>
  <c r="Z15" i="88"/>
  <c r="Q15" i="88"/>
  <c r="J15" i="88"/>
  <c r="AC15" i="88" s="1"/>
  <c r="H15" i="88"/>
  <c r="AB15" i="88" s="1"/>
  <c r="F15" i="88"/>
  <c r="AA15" i="88" s="1"/>
  <c r="C15" i="88"/>
  <c r="Q14" i="88"/>
  <c r="Z14" i="88" s="1"/>
  <c r="J14" i="88"/>
  <c r="AC14" i="88" s="1"/>
  <c r="H14" i="88"/>
  <c r="AB14" i="88" s="1"/>
  <c r="F14" i="88"/>
  <c r="AA14" i="88" s="1"/>
  <c r="AC13" i="88"/>
  <c r="W13" i="88"/>
  <c r="Q13" i="88"/>
  <c r="Z13" i="88" s="1"/>
  <c r="J13" i="88"/>
  <c r="H13" i="88"/>
  <c r="AB13" i="88" s="1"/>
  <c r="F13" i="88"/>
  <c r="AA13" i="88" s="1"/>
  <c r="Q12" i="88"/>
  <c r="Z12" i="88" s="1"/>
  <c r="H12" i="88"/>
  <c r="AB12" i="88" s="1"/>
  <c r="Q11" i="88"/>
  <c r="Z11" i="88" s="1"/>
  <c r="J11" i="88"/>
  <c r="AC11" i="88" s="1"/>
  <c r="H11" i="88"/>
  <c r="AB11" i="88" s="1"/>
  <c r="F11" i="88"/>
  <c r="AA11" i="88" s="1"/>
  <c r="Q10" i="88"/>
  <c r="Z10" i="88" s="1"/>
  <c r="J10" i="88"/>
  <c r="AC10" i="88" s="1"/>
  <c r="H10" i="88"/>
  <c r="AB10" i="88" s="1"/>
  <c r="F10" i="88"/>
  <c r="AA10" i="88" s="1"/>
  <c r="AC9" i="88"/>
  <c r="Q9" i="88"/>
  <c r="Z9" i="88" s="1"/>
  <c r="J9" i="88"/>
  <c r="W9" i="88" s="1"/>
  <c r="H9" i="88"/>
  <c r="AB9" i="88" s="1"/>
  <c r="F9" i="88"/>
  <c r="AA9" i="88" s="1"/>
  <c r="J8" i="88"/>
  <c r="W8" i="88" s="1"/>
  <c r="H8" i="88"/>
  <c r="AB8" i="88" s="1"/>
  <c r="F8" i="88"/>
  <c r="AA8" i="88" s="1"/>
  <c r="C5" i="88"/>
  <c r="D3" i="88"/>
  <c r="B2" i="88"/>
  <c r="B3" i="88" s="1"/>
  <c r="B131" i="86"/>
  <c r="B129" i="86"/>
  <c r="B127" i="86"/>
  <c r="E126" i="86"/>
  <c r="F126" i="86" s="1"/>
  <c r="G126" i="86" s="1"/>
  <c r="D126" i="86"/>
  <c r="E124" i="86"/>
  <c r="F124" i="86" s="1"/>
  <c r="G124" i="86" s="1"/>
  <c r="H124" i="86" s="1"/>
  <c r="I124" i="86" s="1"/>
  <c r="J124" i="86" s="1"/>
  <c r="K124" i="86" s="1"/>
  <c r="L124" i="86" s="1"/>
  <c r="M124" i="86" s="1"/>
  <c r="D124" i="86"/>
  <c r="E120" i="86"/>
  <c r="F120" i="86" s="1"/>
  <c r="G120" i="86" s="1"/>
  <c r="H120" i="86" s="1"/>
  <c r="I120" i="86" s="1"/>
  <c r="J120" i="86" s="1"/>
  <c r="K120" i="86" s="1"/>
  <c r="L120" i="86" s="1"/>
  <c r="M120" i="86" s="1"/>
  <c r="D120" i="86"/>
  <c r="E118" i="86"/>
  <c r="F118" i="86" s="1"/>
  <c r="G118" i="86" s="1"/>
  <c r="D118" i="86"/>
  <c r="E116" i="86"/>
  <c r="F116" i="86" s="1"/>
  <c r="G116" i="86" s="1"/>
  <c r="H116" i="86" s="1"/>
  <c r="I116" i="86" s="1"/>
  <c r="J116" i="86" s="1"/>
  <c r="K116" i="86" s="1"/>
  <c r="L116" i="86" s="1"/>
  <c r="M116" i="86" s="1"/>
  <c r="D116" i="86"/>
  <c r="E114" i="86"/>
  <c r="F114" i="86" s="1"/>
  <c r="G114" i="86" s="1"/>
  <c r="H114" i="86" s="1"/>
  <c r="I114" i="86" s="1"/>
  <c r="J114" i="86" s="1"/>
  <c r="K114" i="86" s="1"/>
  <c r="L114" i="86" s="1"/>
  <c r="M114" i="86" s="1"/>
  <c r="D114" i="86"/>
  <c r="E112" i="86"/>
  <c r="F112" i="86" s="1"/>
  <c r="G112" i="86" s="1"/>
  <c r="D112" i="86"/>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J32" i="86" s="1"/>
  <c r="B97" i="86"/>
  <c r="B95" i="86"/>
  <c r="F29" i="86"/>
  <c r="AA29" i="86" s="1"/>
  <c r="B93" i="86"/>
  <c r="E92" i="86"/>
  <c r="F92" i="86" s="1"/>
  <c r="G92" i="86" s="1"/>
  <c r="H92" i="86" s="1"/>
  <c r="I92" i="86" s="1"/>
  <c r="J92" i="86" s="1"/>
  <c r="K92" i="86" s="1"/>
  <c r="L92" i="86" s="1"/>
  <c r="M92" i="86" s="1"/>
  <c r="D92" i="86"/>
  <c r="B91" i="86"/>
  <c r="D90" i="86"/>
  <c r="E90" i="86" s="1"/>
  <c r="F90" i="86" s="1"/>
  <c r="G90" i="86" s="1"/>
  <c r="H90" i="86" s="1"/>
  <c r="I90" i="86" s="1"/>
  <c r="J90" i="86" s="1"/>
  <c r="K90" i="86" s="1"/>
  <c r="L90" i="86" s="1"/>
  <c r="M90" i="86" s="1"/>
  <c r="B89" i="86"/>
  <c r="E88" i="86"/>
  <c r="F88" i="86" s="1"/>
  <c r="G88" i="86" s="1"/>
  <c r="H88" i="86" s="1"/>
  <c r="I88" i="86" s="1"/>
  <c r="J88" i="86" s="1"/>
  <c r="K88" i="86" s="1"/>
  <c r="L88" i="86" s="1"/>
  <c r="M88" i="86" s="1"/>
  <c r="D88" i="86"/>
  <c r="E86" i="86"/>
  <c r="F86" i="86" s="1"/>
  <c r="G86" i="86" s="1"/>
  <c r="D86" i="86"/>
  <c r="E84" i="86"/>
  <c r="F84" i="86" s="1"/>
  <c r="G84" i="86" s="1"/>
  <c r="D84" i="86"/>
  <c r="E82" i="86"/>
  <c r="F82" i="86" s="1"/>
  <c r="G82" i="86" s="1"/>
  <c r="D82" i="86"/>
  <c r="E80" i="86"/>
  <c r="F80" i="86" s="1"/>
  <c r="G80" i="86" s="1"/>
  <c r="D80" i="86"/>
  <c r="E78" i="86"/>
  <c r="F78" i="86" s="1"/>
  <c r="G78" i="86" s="1"/>
  <c r="D78" i="86"/>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C64" i="86"/>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U42" i="86"/>
  <c r="Q42" i="86"/>
  <c r="Z42" i="86" s="1"/>
  <c r="J42" i="86"/>
  <c r="AC42" i="86" s="1"/>
  <c r="H42" i="86"/>
  <c r="AB42" i="86" s="1"/>
  <c r="F42" i="86"/>
  <c r="AA42" i="86" s="1"/>
  <c r="AA41" i="86"/>
  <c r="Q41" i="86"/>
  <c r="Z41" i="86" s="1"/>
  <c r="J41" i="86"/>
  <c r="AC41" i="86" s="1"/>
  <c r="H41" i="86"/>
  <c r="AB41" i="86" s="1"/>
  <c r="F41" i="86"/>
  <c r="S41" i="86" s="1"/>
  <c r="Q40" i="86"/>
  <c r="Z40" i="86" s="1"/>
  <c r="J40" i="86"/>
  <c r="AC40" i="86" s="1"/>
  <c r="H40" i="86"/>
  <c r="AB40" i="86" s="1"/>
  <c r="F40" i="86"/>
  <c r="AA40" i="86" s="1"/>
  <c r="W39" i="86"/>
  <c r="Q39" i="86"/>
  <c r="Z39" i="86" s="1"/>
  <c r="J39" i="86"/>
  <c r="AC39" i="86" s="1"/>
  <c r="H39" i="86"/>
  <c r="AB39" i="86" s="1"/>
  <c r="F39" i="86"/>
  <c r="AA39" i="86" s="1"/>
  <c r="U38" i="86"/>
  <c r="Q38" i="86"/>
  <c r="Z38" i="86" s="1"/>
  <c r="J38" i="86"/>
  <c r="AC38" i="86" s="1"/>
  <c r="H38" i="86"/>
  <c r="AB38" i="86" s="1"/>
  <c r="F38" i="86"/>
  <c r="AA38" i="86" s="1"/>
  <c r="Q37" i="86"/>
  <c r="Z37" i="86" s="1"/>
  <c r="F37" i="86"/>
  <c r="AA37" i="86" s="1"/>
  <c r="Q36" i="86"/>
  <c r="Z36" i="86" s="1"/>
  <c r="J36" i="86"/>
  <c r="AC36" i="86" s="1"/>
  <c r="H36" i="86"/>
  <c r="AB36" i="86" s="1"/>
  <c r="F36" i="86"/>
  <c r="AA36" i="86" s="1"/>
  <c r="AC35" i="86"/>
  <c r="Q35" i="86"/>
  <c r="Z35" i="86" s="1"/>
  <c r="J35" i="86"/>
  <c r="W35" i="86" s="1"/>
  <c r="H35" i="86"/>
  <c r="AB35" i="86" s="1"/>
  <c r="F35" i="86"/>
  <c r="AA35" i="86" s="1"/>
  <c r="Q34" i="86"/>
  <c r="Z34" i="86" s="1"/>
  <c r="C34" i="86"/>
  <c r="J34" i="86" s="1"/>
  <c r="Q33" i="86"/>
  <c r="Z33" i="86" s="1"/>
  <c r="J33" i="86"/>
  <c r="AC33" i="86" s="1"/>
  <c r="H33" i="86"/>
  <c r="AB33" i="86" s="1"/>
  <c r="F33" i="86"/>
  <c r="AA33" i="86" s="1"/>
  <c r="AA32" i="86"/>
  <c r="S32" i="86"/>
  <c r="Q32" i="86"/>
  <c r="Z32" i="86" s="1"/>
  <c r="F32" i="86"/>
  <c r="Q31" i="86"/>
  <c r="Z31" i="86" s="1"/>
  <c r="J31" i="86"/>
  <c r="AC31" i="86" s="1"/>
  <c r="H31" i="86"/>
  <c r="AB31" i="86" s="1"/>
  <c r="F31" i="86"/>
  <c r="AA31" i="86" s="1"/>
  <c r="AC30" i="86"/>
  <c r="W30" i="86"/>
  <c r="Q30" i="86"/>
  <c r="Z30" i="86" s="1"/>
  <c r="J30" i="86"/>
  <c r="H30" i="86"/>
  <c r="AB30" i="86" s="1"/>
  <c r="F30" i="86"/>
  <c r="AA30" i="86" s="1"/>
  <c r="Q29" i="86"/>
  <c r="Z29" i="86" s="1"/>
  <c r="J29" i="86"/>
  <c r="AC29" i="86" s="1"/>
  <c r="H29" i="86"/>
  <c r="AB29" i="86" s="1"/>
  <c r="Q28" i="86"/>
  <c r="Z28" i="86" s="1"/>
  <c r="J28" i="86"/>
  <c r="AC28" i="86" s="1"/>
  <c r="H28" i="86"/>
  <c r="AB28" i="86" s="1"/>
  <c r="F28" i="86"/>
  <c r="AA28" i="86" s="1"/>
  <c r="Z27" i="86"/>
  <c r="Q27" i="86"/>
  <c r="J27" i="86"/>
  <c r="AC27" i="86" s="1"/>
  <c r="H27" i="86"/>
  <c r="AB27" i="86" s="1"/>
  <c r="F27" i="86"/>
  <c r="AA27" i="86" s="1"/>
  <c r="Q25" i="86"/>
  <c r="Z25" i="86" s="1"/>
  <c r="J25" i="86"/>
  <c r="W25" i="86" s="1"/>
  <c r="H25" i="86"/>
  <c r="AB25" i="86" s="1"/>
  <c r="F25" i="86"/>
  <c r="AA25" i="86" s="1"/>
  <c r="AB23" i="86"/>
  <c r="Q23" i="86"/>
  <c r="Z23" i="86" s="1"/>
  <c r="J23" i="86"/>
  <c r="AC23" i="86" s="1"/>
  <c r="H23" i="86"/>
  <c r="U23" i="86" s="1"/>
  <c r="F23" i="86"/>
  <c r="S23" i="86" s="1"/>
  <c r="C23" i="86"/>
  <c r="AA21" i="86"/>
  <c r="Q21" i="86"/>
  <c r="Z21" i="86" s="1"/>
  <c r="J21" i="86"/>
  <c r="W21" i="86" s="1"/>
  <c r="H21" i="86"/>
  <c r="U21" i="86" s="1"/>
  <c r="F21" i="86"/>
  <c r="S21" i="86" s="1"/>
  <c r="C21" i="86"/>
  <c r="AC19" i="86"/>
  <c r="Q19" i="86"/>
  <c r="Z19" i="86" s="1"/>
  <c r="J19" i="86"/>
  <c r="W19" i="86" s="1"/>
  <c r="H19" i="86"/>
  <c r="U19" i="86" s="1"/>
  <c r="F19" i="86"/>
  <c r="S19" i="86" s="1"/>
  <c r="C19" i="86"/>
  <c r="AC17" i="86"/>
  <c r="AB17" i="86"/>
  <c r="Q17" i="86"/>
  <c r="Z17" i="86" s="1"/>
  <c r="J17" i="86"/>
  <c r="W17" i="86" s="1"/>
  <c r="H17" i="86"/>
  <c r="U17" i="86" s="1"/>
  <c r="F17" i="86"/>
  <c r="S17" i="86" s="1"/>
  <c r="C17" i="86"/>
  <c r="AB15" i="86"/>
  <c r="AA15" i="86"/>
  <c r="Q15" i="86"/>
  <c r="Z15" i="86" s="1"/>
  <c r="J15" i="86"/>
  <c r="W15" i="86" s="1"/>
  <c r="H15" i="86"/>
  <c r="U15" i="86" s="1"/>
  <c r="F15" i="86"/>
  <c r="S15" i="86" s="1"/>
  <c r="C15" i="86"/>
  <c r="AA14" i="86"/>
  <c r="Q14" i="86"/>
  <c r="Z14" i="86" s="1"/>
  <c r="J14" i="86"/>
  <c r="W14" i="86" s="1"/>
  <c r="H14" i="86"/>
  <c r="U14" i="86" s="1"/>
  <c r="F14" i="86"/>
  <c r="S14" i="86" s="1"/>
  <c r="AB13" i="86"/>
  <c r="AA13" i="86"/>
  <c r="Q13" i="86"/>
  <c r="Z13" i="86" s="1"/>
  <c r="J13" i="86"/>
  <c r="AC13" i="86" s="1"/>
  <c r="H13" i="86"/>
  <c r="U13" i="86" s="1"/>
  <c r="F13" i="86"/>
  <c r="S13" i="86" s="1"/>
  <c r="AC12" i="86"/>
  <c r="W12" i="86"/>
  <c r="Q12" i="86"/>
  <c r="Z12" i="86" s="1"/>
  <c r="J12" i="86"/>
  <c r="H12" i="86"/>
  <c r="AB12" i="86" s="1"/>
  <c r="F12" i="86"/>
  <c r="S12" i="86" s="1"/>
  <c r="Z11" i="86"/>
  <c r="W11" i="86"/>
  <c r="Q11" i="86"/>
  <c r="J11" i="86"/>
  <c r="AC11" i="86" s="1"/>
  <c r="H11" i="86"/>
  <c r="U11" i="86" s="1"/>
  <c r="F11" i="86"/>
  <c r="AA11" i="86" s="1"/>
  <c r="AA10" i="86"/>
  <c r="Q10" i="86"/>
  <c r="Z10" i="86" s="1"/>
  <c r="J10" i="86"/>
  <c r="W10" i="86" s="1"/>
  <c r="H10" i="86"/>
  <c r="AB10" i="86" s="1"/>
  <c r="F10" i="86"/>
  <c r="S10" i="86" s="1"/>
  <c r="Q9" i="86"/>
  <c r="Z9" i="86" s="1"/>
  <c r="J9" i="86"/>
  <c r="W9" i="86" s="1"/>
  <c r="H9" i="86"/>
  <c r="AB9" i="86" s="1"/>
  <c r="F9" i="86"/>
  <c r="AA9" i="86" s="1"/>
  <c r="J8" i="86"/>
  <c r="W8" i="86" s="1"/>
  <c r="H8" i="86"/>
  <c r="U8" i="86" s="1"/>
  <c r="F8" i="86"/>
  <c r="AA8" i="86" s="1"/>
  <c r="C59" i="86"/>
  <c r="D59" i="86" s="1"/>
  <c r="E59" i="86" s="1"/>
  <c r="F59" i="86" s="1"/>
  <c r="G59" i="86" s="1"/>
  <c r="H59" i="86" s="1"/>
  <c r="I59" i="86" s="1"/>
  <c r="J59" i="86" s="1"/>
  <c r="K59" i="86" s="1"/>
  <c r="L59" i="86" s="1"/>
  <c r="M59" i="86" s="1"/>
  <c r="N59" i="86" s="1"/>
  <c r="O59" i="86" s="1"/>
  <c r="D3" i="86"/>
  <c r="B2" i="86"/>
  <c r="D2" i="88"/>
  <c r="D2" i="86"/>
  <c r="S8" i="88" l="1"/>
  <c r="U8" i="88"/>
  <c r="AB8" i="86"/>
  <c r="AC8" i="86"/>
  <c r="S8" i="86"/>
  <c r="S37" i="86"/>
  <c r="H27" i="88"/>
  <c r="AB27" i="88" s="1"/>
  <c r="W27" i="88"/>
  <c r="S27" i="88"/>
  <c r="H34" i="86"/>
  <c r="F34" i="86"/>
  <c r="AA34" i="86" s="1"/>
  <c r="C50" i="90"/>
  <c r="C49" i="90"/>
  <c r="E53" i="90"/>
  <c r="F53" i="90" s="1"/>
  <c r="E54" i="90"/>
  <c r="F54" i="90" s="1"/>
  <c r="F32" i="88"/>
  <c r="AA32" i="88" s="1"/>
  <c r="S25" i="88"/>
  <c r="AA25" i="88"/>
  <c r="AC36" i="88"/>
  <c r="G7" i="88"/>
  <c r="C58" i="88"/>
  <c r="D58" i="88" s="1"/>
  <c r="E58" i="88" s="1"/>
  <c r="F58" i="88" s="1"/>
  <c r="G58" i="88" s="1"/>
  <c r="H58" i="88" s="1"/>
  <c r="I58" i="88" s="1"/>
  <c r="J58" i="88" s="1"/>
  <c r="K58" i="88" s="1"/>
  <c r="L58" i="88" s="1"/>
  <c r="M58" i="88" s="1"/>
  <c r="N58" i="88" s="1"/>
  <c r="O58" i="88" s="1"/>
  <c r="I7" i="88"/>
  <c r="E7" i="88"/>
  <c r="S11" i="88"/>
  <c r="U12" i="88"/>
  <c r="S34" i="88"/>
  <c r="U39" i="88"/>
  <c r="S42" i="88"/>
  <c r="W44" i="88"/>
  <c r="AA46" i="88"/>
  <c r="F12" i="88"/>
  <c r="J12" i="88"/>
  <c r="J25" i="88"/>
  <c r="F87" i="88"/>
  <c r="G87" i="88" s="1"/>
  <c r="H87" i="88" s="1"/>
  <c r="I87" i="88" s="1"/>
  <c r="J87" i="88" s="1"/>
  <c r="K87" i="88" s="1"/>
  <c r="L87" i="88" s="1"/>
  <c r="M87" i="88" s="1"/>
  <c r="H25" i="88"/>
  <c r="H31" i="88"/>
  <c r="F31" i="88"/>
  <c r="H36" i="88"/>
  <c r="F36" i="88"/>
  <c r="F111" i="88"/>
  <c r="G111" i="88" s="1"/>
  <c r="H111" i="88" s="1"/>
  <c r="I111" i="88" s="1"/>
  <c r="J111" i="88" s="1"/>
  <c r="K111" i="88" s="1"/>
  <c r="L111" i="88" s="1"/>
  <c r="M111" i="88" s="1"/>
  <c r="U35" i="88"/>
  <c r="S38" i="88"/>
  <c r="W40" i="88"/>
  <c r="U43" i="88"/>
  <c r="AB32" i="88"/>
  <c r="U32" i="88"/>
  <c r="J31" i="88"/>
  <c r="J33" i="88"/>
  <c r="H33" i="88"/>
  <c r="F33" i="88"/>
  <c r="G101" i="88"/>
  <c r="H101" i="88" s="1"/>
  <c r="I101" i="88" s="1"/>
  <c r="J101" i="88" s="1"/>
  <c r="K101" i="88" s="1"/>
  <c r="L101" i="88" s="1"/>
  <c r="M101" i="88" s="1"/>
  <c r="AC8" i="88"/>
  <c r="S10" i="88"/>
  <c r="U11" i="88"/>
  <c r="S14" i="88"/>
  <c r="S15" i="88"/>
  <c r="S17" i="88"/>
  <c r="S19" i="88"/>
  <c r="S21" i="88"/>
  <c r="S23" i="88"/>
  <c r="W26" i="88"/>
  <c r="S28" i="88"/>
  <c r="U29" i="88"/>
  <c r="W30" i="88"/>
  <c r="S37" i="88"/>
  <c r="S9" i="88"/>
  <c r="U10" i="88"/>
  <c r="W11" i="88"/>
  <c r="S13" i="88"/>
  <c r="U14" i="88"/>
  <c r="U15" i="88"/>
  <c r="U17" i="88"/>
  <c r="U19" i="88"/>
  <c r="U21" i="88"/>
  <c r="U23" i="88"/>
  <c r="U37" i="88"/>
  <c r="U9" i="88"/>
  <c r="W10" i="88"/>
  <c r="U13" i="88"/>
  <c r="W14" i="88"/>
  <c r="W15" i="88"/>
  <c r="W17" i="88"/>
  <c r="W19" i="88"/>
  <c r="W21" i="88"/>
  <c r="W23" i="88"/>
  <c r="S26" i="88"/>
  <c r="W32" i="88"/>
  <c r="W37" i="88"/>
  <c r="U10" i="86"/>
  <c r="AC10" i="86"/>
  <c r="AB11" i="86"/>
  <c r="AB14" i="86"/>
  <c r="AC15" i="86"/>
  <c r="AA19" i="86"/>
  <c r="AB21" i="86"/>
  <c r="AC25" i="86"/>
  <c r="U29" i="86"/>
  <c r="H112" i="86"/>
  <c r="I112" i="86" s="1"/>
  <c r="J112" i="86" s="1"/>
  <c r="K112" i="86" s="1"/>
  <c r="L112" i="86" s="1"/>
  <c r="M112" i="86" s="1"/>
  <c r="J37" i="86"/>
  <c r="H37" i="86"/>
  <c r="AC9" i="86"/>
  <c r="S9" i="86"/>
  <c r="G7" i="86"/>
  <c r="H7" i="86" s="1"/>
  <c r="U9" i="86"/>
  <c r="AA12" i="86"/>
  <c r="AC14" i="86"/>
  <c r="AA17" i="86"/>
  <c r="AB19" i="86"/>
  <c r="AC21" i="86"/>
  <c r="AA23" i="86"/>
  <c r="U33" i="86"/>
  <c r="S28" i="86"/>
  <c r="AC32" i="86"/>
  <c r="W32" i="86"/>
  <c r="E7" i="86"/>
  <c r="F7" i="86" s="1"/>
  <c r="I7" i="86"/>
  <c r="J7" i="86" s="1"/>
  <c r="AC34" i="86"/>
  <c r="W34" i="86"/>
  <c r="W43" i="86"/>
  <c r="S45" i="86"/>
  <c r="U46" i="86"/>
  <c r="W47" i="86"/>
  <c r="W23" i="86"/>
  <c r="S27" i="86"/>
  <c r="U28" i="86"/>
  <c r="W29" i="86"/>
  <c r="S31" i="86"/>
  <c r="H32" i="86"/>
  <c r="W33" i="86"/>
  <c r="S36" i="86"/>
  <c r="W38" i="86"/>
  <c r="S40" i="86"/>
  <c r="U41" i="86"/>
  <c r="W42" i="86"/>
  <c r="S44" i="86"/>
  <c r="U45" i="86"/>
  <c r="W46" i="86"/>
  <c r="S11" i="86"/>
  <c r="U12" i="86"/>
  <c r="W13" i="86"/>
  <c r="S25" i="86"/>
  <c r="U27" i="86"/>
  <c r="W28" i="86"/>
  <c r="S30" i="86"/>
  <c r="U31" i="86"/>
  <c r="S35" i="86"/>
  <c r="U36" i="86"/>
  <c r="S39" i="86"/>
  <c r="U40" i="86"/>
  <c r="W41" i="86"/>
  <c r="S43" i="86"/>
  <c r="U44" i="86"/>
  <c r="W45" i="86"/>
  <c r="S47" i="86"/>
  <c r="U25" i="86"/>
  <c r="W27" i="86"/>
  <c r="S29" i="86"/>
  <c r="U30" i="86"/>
  <c r="W31" i="86"/>
  <c r="S33" i="86"/>
  <c r="U35" i="86"/>
  <c r="W36" i="86"/>
  <c r="S38" i="86"/>
  <c r="U39" i="86"/>
  <c r="W40" i="86"/>
  <c r="S42" i="86"/>
  <c r="U43" i="86"/>
  <c r="W44" i="86"/>
  <c r="S46" i="86"/>
  <c r="U47" i="86"/>
  <c r="S32" i="88" l="1"/>
  <c r="H7" i="88"/>
  <c r="AB7" i="88" s="1"/>
  <c r="S34" i="86"/>
  <c r="U27" i="88"/>
  <c r="B3" i="90"/>
  <c r="B2" i="90"/>
  <c r="AB34" i="86"/>
  <c r="U34" i="86"/>
  <c r="AB31" i="88"/>
  <c r="U31" i="88"/>
  <c r="AA33" i="88"/>
  <c r="S33" i="88"/>
  <c r="AA36" i="88"/>
  <c r="S36" i="88"/>
  <c r="AB25" i="88"/>
  <c r="U25" i="88"/>
  <c r="AA12" i="88"/>
  <c r="S12" i="88"/>
  <c r="F7" i="88"/>
  <c r="AB33" i="88"/>
  <c r="U33" i="88"/>
  <c r="AB36" i="88"/>
  <c r="U36" i="88"/>
  <c r="J7" i="88"/>
  <c r="AC31" i="88"/>
  <c r="W31" i="88"/>
  <c r="AC12" i="88"/>
  <c r="W12" i="88"/>
  <c r="AC33" i="88"/>
  <c r="W33" i="88"/>
  <c r="AA31" i="88"/>
  <c r="S31" i="88"/>
  <c r="AC25" i="88"/>
  <c r="W25" i="88"/>
  <c r="AB7" i="86"/>
  <c r="U7" i="86"/>
  <c r="AC37" i="86"/>
  <c r="W37" i="86"/>
  <c r="AB32" i="86"/>
  <c r="U32" i="86"/>
  <c r="W7" i="86"/>
  <c r="AC7" i="86"/>
  <c r="V49" i="86" s="1"/>
  <c r="I49" i="86" s="1"/>
  <c r="S7" i="86"/>
  <c r="AA7" i="86"/>
  <c r="R49" i="86" s="1"/>
  <c r="AB37" i="86"/>
  <c r="U37" i="86"/>
  <c r="T48" i="88" l="1"/>
  <c r="G48" i="88" s="1"/>
  <c r="G52" i="88" s="1"/>
  <c r="H52" i="88" s="1"/>
  <c r="U7" i="88"/>
  <c r="S7" i="88"/>
  <c r="AA7" i="88"/>
  <c r="R48" i="88" s="1"/>
  <c r="W7" i="88"/>
  <c r="AC7" i="88"/>
  <c r="V48" i="88" s="1"/>
  <c r="I48" i="88" s="1"/>
  <c r="I53" i="86"/>
  <c r="J53" i="86" s="1"/>
  <c r="T49" i="86"/>
  <c r="G49" i="86" s="1"/>
  <c r="E49" i="86"/>
  <c r="I54" i="86" s="1"/>
  <c r="J54" i="86" s="1"/>
  <c r="I52" i="88" l="1"/>
  <c r="J52" i="88" s="1"/>
  <c r="G53" i="88"/>
  <c r="H53" i="88" s="1"/>
  <c r="R49" i="88"/>
  <c r="E48" i="88"/>
  <c r="I53" i="88" s="1"/>
  <c r="J53" i="88" s="1"/>
  <c r="R50" i="86"/>
  <c r="C50" i="86" s="1"/>
  <c r="B3" i="86" s="1"/>
  <c r="G53" i="86"/>
  <c r="H53" i="86" s="1"/>
  <c r="G54" i="86"/>
  <c r="H54" i="86" s="1"/>
  <c r="E54" i="86"/>
  <c r="F54" i="86" s="1"/>
  <c r="E53" i="86"/>
  <c r="F53" i="86" s="1"/>
  <c r="C48" i="88" l="1"/>
  <c r="K16" i="80" s="1"/>
  <c r="C49" i="88"/>
  <c r="E52" i="88"/>
  <c r="F52" i="88" s="1"/>
  <c r="E53" i="88"/>
  <c r="F53" i="88" s="1"/>
  <c r="C49" i="86"/>
  <c r="K17" i="80" s="1"/>
  <c r="K18" i="80" s="1"/>
  <c r="K15" i="80" l="1"/>
  <c r="K14" i="80"/>
  <c r="K28" i="80"/>
  <c r="L41" i="85" s="1"/>
  <c r="K29" i="80"/>
  <c r="L42" i="85" s="1"/>
  <c r="D14" i="9"/>
  <c r="U43" i="80"/>
  <c r="AF6" i="1"/>
  <c r="Q72" i="84"/>
  <c r="Q59" i="84"/>
  <c r="K59" i="84"/>
  <c r="P74" i="84" s="1"/>
  <c r="F59" i="84"/>
  <c r="Q58" i="84"/>
  <c r="Q51" i="84"/>
  <c r="J51" i="84"/>
  <c r="J50" i="84"/>
  <c r="M47" i="84"/>
  <c r="D46" i="84"/>
  <c r="F33" i="84"/>
  <c r="F61" i="84" s="1"/>
  <c r="F32" i="84"/>
  <c r="F60" i="84" s="1"/>
  <c r="F31" i="84"/>
  <c r="F28" i="84"/>
  <c r="C28" i="84"/>
  <c r="F23" i="84"/>
  <c r="D24" i="84" s="1"/>
  <c r="D23" i="84"/>
  <c r="D22" i="84"/>
  <c r="F21" i="84"/>
  <c r="F20" i="84"/>
  <c r="M19" i="84"/>
  <c r="M18" i="84"/>
  <c r="F18" i="84"/>
  <c r="M17" i="84"/>
  <c r="F17" i="84"/>
  <c r="F15" i="84"/>
  <c r="AM8" i="1"/>
  <c r="AM9" i="1" s="1"/>
  <c r="AL8" i="1"/>
  <c r="AL9" i="1" s="1"/>
  <c r="AK8" i="1"/>
  <c r="AK9" i="1" s="1"/>
  <c r="Z19" i="1"/>
  <c r="U6" i="1"/>
  <c r="Q8" i="1"/>
  <c r="I8" i="1"/>
  <c r="I9" i="1" s="1"/>
  <c r="L8" i="1"/>
  <c r="L9" i="1" s="1"/>
  <c r="L14" i="1" s="1"/>
  <c r="S39" i="80"/>
  <c r="S38" i="80"/>
  <c r="U32" i="80"/>
  <c r="U31" i="80"/>
  <c r="V31" i="80"/>
  <c r="T31" i="80"/>
  <c r="U28" i="80"/>
  <c r="U27" i="80"/>
  <c r="U26" i="80"/>
  <c r="U14" i="80"/>
  <c r="U13" i="80"/>
  <c r="U12" i="80"/>
  <c r="U10" i="80"/>
  <c r="U8" i="80"/>
  <c r="M5" i="82"/>
  <c r="M15" i="82"/>
  <c r="M20" i="82"/>
  <c r="M23" i="82"/>
  <c r="M26" i="82"/>
  <c r="U7" i="80" s="1"/>
  <c r="V4" i="80"/>
  <c r="V5" i="80"/>
  <c r="V6" i="80"/>
  <c r="V9" i="80"/>
  <c r="V11" i="80"/>
  <c r="V15" i="80"/>
  <c r="V16" i="80"/>
  <c r="V18" i="80"/>
  <c r="V19" i="80"/>
  <c r="V20" i="80"/>
  <c r="V21" i="80"/>
  <c r="V22" i="80"/>
  <c r="V23" i="80"/>
  <c r="V24" i="80"/>
  <c r="V25" i="80"/>
  <c r="V3" i="80"/>
  <c r="T7" i="80"/>
  <c r="V7" i="80" s="1"/>
  <c r="T8" i="80"/>
  <c r="V8" i="80" s="1"/>
  <c r="T10" i="80"/>
  <c r="V10" i="80" s="1"/>
  <c r="T12" i="80"/>
  <c r="V12" i="80" s="1"/>
  <c r="T13" i="80"/>
  <c r="V13" i="80" s="1"/>
  <c r="T14" i="80"/>
  <c r="V14" i="80" s="1"/>
  <c r="V17" i="80"/>
  <c r="T28" i="80"/>
  <c r="V28" i="80" s="1"/>
  <c r="T27" i="80"/>
  <c r="V27" i="80" s="1"/>
  <c r="T26" i="80"/>
  <c r="V26" i="80" s="1"/>
  <c r="N7" i="1"/>
  <c r="N8" i="1" s="1"/>
  <c r="N9" i="1" s="1"/>
  <c r="N14" i="1" s="1"/>
  <c r="L7" i="1"/>
  <c r="Q72" i="83"/>
  <c r="Q59" i="83"/>
  <c r="K59" i="83"/>
  <c r="P74" i="83" s="1"/>
  <c r="F59" i="83"/>
  <c r="Q58" i="83"/>
  <c r="Q51" i="83"/>
  <c r="J50" i="83"/>
  <c r="M47" i="83"/>
  <c r="D46" i="83"/>
  <c r="F33" i="83"/>
  <c r="F61" i="83" s="1"/>
  <c r="F31" i="83"/>
  <c r="F23" i="83"/>
  <c r="D23" i="83" s="1"/>
  <c r="F21" i="83"/>
  <c r="F20" i="83"/>
  <c r="M19" i="83"/>
  <c r="F18" i="83"/>
  <c r="M17" i="83"/>
  <c r="F17" i="83"/>
  <c r="F15" i="83"/>
  <c r="P43" i="80"/>
  <c r="P45" i="80" s="1"/>
  <c r="Q45" i="80" s="1"/>
  <c r="Y6" i="1"/>
  <c r="Y7" i="1" s="1"/>
  <c r="N19" i="1"/>
  <c r="B30" i="81"/>
  <c r="J30" i="80"/>
  <c r="Y8" i="1" l="1"/>
  <c r="Y9" i="1" s="1"/>
  <c r="W10" i="80"/>
  <c r="W20" i="80"/>
  <c r="L29" i="80"/>
  <c r="W25" i="80"/>
  <c r="W19" i="80"/>
  <c r="W21" i="80"/>
  <c r="W27" i="80"/>
  <c r="W23" i="80"/>
  <c r="W26" i="80"/>
  <c r="W22" i="80"/>
  <c r="W28" i="80"/>
  <c r="W24" i="80"/>
  <c r="W13" i="80"/>
  <c r="W17" i="80"/>
  <c r="W9" i="80"/>
  <c r="W16" i="80"/>
  <c r="W12" i="80"/>
  <c r="W8" i="80"/>
  <c r="W6" i="80"/>
  <c r="W15" i="80"/>
  <c r="W11" i="80"/>
  <c r="W7" i="80"/>
  <c r="L28" i="80"/>
  <c r="W18" i="80"/>
  <c r="W14" i="80"/>
  <c r="P61" i="84"/>
  <c r="D24" i="83"/>
  <c r="P61" i="83"/>
  <c r="D22" i="83"/>
  <c r="M42" i="85" l="1"/>
  <c r="Y35" i="85"/>
  <c r="Z35" i="85" s="1"/>
  <c r="Y31" i="85"/>
  <c r="Z31" i="85" s="1"/>
  <c r="Y27" i="85"/>
  <c r="Z27" i="85" s="1"/>
  <c r="Y34" i="85"/>
  <c r="Z34" i="85" s="1"/>
  <c r="Y30" i="85"/>
  <c r="Z30" i="85" s="1"/>
  <c r="Y26" i="85"/>
  <c r="Z26" i="85" s="1"/>
  <c r="Y33" i="85"/>
  <c r="Z33" i="85" s="1"/>
  <c r="Y29" i="85"/>
  <c r="Z29" i="85" s="1"/>
  <c r="Y25" i="85"/>
  <c r="Z25" i="85" s="1"/>
  <c r="Y32" i="85"/>
  <c r="Z32" i="85" s="1"/>
  <c r="Y28" i="85"/>
  <c r="Z28" i="85" s="1"/>
  <c r="Y24" i="85"/>
  <c r="Z24" i="85" s="1"/>
  <c r="Y23" i="85"/>
  <c r="Z23" i="85" s="1"/>
  <c r="Y19" i="85"/>
  <c r="Z19" i="85" s="1"/>
  <c r="Y15" i="85"/>
  <c r="Z15" i="85" s="1"/>
  <c r="Y22" i="85"/>
  <c r="Z22" i="85" s="1"/>
  <c r="Y18" i="85"/>
  <c r="Z18" i="85" s="1"/>
  <c r="Y14" i="85"/>
  <c r="Z14" i="85" s="1"/>
  <c r="Y21" i="85"/>
  <c r="Z21" i="85" s="1"/>
  <c r="Y17" i="85"/>
  <c r="Z17" i="85" s="1"/>
  <c r="Y13" i="85"/>
  <c r="Z13" i="85" s="1"/>
  <c r="Y20" i="85"/>
  <c r="Z20" i="85" s="1"/>
  <c r="Y16" i="85"/>
  <c r="Z16" i="85" s="1"/>
  <c r="M41" i="85"/>
  <c r="U34" i="80"/>
  <c r="V45" i="81"/>
  <c r="S27" i="81"/>
  <c r="S29" i="81" s="1"/>
  <c r="U35" i="80" l="1"/>
  <c r="U36" i="80" s="1"/>
  <c r="Z6" i="1" s="1"/>
  <c r="M4" i="82"/>
  <c r="O44" i="82"/>
  <c r="O43" i="82"/>
  <c r="N42" i="82"/>
  <c r="P42" i="82" s="1"/>
  <c r="N41" i="82"/>
  <c r="P41" i="82" s="1"/>
  <c r="O40" i="82"/>
  <c r="O39" i="82"/>
  <c r="M38" i="82"/>
  <c r="M37" i="82"/>
  <c r="O36" i="82"/>
  <c r="O35" i="82"/>
  <c r="O34" i="82"/>
  <c r="O31" i="82"/>
  <c r="E29" i="82"/>
  <c r="O27" i="82"/>
  <c r="E27" i="82"/>
  <c r="E26" i="82"/>
  <c r="M25" i="82"/>
  <c r="O24" i="82"/>
  <c r="M24" i="82"/>
  <c r="E23" i="82"/>
  <c r="M22" i="82"/>
  <c r="M21" i="82"/>
  <c r="M19" i="82"/>
  <c r="E20" i="82"/>
  <c r="E19" i="82"/>
  <c r="E18" i="82"/>
  <c r="O17" i="82"/>
  <c r="O15" i="82"/>
  <c r="M14" i="82"/>
  <c r="M13" i="82"/>
  <c r="M12" i="82"/>
  <c r="S7" i="82"/>
  <c r="U7" i="82" s="1"/>
  <c r="R7" i="82"/>
  <c r="E6" i="82"/>
  <c r="M3" i="82"/>
  <c r="R29" i="80"/>
  <c r="M31" i="81"/>
  <c r="S31" i="81"/>
  <c r="Z26" i="81"/>
  <c r="R26" i="81"/>
  <c r="Z25" i="81"/>
  <c r="R25" i="81"/>
  <c r="Z24" i="81"/>
  <c r="R24" i="81"/>
  <c r="E24" i="81"/>
  <c r="Z23" i="81"/>
  <c r="R23" i="81"/>
  <c r="Z22" i="81"/>
  <c r="R22" i="81"/>
  <c r="Z21" i="81"/>
  <c r="R21" i="81"/>
  <c r="Z20" i="81"/>
  <c r="R20" i="81"/>
  <c r="Z19" i="81"/>
  <c r="R19" i="81"/>
  <c r="Z18" i="81"/>
  <c r="R18" i="81"/>
  <c r="Z17" i="81"/>
  <c r="R17" i="81"/>
  <c r="Z16" i="81"/>
  <c r="R16" i="81"/>
  <c r="Z15" i="81"/>
  <c r="R15" i="81"/>
  <c r="Z14" i="81"/>
  <c r="R14" i="81"/>
  <c r="Z13" i="81"/>
  <c r="R13" i="81"/>
  <c r="Z12" i="81"/>
  <c r="R12" i="81"/>
  <c r="Z11" i="81"/>
  <c r="R11" i="81"/>
  <c r="Z10" i="81"/>
  <c r="R10" i="81"/>
  <c r="E10" i="81"/>
  <c r="Z9" i="81"/>
  <c r="R9" i="81"/>
  <c r="Z8" i="81"/>
  <c r="R8" i="81"/>
  <c r="Z7" i="81"/>
  <c r="R7" i="81"/>
  <c r="Z6" i="81"/>
  <c r="R6" i="81"/>
  <c r="Z5" i="81"/>
  <c r="R5" i="81"/>
  <c r="E5" i="81"/>
  <c r="Z4" i="81"/>
  <c r="R4" i="81"/>
  <c r="E4" i="81"/>
  <c r="Z3" i="81"/>
  <c r="R3" i="81"/>
  <c r="E3" i="81"/>
  <c r="Z2" i="81"/>
  <c r="R2" i="81"/>
  <c r="F49" i="15" l="1"/>
  <c r="Z27" i="81"/>
  <c r="S29" i="80"/>
  <c r="T7" i="82"/>
  <c r="R30" i="80"/>
  <c r="R31" i="80" s="1"/>
  <c r="Q43" i="80" s="1"/>
  <c r="M18" i="82"/>
  <c r="O42" i="82"/>
  <c r="U28" i="8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N28" i="79" s="1"/>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S17" i="79"/>
  <c r="T19" i="79"/>
  <c r="W19" i="79" s="1"/>
  <c r="Z3" i="79"/>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AH11" i="71" l="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V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B76" i="71"/>
  <c r="B75" i="71" s="1"/>
  <c r="B74" i="71" s="1"/>
  <c r="S76" i="71"/>
  <c r="Q75" i="71"/>
  <c r="P75" i="71"/>
  <c r="O75" i="71"/>
  <c r="N75" i="71"/>
  <c r="Q74" i="71"/>
  <c r="P74" i="71"/>
  <c r="O74" i="71"/>
  <c r="N74" i="71"/>
  <c r="Q73" i="71"/>
  <c r="P73" i="71"/>
  <c r="O73" i="71"/>
  <c r="N73" i="71"/>
  <c r="D73" i="71"/>
  <c r="Q72" i="71"/>
  <c r="P72" i="71"/>
  <c r="O72" i="71"/>
  <c r="N72" i="71"/>
  <c r="F72" i="71"/>
  <c r="E72" i="71"/>
  <c r="U72" i="71"/>
  <c r="C72" i="71"/>
  <c r="D72" i="71" s="1"/>
  <c r="B72" i="71"/>
  <c r="Q71" i="71"/>
  <c r="P71" i="71"/>
  <c r="O71" i="71"/>
  <c r="N71" i="7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D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c r="Q38" i="71"/>
  <c r="P38" i="71"/>
  <c r="O38" i="71"/>
  <c r="Y38" i="71" s="1"/>
  <c r="Z38" i="71" s="1"/>
  <c r="N38" i="71"/>
  <c r="B39" i="71" s="1"/>
  <c r="B40" i="71" s="1"/>
  <c r="S40" i="71" s="1"/>
  <c r="F38" i="71"/>
  <c r="F39" i="71" s="1"/>
  <c r="Q37" i="71"/>
  <c r="P37" i="71"/>
  <c r="E38" i="71" s="1"/>
  <c r="E39" i="71" s="1"/>
  <c r="O37" i="71"/>
  <c r="C38" i="71" s="1"/>
  <c r="N37" i="71"/>
  <c r="B38" i="71" s="1"/>
  <c r="D37" i="71"/>
  <c r="Q36" i="71"/>
  <c r="P36" i="71"/>
  <c r="O36" i="71"/>
  <c r="N36" i="71"/>
  <c r="Q35" i="71"/>
  <c r="AB35" i="71"/>
  <c r="P35" i="71"/>
  <c r="O35" i="71"/>
  <c r="N35" i="71"/>
  <c r="Q34" i="71"/>
  <c r="AB34" i="71" s="1"/>
  <c r="P34" i="71"/>
  <c r="O34" i="71"/>
  <c r="N34" i="71"/>
  <c r="Q33" i="7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s="1"/>
  <c r="B32" i="71" s="1"/>
  <c r="S32" i="71" s="1"/>
  <c r="E30" i="71"/>
  <c r="E31" i="71" s="1"/>
  <c r="E32" i="71" s="1"/>
  <c r="U32" i="71" s="1"/>
  <c r="E34" i="71"/>
  <c r="C34" i="71"/>
  <c r="D34" i="71" s="1"/>
  <c r="P28" i="71"/>
  <c r="U68" i="71"/>
  <c r="E67" i="71"/>
  <c r="E66" i="71" s="1"/>
  <c r="Q28" i="71"/>
  <c r="C63" i="71"/>
  <c r="C64" i="71" s="1"/>
  <c r="D62" i="71"/>
  <c r="T68" i="71"/>
  <c r="C67" i="71"/>
  <c r="D67" i="71" s="1"/>
  <c r="Q68" i="71"/>
  <c r="E71" i="71"/>
  <c r="E70" i="71"/>
  <c r="C75" i="71"/>
  <c r="C74" i="71" s="1"/>
  <c r="D74" i="71" s="1"/>
  <c r="F28" i="71"/>
  <c r="F27" i="71" s="1"/>
  <c r="F26" i="71" s="1"/>
  <c r="D63" i="71"/>
  <c r="D75" i="7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S21" i="34" s="1"/>
  <c r="AA21" i="34"/>
  <c r="C21" i="34"/>
  <c r="Q21" i="33"/>
  <c r="Z21" i="33" s="1"/>
  <c r="D83" i="33"/>
  <c r="E83" i="33" s="1"/>
  <c r="F83" i="33" s="1"/>
  <c r="G83" i="33" s="1"/>
  <c r="C21" i="33"/>
  <c r="C21" i="21"/>
  <c r="Q21" i="21"/>
  <c r="Z21" i="21" s="1"/>
  <c r="H19" i="21"/>
  <c r="D83" i="21"/>
  <c r="E83" i="21" s="1"/>
  <c r="F83" i="21" s="1"/>
  <c r="F21" i="21"/>
  <c r="AA21" i="21" s="1"/>
  <c r="D81" i="21"/>
  <c r="G20" i="20"/>
  <c r="C25" i="40" s="1"/>
  <c r="B88" i="43"/>
  <c r="C22" i="20"/>
  <c r="B100" i="43" s="1"/>
  <c r="B68" i="43"/>
  <c r="C29" i="39"/>
  <c r="H25" i="40"/>
  <c r="AB25" i="40" s="1"/>
  <c r="J25" i="40"/>
  <c r="W25" i="40" s="1"/>
  <c r="H29" i="39"/>
  <c r="AB29" i="39" s="1"/>
  <c r="J29" i="39"/>
  <c r="J18" i="36"/>
  <c r="AC18" i="36" s="1"/>
  <c r="H18" i="35"/>
  <c r="AB18" i="35" s="1"/>
  <c r="J18" i="35"/>
  <c r="AC18" i="35" s="1"/>
  <c r="H21" i="37"/>
  <c r="F21" i="37"/>
  <c r="H21" i="34"/>
  <c r="H21" i="33"/>
  <c r="U21" i="33" s="1"/>
  <c r="F21" i="33"/>
  <c r="S21" i="33" s="1"/>
  <c r="H1" i="69"/>
  <c r="AC25" i="40"/>
  <c r="U25" i="40"/>
  <c r="U29" i="39"/>
  <c r="W18" i="36"/>
  <c r="AB21" i="37"/>
  <c r="U21" i="37"/>
  <c r="AB21" i="33"/>
  <c r="AA21" i="33"/>
  <c r="W18" i="35"/>
  <c r="J21" i="37"/>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3" s="1"/>
  <c r="E15" i="4"/>
  <c r="F8" i="1" s="1"/>
  <c r="A7" i="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4" i="31"/>
  <c r="S352" i="31"/>
  <c r="S350" i="31"/>
  <c r="S346" i="31"/>
  <c r="S344" i="31"/>
  <c r="S342" i="31"/>
  <c r="S338" i="31"/>
  <c r="S336" i="31"/>
  <c r="S334" i="31"/>
  <c r="S330" i="31"/>
  <c r="S328" i="31"/>
  <c r="S326"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6" i="31"/>
  <c r="S274" i="31"/>
  <c r="S272" i="31"/>
  <c r="S268" i="31"/>
  <c r="S266" i="31"/>
  <c r="S264" i="31"/>
  <c r="S260" i="31"/>
  <c r="S258" i="31"/>
  <c r="S256" i="31"/>
  <c r="S253" i="31"/>
  <c r="S252" i="31"/>
  <c r="S251" i="31"/>
  <c r="S249" i="31"/>
  <c r="S248" i="31"/>
  <c r="S247" i="31"/>
  <c r="S245" i="31"/>
  <c r="S244" i="31"/>
  <c r="S243" i="31"/>
  <c r="S241" i="31"/>
  <c r="S240" i="31"/>
  <c r="S239" i="31"/>
  <c r="S237" i="31"/>
  <c r="S236" i="31"/>
  <c r="S235"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S5" i="3" s="1"/>
  <c r="BT493" i="3"/>
  <c r="H494" i="3"/>
  <c r="AC494" i="3"/>
  <c r="G494" i="3" s="1"/>
  <c r="BB494" i="3"/>
  <c r="BA494" i="3" s="1"/>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C5" i="3" s="1"/>
  <c r="BD496" i="3"/>
  <c r="BE496" i="3"/>
  <c r="BF496" i="3"/>
  <c r="BG496" i="3"/>
  <c r="BG5" i="3" s="1"/>
  <c r="BH496" i="3"/>
  <c r="BI496" i="3"/>
  <c r="BJ496" i="3"/>
  <c r="BK496" i="3"/>
  <c r="BM496" i="3"/>
  <c r="BN496" i="3"/>
  <c r="BO496" i="3"/>
  <c r="BP496" i="3"/>
  <c r="BP5" i="3" s="1"/>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H5" i="3" s="1"/>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A501" i="3" s="1"/>
  <c r="AZ501" i="3" s="1"/>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AZ504" i="3" s="1"/>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L509" i="3" s="1"/>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A516" i="3" s="1"/>
  <c r="AZ516" i="3" s="1"/>
  <c r="BC516" i="3"/>
  <c r="BD516" i="3"/>
  <c r="BE516" i="3"/>
  <c r="BF516" i="3"/>
  <c r="BG516" i="3"/>
  <c r="BH516" i="3"/>
  <c r="BI516" i="3"/>
  <c r="BJ516" i="3"/>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L517" i="3" s="1"/>
  <c r="BP517" i="3"/>
  <c r="BR517" i="3"/>
  <c r="BS517" i="3"/>
  <c r="BT517" i="3"/>
  <c r="H518" i="3"/>
  <c r="AC518" i="3"/>
  <c r="G518" i="3" s="1"/>
  <c r="BB518" i="3"/>
  <c r="BC518" i="3"/>
  <c r="BA518" i="3" s="1"/>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A520" i="3" s="1"/>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G525" i="3" s="1"/>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L538" i="3" s="1"/>
  <c r="AZ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L540" i="3" s="1"/>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AZ554" i="3" s="1"/>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F35" i="39" s="1"/>
  <c r="AA35" i="39" s="1"/>
  <c r="B111" i="39"/>
  <c r="J30" i="36"/>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S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E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F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c r="F92" i="40" s="1"/>
  <c r="G92" i="40" s="1"/>
  <c r="D90" i="40"/>
  <c r="E90" i="40" s="1"/>
  <c r="F90" i="40" s="1"/>
  <c r="G90" i="40" s="1"/>
  <c r="D88" i="40"/>
  <c r="E88" i="40"/>
  <c r="D86" i="40"/>
  <c r="E86" i="40" s="1"/>
  <c r="F86" i="40" s="1"/>
  <c r="G86" i="40" s="1"/>
  <c r="D84" i="40"/>
  <c r="E84" i="40" s="1"/>
  <c r="F84" i="40" s="1"/>
  <c r="G84" i="40" s="1"/>
  <c r="B81" i="40"/>
  <c r="F14" i="40" s="1"/>
  <c r="AA14" i="40" s="1"/>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H38" i="40"/>
  <c r="AB38" i="40" s="1"/>
  <c r="Q37" i="40"/>
  <c r="Z37" i="40" s="1"/>
  <c r="Q36" i="40"/>
  <c r="Z36" i="40" s="1"/>
  <c r="Q35" i="40"/>
  <c r="Z35" i="40"/>
  <c r="Q34" i="40"/>
  <c r="Z34" i="40" s="1"/>
  <c r="J34" i="40"/>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c r="D92" i="39"/>
  <c r="E92" i="39" s="1"/>
  <c r="F92" i="39" s="1"/>
  <c r="G92" i="39" s="1"/>
  <c r="D90" i="39"/>
  <c r="E90" i="39"/>
  <c r="F90" i="39" s="1"/>
  <c r="G90" i="39" s="1"/>
  <c r="D88" i="39"/>
  <c r="E88" i="39" s="1"/>
  <c r="F88" i="39" s="1"/>
  <c r="G88" i="39" s="1"/>
  <c r="B85" i="39"/>
  <c r="F14" i="39" s="1"/>
  <c r="S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s="1"/>
  <c r="U25" i="37" s="1"/>
  <c r="B110" i="37"/>
  <c r="J39" i="37" s="1"/>
  <c r="AC39" i="37" s="1"/>
  <c r="B108" i="37"/>
  <c r="H38" i="37" s="1"/>
  <c r="C23" i="37"/>
  <c r="C19" i="37"/>
  <c r="C17" i="37"/>
  <c r="C15" i="37"/>
  <c r="B112" i="37"/>
  <c r="J40" i="37" s="1"/>
  <c r="AC40" i="37" s="1"/>
  <c r="D107" i="37"/>
  <c r="E107" i="37"/>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B86" i="37"/>
  <c r="H28" i="37" s="1"/>
  <c r="B84" i="37"/>
  <c r="H27" i="37" s="1"/>
  <c r="U27" i="37"/>
  <c r="B82" i="37"/>
  <c r="H26" i="37" s="1"/>
  <c r="AB26" i="37" s="1"/>
  <c r="D79" i="37"/>
  <c r="E79" i="37" s="1"/>
  <c r="D75" i="37"/>
  <c r="E75" i="37"/>
  <c r="D73" i="37"/>
  <c r="E73" i="37" s="1"/>
  <c r="F73" i="37" s="1"/>
  <c r="D71" i="37"/>
  <c r="E71" i="37" s="1"/>
  <c r="F71" i="37" s="1"/>
  <c r="G71" i="37" s="1"/>
  <c r="H15" i="37"/>
  <c r="AB15" i="37" s="1"/>
  <c r="B68" i="37"/>
  <c r="H14" i="37" s="1"/>
  <c r="AB14" i="37" s="1"/>
  <c r="B66" i="37"/>
  <c r="J13" i="37" s="1"/>
  <c r="W13" i="37" s="1"/>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Q28" i="37"/>
  <c r="Z28" i="37"/>
  <c r="Q27" i="37"/>
  <c r="Z27" i="37" s="1"/>
  <c r="Q26" i="37"/>
  <c r="Z26" i="37" s="1"/>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F34" i="36" s="1"/>
  <c r="S34" i="36" s="1"/>
  <c r="H34" i="36"/>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H25" i="36" s="1"/>
  <c r="U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F11" i="36" s="1"/>
  <c r="AA11" i="36" s="1"/>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s="1"/>
  <c r="Q25" i="36"/>
  <c r="Z25" i="36" s="1"/>
  <c r="Q24" i="36"/>
  <c r="Z24" i="36"/>
  <c r="H24" i="36"/>
  <c r="AB24" i="36" s="1"/>
  <c r="Q23" i="36"/>
  <c r="Z23" i="36"/>
  <c r="Q22" i="36"/>
  <c r="Z22" i="36" s="1"/>
  <c r="J22" i="36"/>
  <c r="AC22" i="36"/>
  <c r="Q20" i="36"/>
  <c r="Z20" i="36" s="1"/>
  <c r="Q16" i="36"/>
  <c r="Z16" i="36"/>
  <c r="Q14" i="36"/>
  <c r="Z14" i="36" s="1"/>
  <c r="Q13" i="36"/>
  <c r="Z13" i="36"/>
  <c r="Q12" i="36"/>
  <c r="Z12" i="36" s="1"/>
  <c r="Q11" i="36"/>
  <c r="Z11" i="36"/>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J36" i="35" s="1"/>
  <c r="AC36" i="35" s="1"/>
  <c r="H36" i="35"/>
  <c r="AB36" i="35" s="1"/>
  <c r="B99" i="35"/>
  <c r="H35" i="35" s="1"/>
  <c r="B97" i="35"/>
  <c r="B77" i="35"/>
  <c r="B75" i="35"/>
  <c r="J24" i="35" s="1"/>
  <c r="AC24" i="35" s="1"/>
  <c r="B73" i="35"/>
  <c r="J23" i="35" s="1"/>
  <c r="AC23" i="35" s="1"/>
  <c r="H23" i="35"/>
  <c r="U23" i="35" s="1"/>
  <c r="B57" i="35"/>
  <c r="B61" i="35"/>
  <c r="J13" i="35" s="1"/>
  <c r="AC13" i="35" s="1"/>
  <c r="B59" i="35"/>
  <c r="F12" i="35" s="1"/>
  <c r="B131" i="34"/>
  <c r="F47" i="34" s="1"/>
  <c r="S47" i="34" s="1"/>
  <c r="B129" i="34"/>
  <c r="B127" i="34"/>
  <c r="J45" i="34" s="1"/>
  <c r="AC45" i="34" s="1"/>
  <c r="B99" i="34"/>
  <c r="F32" i="34" s="1"/>
  <c r="B97" i="34"/>
  <c r="H31" i="34" s="1"/>
  <c r="B95" i="34"/>
  <c r="B93" i="34"/>
  <c r="F29" i="34" s="1"/>
  <c r="S29" i="34" s="1"/>
  <c r="B75" i="34"/>
  <c r="J14" i="34" s="1"/>
  <c r="B73" i="34"/>
  <c r="H13" i="34" s="1"/>
  <c r="U13" i="34" s="1"/>
  <c r="B71" i="34"/>
  <c r="J12" i="34" s="1"/>
  <c r="W12" i="34" s="1"/>
  <c r="B130" i="33"/>
  <c r="B128" i="33"/>
  <c r="H45" i="33" s="1"/>
  <c r="U45" i="33" s="1"/>
  <c r="B126" i="33"/>
  <c r="H44" i="33" s="1"/>
  <c r="AB44" i="33" s="1"/>
  <c r="B98" i="33"/>
  <c r="B96" i="33"/>
  <c r="H30" i="33" s="1"/>
  <c r="AB30" i="33" s="1"/>
  <c r="B94" i="33"/>
  <c r="F29" i="33" s="1"/>
  <c r="S29" i="33" s="1"/>
  <c r="B74" i="33"/>
  <c r="B72" i="33"/>
  <c r="B70" i="33"/>
  <c r="J12" i="33"/>
  <c r="AC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Q33" i="35"/>
  <c r="Z33" i="35" s="1"/>
  <c r="Q32" i="35"/>
  <c r="Z32" i="35"/>
  <c r="H32" i="35"/>
  <c r="AB32" i="35" s="1"/>
  <c r="F32" i="35"/>
  <c r="AA32" i="35" s="1"/>
  <c r="Q31" i="35"/>
  <c r="Z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D121" i="33"/>
  <c r="E121" i="33"/>
  <c r="F109" i="33"/>
  <c r="E109" i="33"/>
  <c r="D109" i="33"/>
  <c r="C109" i="33"/>
  <c r="D91" i="33"/>
  <c r="E91" i="33"/>
  <c r="F91" i="33" s="1"/>
  <c r="B88" i="33"/>
  <c r="F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c r="J39" i="33"/>
  <c r="AC39" i="33"/>
  <c r="Q38" i="33"/>
  <c r="Z38" i="33"/>
  <c r="J38" i="33"/>
  <c r="AC38" i="33"/>
  <c r="H38" i="33"/>
  <c r="U38" i="33" s="1"/>
  <c r="AB38" i="33"/>
  <c r="F38" i="33"/>
  <c r="AA38" i="33"/>
  <c r="Q37" i="33"/>
  <c r="Z37" i="33"/>
  <c r="Q36" i="33"/>
  <c r="Z36" i="33"/>
  <c r="Q35" i="33"/>
  <c r="Z35" i="33"/>
  <c r="H35" i="33"/>
  <c r="AB35" i="33"/>
  <c r="Q34" i="33"/>
  <c r="Z34" i="33"/>
  <c r="Q33" i="33"/>
  <c r="Z33" i="33"/>
  <c r="J33" i="33"/>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S42" i="21" s="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H46" i="21" s="1"/>
  <c r="U46" i="21" s="1"/>
  <c r="B128" i="21"/>
  <c r="F45" i="21" s="1"/>
  <c r="AA45" i="21" s="1"/>
  <c r="B126" i="21"/>
  <c r="B98" i="21"/>
  <c r="H31" i="21"/>
  <c r="U31" i="21" s="1"/>
  <c r="B96" i="21"/>
  <c r="B94" i="21"/>
  <c r="J29" i="21" s="1"/>
  <c r="AC29" i="21" s="1"/>
  <c r="B92" i="21"/>
  <c r="J28" i="21" s="1"/>
  <c r="W28" i="21" s="1"/>
  <c r="B90" i="21"/>
  <c r="B74" i="2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J10" i="21"/>
  <c r="AC10" i="21" s="1"/>
  <c r="H26" i="21"/>
  <c r="AB26" i="21" s="1"/>
  <c r="AB19" i="21"/>
  <c r="J19" i="21"/>
  <c r="J26" i="21"/>
  <c r="W26" i="21"/>
  <c r="F26" i="21"/>
  <c r="S26" i="21" s="1"/>
  <c r="S41" i="21"/>
  <c r="AA41" i="21"/>
  <c r="F45" i="39"/>
  <c r="S45" i="39"/>
  <c r="J45" i="39"/>
  <c r="W45" i="39" s="1"/>
  <c r="J44" i="39"/>
  <c r="AC44" i="39" s="1"/>
  <c r="H36" i="39"/>
  <c r="AB36" i="39" s="1"/>
  <c r="J35" i="39"/>
  <c r="AC35" i="39" s="1"/>
  <c r="U9" i="39"/>
  <c r="W40" i="39"/>
  <c r="W25" i="37"/>
  <c r="U30" i="37"/>
  <c r="W31" i="37"/>
  <c r="F39" i="37"/>
  <c r="S39" i="37" s="1"/>
  <c r="F29" i="36"/>
  <c r="AA29" i="36" s="1"/>
  <c r="F16" i="36"/>
  <c r="W28" i="36"/>
  <c r="H22" i="35"/>
  <c r="U22" i="35" s="1"/>
  <c r="W28" i="35"/>
  <c r="U31" i="35"/>
  <c r="W22" i="35"/>
  <c r="F36" i="34"/>
  <c r="AA36" i="34" s="1"/>
  <c r="J35" i="34"/>
  <c r="H39" i="33"/>
  <c r="AB39" i="33"/>
  <c r="U33" i="33"/>
  <c r="U35" i="33"/>
  <c r="W39" i="33"/>
  <c r="H39" i="37"/>
  <c r="AB39" i="37" s="1"/>
  <c r="F11" i="40"/>
  <c r="AA11" i="40"/>
  <c r="H11" i="40"/>
  <c r="AB11" i="40" s="1"/>
  <c r="W8" i="40"/>
  <c r="AB39" i="40"/>
  <c r="U38" i="40"/>
  <c r="W31" i="40"/>
  <c r="U34" i="40"/>
  <c r="F42" i="39"/>
  <c r="AA42" i="39" s="1"/>
  <c r="F41" i="39"/>
  <c r="S41" i="39" s="1"/>
  <c r="H40" i="39"/>
  <c r="H39" i="39"/>
  <c r="U39" i="39" s="1"/>
  <c r="S34" i="39"/>
  <c r="H34" i="39"/>
  <c r="U34" i="39" s="1"/>
  <c r="E100" i="39"/>
  <c r="F100" i="39" s="1"/>
  <c r="H19" i="39"/>
  <c r="AB19" i="39" s="1"/>
  <c r="F19" i="39"/>
  <c r="AA19" i="39" s="1"/>
  <c r="H17" i="39"/>
  <c r="AB17" i="39" s="1"/>
  <c r="F17" i="39"/>
  <c r="AA17" i="39" s="1"/>
  <c r="J23" i="40"/>
  <c r="AC23" i="40" s="1"/>
  <c r="F21" i="40"/>
  <c r="AA21" i="40" s="1"/>
  <c r="J21" i="40"/>
  <c r="H42" i="39"/>
  <c r="AB42" i="39" s="1"/>
  <c r="J34" i="39"/>
  <c r="AC34" i="39" s="1"/>
  <c r="J31" i="39"/>
  <c r="W31" i="39" s="1"/>
  <c r="H27" i="39"/>
  <c r="U27" i="39" s="1"/>
  <c r="J19" i="39"/>
  <c r="AC19" i="39" s="1"/>
  <c r="J17" i="39"/>
  <c r="J27" i="39"/>
  <c r="AC27" i="39" s="1"/>
  <c r="F27" i="39"/>
  <c r="F11" i="21"/>
  <c r="S11" i="21" s="1"/>
  <c r="S40" i="21"/>
  <c r="U34" i="21"/>
  <c r="H11" i="39"/>
  <c r="S40" i="39"/>
  <c r="H32" i="33"/>
  <c r="AB32" i="33" s="1"/>
  <c r="H11" i="21"/>
  <c r="U11" i="21" s="1"/>
  <c r="J11" i="21"/>
  <c r="W11" i="21" s="1"/>
  <c r="H37" i="40"/>
  <c r="H36" i="40"/>
  <c r="AB36" i="40" s="1"/>
  <c r="F35" i="40"/>
  <c r="AA35" i="40"/>
  <c r="H23" i="40"/>
  <c r="AB23" i="40" s="1"/>
  <c r="H17" i="40"/>
  <c r="U17" i="40" s="1"/>
  <c r="J15" i="40"/>
  <c r="W15" i="40" s="1"/>
  <c r="J11" i="40"/>
  <c r="W11" i="40"/>
  <c r="AC12" i="34"/>
  <c r="AB12" i="36"/>
  <c r="W32" i="40"/>
  <c r="J34" i="36"/>
  <c r="W34" i="36" s="1"/>
  <c r="U30" i="36"/>
  <c r="J30" i="35"/>
  <c r="W30" i="35" s="1"/>
  <c r="H30" i="35"/>
  <c r="AB30" i="35" s="1"/>
  <c r="F22" i="35"/>
  <c r="AA22" i="35" s="1"/>
  <c r="H10" i="35"/>
  <c r="U10" i="35" s="1"/>
  <c r="F33" i="36"/>
  <c r="H16" i="36"/>
  <c r="AB16" i="36" s="1"/>
  <c r="E85" i="36"/>
  <c r="F85" i="36" s="1"/>
  <c r="G85" i="36" s="1"/>
  <c r="H85" i="36" s="1"/>
  <c r="I85" i="36" s="1"/>
  <c r="J85" i="36" s="1"/>
  <c r="K85" i="36" s="1"/>
  <c r="L85" i="36" s="1"/>
  <c r="M85" i="36" s="1"/>
  <c r="J29" i="36"/>
  <c r="AC29" i="36" s="1"/>
  <c r="F12" i="36"/>
  <c r="S12" i="36" s="1"/>
  <c r="F24" i="36"/>
  <c r="AA24" i="36" s="1"/>
  <c r="F14" i="35"/>
  <c r="AA14" i="35" s="1"/>
  <c r="F23" i="35"/>
  <c r="AA23" i="35" s="1"/>
  <c r="J32" i="35"/>
  <c r="AC32" i="35" s="1"/>
  <c r="J16" i="35"/>
  <c r="AC16" i="35" s="1"/>
  <c r="H16" i="35"/>
  <c r="U16" i="35" s="1"/>
  <c r="F16" i="35"/>
  <c r="S16" i="35" s="1"/>
  <c r="H14" i="35"/>
  <c r="AB14" i="35" s="1"/>
  <c r="J29" i="35"/>
  <c r="H33" i="35"/>
  <c r="J20" i="35"/>
  <c r="F35" i="37"/>
  <c r="S35" i="37" s="1"/>
  <c r="E101" i="37"/>
  <c r="F101" i="37"/>
  <c r="G101" i="37" s="1"/>
  <c r="H101" i="37" s="1"/>
  <c r="I101" i="37" s="1"/>
  <c r="J101" i="37" s="1"/>
  <c r="K101" i="37" s="1"/>
  <c r="L101" i="37" s="1"/>
  <c r="M101" i="37" s="1"/>
  <c r="J34" i="37"/>
  <c r="W34" i="37" s="1"/>
  <c r="J33" i="37"/>
  <c r="AC33" i="37" s="1"/>
  <c r="U42" i="34"/>
  <c r="H40" i="34"/>
  <c r="U40" i="34" s="1"/>
  <c r="H36" i="34"/>
  <c r="U36" i="34" s="1"/>
  <c r="F37" i="34"/>
  <c r="AA37" i="34" s="1"/>
  <c r="S35" i="34"/>
  <c r="F25" i="34"/>
  <c r="S25" i="34" s="1"/>
  <c r="H23" i="34"/>
  <c r="U23" i="34" s="1"/>
  <c r="J23" i="34"/>
  <c r="W23" i="34" s="1"/>
  <c r="F19" i="34"/>
  <c r="H17" i="34"/>
  <c r="F15" i="34"/>
  <c r="AA15" i="34" s="1"/>
  <c r="J15" i="34"/>
  <c r="H15" i="34"/>
  <c r="AB15" i="34" s="1"/>
  <c r="W8" i="34"/>
  <c r="J28" i="34"/>
  <c r="F41" i="33"/>
  <c r="S38" i="33"/>
  <c r="F32" i="33"/>
  <c r="J19" i="33"/>
  <c r="AC19" i="33" s="1"/>
  <c r="J15" i="33"/>
  <c r="AC15" i="33" s="1"/>
  <c r="F11" i="33"/>
  <c r="AA11" i="33" s="1"/>
  <c r="W40" i="33"/>
  <c r="F37" i="40"/>
  <c r="AA37" i="40" s="1"/>
  <c r="F36" i="40"/>
  <c r="AA36" i="40" s="1"/>
  <c r="H28" i="40"/>
  <c r="U28" i="40" s="1"/>
  <c r="F23" i="40"/>
  <c r="AA23" i="40" s="1"/>
  <c r="F17" i="40"/>
  <c r="AA17" i="40" s="1"/>
  <c r="J17" i="40"/>
  <c r="AC17" i="40" s="1"/>
  <c r="W17" i="40"/>
  <c r="F15" i="40"/>
  <c r="H15" i="40"/>
  <c r="AB15" i="40" s="1"/>
  <c r="AC11" i="40"/>
  <c r="AA12" i="36"/>
  <c r="AB30" i="36"/>
  <c r="F29" i="35"/>
  <c r="S29" i="35" s="1"/>
  <c r="H29" i="35"/>
  <c r="AB29" i="35" s="1"/>
  <c r="H33" i="37"/>
  <c r="F33" i="37"/>
  <c r="AA33" i="37" s="1"/>
  <c r="S34" i="37"/>
  <c r="AA34" i="37"/>
  <c r="J43" i="34"/>
  <c r="AB42" i="34"/>
  <c r="J40" i="34"/>
  <c r="AC40" i="34" s="1"/>
  <c r="H38" i="34"/>
  <c r="AB38" i="34" s="1"/>
  <c r="J36" i="34"/>
  <c r="W36" i="34" s="1"/>
  <c r="H37" i="34"/>
  <c r="U37" i="34" s="1"/>
  <c r="H25" i="34"/>
  <c r="AB25" i="34" s="1"/>
  <c r="J25" i="34"/>
  <c r="AB23"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29" i="35"/>
  <c r="AA42" i="34"/>
  <c r="J37" i="34"/>
  <c r="AC37" i="34" s="1"/>
  <c r="J11" i="33"/>
  <c r="W11" i="33" s="1"/>
  <c r="J42" i="21"/>
  <c r="W42" i="21" s="1"/>
  <c r="AC42" i="21"/>
  <c r="H42" i="21"/>
  <c r="U42" i="21" s="1"/>
  <c r="J44" i="34"/>
  <c r="F44" i="34"/>
  <c r="S44" i="34" s="1"/>
  <c r="AA44" i="34"/>
  <c r="J10" i="35"/>
  <c r="AC10" i="35" s="1"/>
  <c r="H28" i="21"/>
  <c r="AB28" i="21" s="1"/>
  <c r="F28" i="21"/>
  <c r="AA28" i="21" s="1"/>
  <c r="J30" i="21"/>
  <c r="AC30" i="21" s="1"/>
  <c r="J44" i="21"/>
  <c r="AC44" i="21" s="1"/>
  <c r="H44" i="21"/>
  <c r="U44" i="21" s="1"/>
  <c r="F44" i="21"/>
  <c r="AA44" i="21" s="1"/>
  <c r="J46" i="21"/>
  <c r="F46" i="21"/>
  <c r="H26" i="33"/>
  <c r="AB26" i="33" s="1"/>
  <c r="U26" i="33"/>
  <c r="H28" i="33"/>
  <c r="J28" i="33"/>
  <c r="W28" i="33" s="1"/>
  <c r="F33" i="35"/>
  <c r="S33" i="35" s="1"/>
  <c r="J33" i="35"/>
  <c r="AC33" i="35" s="1"/>
  <c r="F30" i="35"/>
  <c r="S30" i="35" s="1"/>
  <c r="H10" i="36"/>
  <c r="AB10" i="36" s="1"/>
  <c r="J14" i="36"/>
  <c r="AC14" i="36" s="1"/>
  <c r="H14" i="36"/>
  <c r="U14" i="36" s="1"/>
  <c r="F28" i="36"/>
  <c r="AA28" i="36" s="1"/>
  <c r="J13" i="21"/>
  <c r="AC13" i="21" s="1"/>
  <c r="H29" i="21"/>
  <c r="U29" i="21" s="1"/>
  <c r="J31" i="21"/>
  <c r="AC31" i="21" s="1"/>
  <c r="F31" i="21"/>
  <c r="S31" i="21" s="1"/>
  <c r="F27" i="33"/>
  <c r="AA27" i="33" s="1"/>
  <c r="J13" i="33"/>
  <c r="AC13" i="33" s="1"/>
  <c r="H13" i="33"/>
  <c r="U13" i="33" s="1"/>
  <c r="F13" i="33"/>
  <c r="S13" i="33" s="1"/>
  <c r="J29" i="33"/>
  <c r="H29" i="33"/>
  <c r="U29" i="33" s="1"/>
  <c r="J31" i="33"/>
  <c r="W31" i="33" s="1"/>
  <c r="H31" i="33"/>
  <c r="F31" i="33"/>
  <c r="J45" i="33"/>
  <c r="F45" i="33"/>
  <c r="F14" i="34"/>
  <c r="H14" i="34"/>
  <c r="U14" i="34" s="1"/>
  <c r="H30" i="34"/>
  <c r="F30" i="34"/>
  <c r="S30" i="34" s="1"/>
  <c r="J30" i="34"/>
  <c r="H32" i="34"/>
  <c r="J32" i="34"/>
  <c r="W32" i="34" s="1"/>
  <c r="H46" i="34"/>
  <c r="U46" i="34" s="1"/>
  <c r="F46" i="34"/>
  <c r="S46" i="34" s="1"/>
  <c r="J46" i="34"/>
  <c r="H11" i="35"/>
  <c r="AB11" i="35" s="1"/>
  <c r="J11" i="35"/>
  <c r="F11" i="35"/>
  <c r="S11" i="35" s="1"/>
  <c r="J26" i="36"/>
  <c r="W26" i="36" s="1"/>
  <c r="H28" i="36"/>
  <c r="U28" i="36" s="1"/>
  <c r="H32" i="36"/>
  <c r="AB32" i="36" s="1"/>
  <c r="J32" i="36"/>
  <c r="W32" i="36" s="1"/>
  <c r="J11" i="36"/>
  <c r="AC11" i="36" s="1"/>
  <c r="H11" i="36"/>
  <c r="U11" i="36" s="1"/>
  <c r="F13" i="36"/>
  <c r="S13" i="36" s="1"/>
  <c r="F89" i="37"/>
  <c r="G89" i="37" s="1"/>
  <c r="H89" i="37" s="1"/>
  <c r="I89" i="37" s="1"/>
  <c r="J89" i="37" s="1"/>
  <c r="K89" i="37" s="1"/>
  <c r="L89" i="37" s="1"/>
  <c r="M89" i="37" s="1"/>
  <c r="J29" i="37"/>
  <c r="W29" i="37" s="1"/>
  <c r="F29" i="37"/>
  <c r="S29" i="37" s="1"/>
  <c r="H36" i="37"/>
  <c r="AB36" i="37" s="1"/>
  <c r="F107" i="37"/>
  <c r="J37" i="37"/>
  <c r="AC37" i="37" s="1"/>
  <c r="H37" i="37"/>
  <c r="U37" i="37" s="1"/>
  <c r="H14" i="33"/>
  <c r="U14" i="33" s="1"/>
  <c r="F14" i="33"/>
  <c r="S14" i="33" s="1"/>
  <c r="J14" i="33"/>
  <c r="W14" i="33" s="1"/>
  <c r="F30" i="33"/>
  <c r="AA30" i="33" s="1"/>
  <c r="J30" i="33"/>
  <c r="W30" i="33" s="1"/>
  <c r="J44" i="33"/>
  <c r="AC44" i="33" s="1"/>
  <c r="F44" i="33"/>
  <c r="J46" i="33"/>
  <c r="AC46" i="33" s="1"/>
  <c r="F46" i="33"/>
  <c r="AA46" i="33" s="1"/>
  <c r="H46" i="33"/>
  <c r="AB46" i="33" s="1"/>
  <c r="J13" i="34"/>
  <c r="W13" i="34" s="1"/>
  <c r="F13" i="34"/>
  <c r="AA13" i="34" s="1"/>
  <c r="J29" i="34"/>
  <c r="AC29" i="34" s="1"/>
  <c r="H29" i="34"/>
  <c r="AB29" i="34" s="1"/>
  <c r="J31" i="34"/>
  <c r="AC31" i="34"/>
  <c r="F31" i="34"/>
  <c r="S31" i="34" s="1"/>
  <c r="H45" i="34"/>
  <c r="U45" i="34" s="1"/>
  <c r="W45" i="34"/>
  <c r="F45" i="34"/>
  <c r="S45" i="34" s="1"/>
  <c r="H47" i="34"/>
  <c r="J47" i="34"/>
  <c r="W47" i="34" s="1"/>
  <c r="AC47" i="34"/>
  <c r="F13" i="35"/>
  <c r="H13" i="35"/>
  <c r="U13" i="35" s="1"/>
  <c r="J25" i="35"/>
  <c r="W25" i="35"/>
  <c r="F25" i="35"/>
  <c r="S25" i="35" s="1"/>
  <c r="H25" i="35"/>
  <c r="J35" i="35"/>
  <c r="F35" i="35"/>
  <c r="AA35" i="35" s="1"/>
  <c r="J25" i="36"/>
  <c r="F25" i="36"/>
  <c r="S25" i="36" s="1"/>
  <c r="H13" i="37"/>
  <c r="AB13" i="37" s="1"/>
  <c r="F13" i="37"/>
  <c r="F28" i="37"/>
  <c r="AA28" i="37" s="1"/>
  <c r="AB38" i="37"/>
  <c r="J38" i="37"/>
  <c r="AC38" i="37" s="1"/>
  <c r="F38" i="37"/>
  <c r="F43" i="39"/>
  <c r="AA43" i="39" s="1"/>
  <c r="H43" i="39"/>
  <c r="U43" i="39" s="1"/>
  <c r="J14" i="39"/>
  <c r="AC14" i="39" s="1"/>
  <c r="F12" i="40"/>
  <c r="S12" i="40" s="1"/>
  <c r="H30" i="40"/>
  <c r="AB30" i="40"/>
  <c r="J35" i="40"/>
  <c r="J37" i="40"/>
  <c r="W37" i="40" s="1"/>
  <c r="AC37" i="40"/>
  <c r="F13" i="40"/>
  <c r="AA13" i="40" s="1"/>
  <c r="F14" i="37"/>
  <c r="F27" i="37"/>
  <c r="F13" i="39"/>
  <c r="AA13" i="39" s="1"/>
  <c r="J13" i="39"/>
  <c r="W13" i="39" s="1"/>
  <c r="H13" i="39"/>
  <c r="H14" i="40"/>
  <c r="J14" i="40"/>
  <c r="W14" i="40" s="1"/>
  <c r="J14" i="37"/>
  <c r="J27" i="37"/>
  <c r="AC27" i="37" s="1"/>
  <c r="U46" i="33"/>
  <c r="J36" i="37"/>
  <c r="AC36" i="37" s="1"/>
  <c r="J10" i="36"/>
  <c r="AC10" i="36" s="1"/>
  <c r="W31" i="34"/>
  <c r="S11" i="36"/>
  <c r="AB45" i="33"/>
  <c r="AC28" i="21"/>
  <c r="F17" i="21"/>
  <c r="AA17" i="21" s="1"/>
  <c r="H17" i="21"/>
  <c r="AB17" i="21" s="1"/>
  <c r="F15" i="21"/>
  <c r="S15" i="21" s="1"/>
  <c r="J41" i="39"/>
  <c r="W41" i="39" s="1"/>
  <c r="W44" i="39"/>
  <c r="S35" i="39"/>
  <c r="G532" i="3"/>
  <c r="G527" i="3"/>
  <c r="G523" i="3"/>
  <c r="G510" i="3"/>
  <c r="G508" i="3"/>
  <c r="G496" i="3"/>
  <c r="G584" i="3"/>
  <c r="G576" i="3"/>
  <c r="G572" i="3"/>
  <c r="G568" i="3"/>
  <c r="G560" i="3"/>
  <c r="G554" i="3"/>
  <c r="BL580" i="3"/>
  <c r="BL576" i="3"/>
  <c r="BL572" i="3"/>
  <c r="BL564" i="3"/>
  <c r="BL560" i="3"/>
  <c r="BL554" i="3"/>
  <c r="BL542" i="3"/>
  <c r="BL522" i="3"/>
  <c r="BL516" i="3"/>
  <c r="BL582" i="3"/>
  <c r="BL578" i="3"/>
  <c r="BL574" i="3"/>
  <c r="BL566" i="3"/>
  <c r="BL562" i="3"/>
  <c r="BL556" i="3"/>
  <c r="BL532" i="3"/>
  <c r="BL528" i="3"/>
  <c r="BL504" i="3"/>
  <c r="BL500" i="3"/>
  <c r="BA584" i="3"/>
  <c r="BA582" i="3"/>
  <c r="AZ582" i="3" s="1"/>
  <c r="BA580" i="3"/>
  <c r="AZ580" i="3" s="1"/>
  <c r="BA576" i="3"/>
  <c r="BA574" i="3"/>
  <c r="AZ574" i="3" s="1"/>
  <c r="BA572" i="3"/>
  <c r="BA568" i="3"/>
  <c r="BA566" i="3"/>
  <c r="BA564" i="3"/>
  <c r="BA560" i="3"/>
  <c r="BA558" i="3"/>
  <c r="AZ558" i="3" s="1"/>
  <c r="BA556" i="3"/>
  <c r="BA552" i="3"/>
  <c r="BA548" i="3"/>
  <c r="BA544" i="3"/>
  <c r="BA536" i="3"/>
  <c r="BA526" i="3"/>
  <c r="BA524" i="3"/>
  <c r="BA512" i="3"/>
  <c r="AZ512" i="3"/>
  <c r="BA502" i="3"/>
  <c r="BA496" i="3"/>
  <c r="BA583" i="3"/>
  <c r="BA581" i="3"/>
  <c r="BA579" i="3"/>
  <c r="BA575" i="3"/>
  <c r="BA573" i="3"/>
  <c r="BA571" i="3"/>
  <c r="BA567" i="3"/>
  <c r="BA565" i="3"/>
  <c r="BA563" i="3"/>
  <c r="BA559" i="3"/>
  <c r="BA555" i="3"/>
  <c r="BA553" i="3"/>
  <c r="BA543" i="3"/>
  <c r="BA539" i="3"/>
  <c r="BA529" i="3"/>
  <c r="BA527" i="3"/>
  <c r="BA513" i="3"/>
  <c r="BA507" i="3"/>
  <c r="BA495" i="3"/>
  <c r="BA493" i="3"/>
  <c r="G583" i="3"/>
  <c r="G579" i="3"/>
  <c r="G577" i="3"/>
  <c r="G575" i="3"/>
  <c r="G571" i="3"/>
  <c r="G569" i="3"/>
  <c r="G567" i="3"/>
  <c r="G563" i="3"/>
  <c r="G561" i="3"/>
  <c r="BL558" i="3"/>
  <c r="AC557" i="3"/>
  <c r="G557" i="3" s="1"/>
  <c r="BQ557" i="3"/>
  <c r="BL557" i="3" s="1"/>
  <c r="BQ583" i="3"/>
  <c r="BL583" i="3" s="1"/>
  <c r="BQ581" i="3"/>
  <c r="BL581" i="3"/>
  <c r="BQ579" i="3"/>
  <c r="BL579" i="3" s="1"/>
  <c r="BQ577" i="3"/>
  <c r="BL577" i="3" s="1"/>
  <c r="BQ575" i="3"/>
  <c r="BL575" i="3"/>
  <c r="BQ573" i="3"/>
  <c r="BL573" i="3" s="1"/>
  <c r="BQ571" i="3"/>
  <c r="BL571" i="3" s="1"/>
  <c r="BQ569" i="3"/>
  <c r="BQ567" i="3"/>
  <c r="BL567" i="3"/>
  <c r="BQ565" i="3"/>
  <c r="BL565" i="3" s="1"/>
  <c r="BQ563" i="3"/>
  <c r="BL563" i="3"/>
  <c r="BQ561" i="3"/>
  <c r="BQ559" i="3"/>
  <c r="BL559" i="3" s="1"/>
  <c r="AZ559" i="3" s="1"/>
  <c r="G559" i="3"/>
  <c r="G553" i="3"/>
  <c r="G549" i="3"/>
  <c r="G547" i="3"/>
  <c r="G541" i="3"/>
  <c r="G539" i="3"/>
  <c r="BQ555" i="3"/>
  <c r="BL555" i="3"/>
  <c r="BQ553" i="3"/>
  <c r="BL553" i="3" s="1"/>
  <c r="BQ551" i="3"/>
  <c r="BQ549" i="3"/>
  <c r="BQ547" i="3"/>
  <c r="BQ545" i="3"/>
  <c r="BQ543" i="3"/>
  <c r="BL543" i="3" s="1"/>
  <c r="BQ541" i="3"/>
  <c r="BQ539" i="3"/>
  <c r="BQ537" i="3"/>
  <c r="BQ535" i="3"/>
  <c r="BL535" i="3" s="1"/>
  <c r="BQ533" i="3"/>
  <c r="BQ531" i="3"/>
  <c r="BQ529" i="3"/>
  <c r="BL529" i="3"/>
  <c r="BQ527" i="3"/>
  <c r="BQ525" i="3"/>
  <c r="BQ523" i="3"/>
  <c r="BL523" i="3" s="1"/>
  <c r="AC521" i="3"/>
  <c r="BQ521" i="3"/>
  <c r="G519" i="3"/>
  <c r="G517" i="3"/>
  <c r="G511" i="3"/>
  <c r="BQ519" i="3"/>
  <c r="BL519" i="3" s="1"/>
  <c r="BQ517" i="3"/>
  <c r="BQ515" i="3"/>
  <c r="BL515" i="3" s="1"/>
  <c r="BQ513" i="3"/>
  <c r="BQ511" i="3"/>
  <c r="AC509" i="3"/>
  <c r="BQ509" i="3"/>
  <c r="G507" i="3"/>
  <c r="G503" i="3"/>
  <c r="G495" i="3"/>
  <c r="BQ507" i="3"/>
  <c r="BQ505" i="3"/>
  <c r="BQ503" i="3"/>
  <c r="BQ501" i="3"/>
  <c r="BL501" i="3"/>
  <c r="BQ499" i="3"/>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F25" i="21"/>
  <c r="S25" i="21" s="1"/>
  <c r="J25" i="21"/>
  <c r="E125" i="33"/>
  <c r="F125" i="33" s="1"/>
  <c r="G125" i="33" s="1"/>
  <c r="H43" i="33"/>
  <c r="H17" i="37"/>
  <c r="U17" i="37" s="1"/>
  <c r="AB27" i="37"/>
  <c r="U32" i="33"/>
  <c r="F39" i="33"/>
  <c r="AA39" i="33" s="1"/>
  <c r="E123" i="33"/>
  <c r="F42" i="33"/>
  <c r="AA42" i="33" s="1"/>
  <c r="H28" i="34"/>
  <c r="F14" i="36"/>
  <c r="AA14" i="36" s="1"/>
  <c r="F22" i="36"/>
  <c r="F26" i="36"/>
  <c r="S26" i="36" s="1"/>
  <c r="H27" i="34"/>
  <c r="AB27" i="34" s="1"/>
  <c r="H35" i="34"/>
  <c r="U35" i="34" s="1"/>
  <c r="F41" i="34"/>
  <c r="H41" i="34"/>
  <c r="U41" i="34" s="1"/>
  <c r="J41" i="34"/>
  <c r="AC41" i="34" s="1"/>
  <c r="F10" i="35"/>
  <c r="S10" i="35" s="1"/>
  <c r="F24" i="35"/>
  <c r="AA24" i="35"/>
  <c r="H24" i="35"/>
  <c r="AB24" i="35" s="1"/>
  <c r="H23" i="37"/>
  <c r="AB23" i="37" s="1"/>
  <c r="J32" i="37"/>
  <c r="AC32" i="37" s="1"/>
  <c r="F36" i="37"/>
  <c r="S36" i="37" s="1"/>
  <c r="AA36" i="37"/>
  <c r="F37" i="37"/>
  <c r="AA37" i="37" s="1"/>
  <c r="F31" i="40"/>
  <c r="AA31" i="40" s="1"/>
  <c r="H31" i="40"/>
  <c r="AB31" i="40" s="1"/>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W23" i="35"/>
  <c r="U26" i="37"/>
  <c r="AC36" i="34"/>
  <c r="AA13" i="33"/>
  <c r="U11" i="33"/>
  <c r="U19" i="21"/>
  <c r="W44" i="21"/>
  <c r="F43" i="33"/>
  <c r="AA43" i="33" s="1"/>
  <c r="W15" i="34"/>
  <c r="AC15" i="34"/>
  <c r="W16" i="35"/>
  <c r="G107" i="37"/>
  <c r="H107" i="37" s="1"/>
  <c r="I107" i="37" s="1"/>
  <c r="J107" i="37" s="1"/>
  <c r="K107" i="37" s="1"/>
  <c r="L107" i="37" s="1"/>
  <c r="M107" i="37" s="1"/>
  <c r="H37" i="21"/>
  <c r="U37" i="21" s="1"/>
  <c r="H19" i="34"/>
  <c r="AB19" i="34" s="1"/>
  <c r="F36" i="35"/>
  <c r="J9" i="37"/>
  <c r="W9" i="37" s="1"/>
  <c r="H9" i="37"/>
  <c r="U9" i="37" s="1"/>
  <c r="F9" i="37"/>
  <c r="S9" i="37" s="1"/>
  <c r="F15" i="37"/>
  <c r="S15" i="37" s="1"/>
  <c r="F31" i="37"/>
  <c r="F12" i="39"/>
  <c r="J42" i="39"/>
  <c r="AC42" i="39" s="1"/>
  <c r="H21" i="40"/>
  <c r="AB21" i="40" s="1"/>
  <c r="F94" i="37"/>
  <c r="G94" i="37"/>
  <c r="H94" i="37" s="1"/>
  <c r="I94" i="37" s="1"/>
  <c r="J94" i="37" s="1"/>
  <c r="K94" i="37" s="1"/>
  <c r="L94" i="37" s="1"/>
  <c r="M94" i="37" s="1"/>
  <c r="H31" i="37"/>
  <c r="U31" i="37"/>
  <c r="J15" i="37"/>
  <c r="W15" i="37"/>
  <c r="AT6" i="3"/>
  <c r="AA25" i="21"/>
  <c r="H19" i="40"/>
  <c r="U19" i="40" s="1"/>
  <c r="F88" i="40"/>
  <c r="G88" i="40" s="1"/>
  <c r="F19" i="40"/>
  <c r="S19" i="40" s="1"/>
  <c r="S14" i="40"/>
  <c r="W23" i="39"/>
  <c r="AC43" i="39"/>
  <c r="W43" i="39"/>
  <c r="U45" i="39"/>
  <c r="AB45" i="39"/>
  <c r="AB44" i="39"/>
  <c r="U44" i="39"/>
  <c r="G100" i="39"/>
  <c r="H25" i="39"/>
  <c r="AB25" i="39" s="1"/>
  <c r="J25" i="39"/>
  <c r="F25" i="39"/>
  <c r="AA25" i="39" s="1"/>
  <c r="F15" i="39"/>
  <c r="AA15" i="39" s="1"/>
  <c r="H15" i="39"/>
  <c r="U15" i="39" s="1"/>
  <c r="J15" i="39"/>
  <c r="W15" i="39" s="1"/>
  <c r="H41" i="39"/>
  <c r="AB41" i="39" s="1"/>
  <c r="W27" i="39"/>
  <c r="AB34" i="39"/>
  <c r="S42" i="39"/>
  <c r="AA41" i="39"/>
  <c r="W9" i="39"/>
  <c r="J19" i="40"/>
  <c r="AC19" i="40" s="1"/>
  <c r="J50" i="40"/>
  <c r="H103" i="9"/>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G546"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BL168" i="3"/>
  <c r="G169" i="3"/>
  <c r="BA171" i="3"/>
  <c r="AZ171" i="3"/>
  <c r="BL172" i="3"/>
  <c r="G173" i="3"/>
  <c r="BA175" i="3"/>
  <c r="AZ175" i="3"/>
  <c r="BL176" i="3"/>
  <c r="G177" i="3"/>
  <c r="BA179" i="3"/>
  <c r="BL180" i="3"/>
  <c r="G181" i="3"/>
  <c r="BA183" i="3"/>
  <c r="BL184" i="3"/>
  <c r="G185" i="3"/>
  <c r="BA187" i="3"/>
  <c r="AZ187" i="3" s="1"/>
  <c r="BL188" i="3"/>
  <c r="G189" i="3"/>
  <c r="BA191" i="3"/>
  <c r="BL192" i="3"/>
  <c r="G193" i="3"/>
  <c r="BA195" i="3"/>
  <c r="BL196" i="3"/>
  <c r="G197" i="3"/>
  <c r="BA199" i="3"/>
  <c r="BL200" i="3"/>
  <c r="G201" i="3"/>
  <c r="BA203" i="3"/>
  <c r="BL204" i="3"/>
  <c r="AZ184" i="3"/>
  <c r="AZ120" i="3"/>
  <c r="G534" i="3"/>
  <c r="G530" i="3"/>
  <c r="G522" i="3"/>
  <c r="G512" i="3"/>
  <c r="G506"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AZ347" i="3" s="1"/>
  <c r="G350" i="3"/>
  <c r="BA351" i="3"/>
  <c r="BL351" i="3"/>
  <c r="G352" i="3"/>
  <c r="G354" i="3"/>
  <c r="BA355" i="3"/>
  <c r="BA356" i="3"/>
  <c r="AZ356" i="3" s="1"/>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BL303" i="3"/>
  <c r="G304" i="3"/>
  <c r="BA306" i="3"/>
  <c r="BL307" i="3"/>
  <c r="G308" i="3"/>
  <c r="BA310" i="3"/>
  <c r="AZ310" i="3"/>
  <c r="BL311" i="3"/>
  <c r="AZ311" i="3" s="1"/>
  <c r="G312" i="3"/>
  <c r="BA314" i="3"/>
  <c r="BL315" i="3"/>
  <c r="G316" i="3"/>
  <c r="BA318" i="3"/>
  <c r="BL319" i="3"/>
  <c r="G320" i="3"/>
  <c r="BA322" i="3"/>
  <c r="BL323" i="3"/>
  <c r="G324" i="3"/>
  <c r="BA326" i="3"/>
  <c r="AZ326" i="3" s="1"/>
  <c r="BL327" i="3"/>
  <c r="G328" i="3"/>
  <c r="BA330" i="3"/>
  <c r="BL331" i="3"/>
  <c r="AZ331" i="3" s="1"/>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AZ380" i="3" s="1"/>
  <c r="G381" i="3"/>
  <c r="BA383" i="3"/>
  <c r="AZ383" i="3" s="1"/>
  <c r="BL384" i="3"/>
  <c r="G385" i="3"/>
  <c r="BA387" i="3"/>
  <c r="BL388" i="3"/>
  <c r="G389" i="3"/>
  <c r="BA391" i="3"/>
  <c r="AZ391" i="3" s="1"/>
  <c r="BL392" i="3"/>
  <c r="G393" i="3"/>
  <c r="BO5" i="3"/>
  <c r="BJ5" i="3"/>
  <c r="AC5" i="3"/>
  <c r="G548" i="3"/>
  <c r="G538" i="3"/>
  <c r="G502" i="3"/>
  <c r="BK5" i="3"/>
  <c r="BI5" i="3"/>
  <c r="G17" i="3"/>
  <c r="BA17" i="3"/>
  <c r="BA15" i="3"/>
  <c r="BB5" i="3"/>
  <c r="BL493" i="3"/>
  <c r="AZ493" i="3"/>
  <c r="U36" i="40"/>
  <c r="F83" i="43"/>
  <c r="H85" i="43" s="1"/>
  <c r="F50" i="43"/>
  <c r="H54" i="43" s="1"/>
  <c r="F72" i="43"/>
  <c r="H75" i="43" s="1"/>
  <c r="U17" i="39"/>
  <c r="U43" i="21"/>
  <c r="U35" i="21"/>
  <c r="AC35" i="21"/>
  <c r="G8" i="1"/>
  <c r="G10" i="1"/>
  <c r="AZ563" i="3"/>
  <c r="W37" i="37"/>
  <c r="W44" i="34"/>
  <c r="AC44" i="34"/>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AB27" i="40" s="1"/>
  <c r="AC27" i="40"/>
  <c r="F27" i="40"/>
  <c r="S27" i="40"/>
  <c r="J30" i="40"/>
  <c r="AC30" i="40"/>
  <c r="F30" i="40"/>
  <c r="S30" i="40" s="1"/>
  <c r="AA30" i="40"/>
  <c r="S1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F43" i="34"/>
  <c r="AA43" i="34" s="1"/>
  <c r="H44" i="34"/>
  <c r="U44" i="34" s="1"/>
  <c r="AC38" i="39"/>
  <c r="F39" i="39"/>
  <c r="J39" i="39"/>
  <c r="AC39" i="39" s="1"/>
  <c r="AZ251" i="3"/>
  <c r="F23" i="39"/>
  <c r="S23" i="39" s="1"/>
  <c r="H27" i="36"/>
  <c r="U27" i="36" s="1"/>
  <c r="F27" i="36"/>
  <c r="AA27" i="36" s="1"/>
  <c r="H33" i="34"/>
  <c r="AB33" i="34" s="1"/>
  <c r="F32" i="37"/>
  <c r="AA32" i="37" s="1"/>
  <c r="F20" i="36"/>
  <c r="AA20" i="36" s="1"/>
  <c r="J33" i="34"/>
  <c r="AC33" i="34" s="1"/>
  <c r="H23" i="39"/>
  <c r="U23" i="39" s="1"/>
  <c r="D48" i="9"/>
  <c r="M52" i="9" s="1"/>
  <c r="K9" i="1"/>
  <c r="M9" i="1" s="1"/>
  <c r="AC26" i="33"/>
  <c r="W26" i="33"/>
  <c r="W27" i="34"/>
  <c r="AC27" i="34"/>
  <c r="AB34" i="36"/>
  <c r="AC12" i="39"/>
  <c r="W12" i="39"/>
  <c r="AC39" i="40"/>
  <c r="W39" i="40"/>
  <c r="W12" i="33"/>
  <c r="AA32" i="36"/>
  <c r="S32" i="36"/>
  <c r="BL14" i="3"/>
  <c r="U30" i="33"/>
  <c r="AC13" i="34"/>
  <c r="AA47" i="34"/>
  <c r="S19" i="39"/>
  <c r="F12" i="33"/>
  <c r="AA12" i="33" s="1"/>
  <c r="H12" i="39"/>
  <c r="F39" i="40"/>
  <c r="BA14" i="3"/>
  <c r="B12" i="1"/>
  <c r="E12" i="1" s="1"/>
  <c r="B10" i="1"/>
  <c r="E10" i="1" s="1"/>
  <c r="K12" i="1"/>
  <c r="M12" i="1" s="1"/>
  <c r="S13" i="1"/>
  <c r="AR13" i="1" s="1"/>
  <c r="R13" i="1"/>
  <c r="J51" i="67"/>
  <c r="C42" i="1"/>
  <c r="C24" i="12" s="1"/>
  <c r="AC34" i="33"/>
  <c r="S35" i="40"/>
  <c r="AA32" i="40"/>
  <c r="S17" i="40"/>
  <c r="S23" i="40"/>
  <c r="AC15" i="40"/>
  <c r="S28" i="40"/>
  <c r="AA27" i="40"/>
  <c r="U21" i="40"/>
  <c r="S43" i="39"/>
  <c r="U35" i="39"/>
  <c r="F32" i="39"/>
  <c r="S32" i="39" s="1"/>
  <c r="F106" i="39"/>
  <c r="G106" i="39" s="1"/>
  <c r="H106" i="39" s="1"/>
  <c r="I106" i="39" s="1"/>
  <c r="J106" i="39" s="1"/>
  <c r="K106" i="39" s="1"/>
  <c r="L106" i="39" s="1"/>
  <c r="M106" i="39" s="1"/>
  <c r="AB27" i="39"/>
  <c r="J21" i="39"/>
  <c r="W21" i="39" s="1"/>
  <c r="F21" i="39"/>
  <c r="AA21" i="39" s="1"/>
  <c r="G94" i="39"/>
  <c r="H21" i="39"/>
  <c r="U21" i="39" s="1"/>
  <c r="S15" i="39"/>
  <c r="S9" i="39"/>
  <c r="AC13" i="39"/>
  <c r="U26" i="36"/>
  <c r="AA34" i="36"/>
  <c r="AC26" i="36"/>
  <c r="AB14" i="36"/>
  <c r="U22" i="36"/>
  <c r="AA25" i="36"/>
  <c r="U24" i="36"/>
  <c r="AB20" i="36"/>
  <c r="U16" i="36"/>
  <c r="S14" i="36"/>
  <c r="AA25" i="35"/>
  <c r="S23" i="35"/>
  <c r="W24" i="35"/>
  <c r="AB13" i="35"/>
  <c r="U28" i="35"/>
  <c r="AB27" i="35"/>
  <c r="U36" i="35"/>
  <c r="U32" i="35"/>
  <c r="AA33" i="35"/>
  <c r="AC30" i="35"/>
  <c r="S32" i="35"/>
  <c r="S28" i="35"/>
  <c r="AB16" i="35"/>
  <c r="S22" i="35"/>
  <c r="U14" i="35"/>
  <c r="AA11" i="35"/>
  <c r="AC9" i="35"/>
  <c r="W9" i="35"/>
  <c r="W13" i="35"/>
  <c r="F9" i="35"/>
  <c r="S9" i="35" s="1"/>
  <c r="H9" i="35"/>
  <c r="U9" i="35" s="1"/>
  <c r="W27" i="37"/>
  <c r="AC29" i="37"/>
  <c r="AB31" i="37"/>
  <c r="W30" i="37"/>
  <c r="U32" i="37"/>
  <c r="AC35" i="37"/>
  <c r="W39" i="37"/>
  <c r="S30" i="37"/>
  <c r="S37" i="37"/>
  <c r="AC15" i="37"/>
  <c r="J17" i="37"/>
  <c r="W17" i="37"/>
  <c r="G73" i="37"/>
  <c r="F17" i="37"/>
  <c r="AA17" i="37" s="1"/>
  <c r="AB17" i="37"/>
  <c r="F75" i="37"/>
  <c r="G75" i="37" s="1"/>
  <c r="F19" i="37"/>
  <c r="S19" i="37" s="1"/>
  <c r="F79" i="37"/>
  <c r="G79" i="37" s="1"/>
  <c r="F23" i="37"/>
  <c r="S23" i="37" s="1"/>
  <c r="U23" i="37"/>
  <c r="U15" i="37"/>
  <c r="AC13" i="37"/>
  <c r="H10" i="37"/>
  <c r="AB10" i="37" s="1"/>
  <c r="F63" i="37"/>
  <c r="F11" i="37"/>
  <c r="S11" i="37" s="1"/>
  <c r="AB8" i="34"/>
  <c r="AA33" i="34"/>
  <c r="U43" i="34"/>
  <c r="AC42" i="34"/>
  <c r="AB35" i="34"/>
  <c r="U39" i="34"/>
  <c r="AB41" i="34"/>
  <c r="AA45" i="34"/>
  <c r="AA25" i="34"/>
  <c r="S17" i="34"/>
  <c r="AA29" i="34"/>
  <c r="U27" i="34"/>
  <c r="S23" i="34"/>
  <c r="U15" i="34"/>
  <c r="S13" i="34"/>
  <c r="H10" i="34"/>
  <c r="AB10" i="34" s="1"/>
  <c r="F11" i="34"/>
  <c r="S11" i="34" s="1"/>
  <c r="W42" i="33"/>
  <c r="S27" i="33"/>
  <c r="AA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3" i="33"/>
  <c r="H27" i="33"/>
  <c r="AB27" i="33" s="1"/>
  <c r="F87" i="33"/>
  <c r="H25" i="33"/>
  <c r="AB25" i="33" s="1"/>
  <c r="F25" i="33"/>
  <c r="S25" i="33" s="1"/>
  <c r="J23" i="33"/>
  <c r="AC23" i="33" s="1"/>
  <c r="F85" i="33"/>
  <c r="H23" i="33"/>
  <c r="U23" i="33" s="1"/>
  <c r="F19" i="33"/>
  <c r="S19" i="33" s="1"/>
  <c r="W19" i="33"/>
  <c r="J17" i="33"/>
  <c r="F79" i="33"/>
  <c r="G79" i="33" s="1"/>
  <c r="S15" i="33"/>
  <c r="W15" i="33"/>
  <c r="U9" i="33"/>
  <c r="J10" i="33"/>
  <c r="W10" i="33" s="1"/>
  <c r="H10" i="33"/>
  <c r="U10" i="33" s="1"/>
  <c r="AC11" i="33"/>
  <c r="W43" i="21"/>
  <c r="W36" i="21"/>
  <c r="W41" i="21"/>
  <c r="AA43" i="21"/>
  <c r="AA38" i="21"/>
  <c r="AA36" i="21"/>
  <c r="AC40" i="21"/>
  <c r="J15" i="21"/>
  <c r="W15" i="21"/>
  <c r="F77" i="21"/>
  <c r="G77" i="21" s="1"/>
  <c r="F23" i="21"/>
  <c r="S23" i="21" s="1"/>
  <c r="E85" i="21"/>
  <c r="F85" i="21" s="1"/>
  <c r="G85" i="21" s="1"/>
  <c r="C18" i="9"/>
  <c r="D18" i="9" s="1"/>
  <c r="F34" i="67"/>
  <c r="F62" i="67" s="1"/>
  <c r="M20" i="67"/>
  <c r="F34" i="15"/>
  <c r="F62" i="15"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G1" i="69"/>
  <c r="G1" i="67"/>
  <c r="U32" i="40"/>
  <c r="S37" i="40"/>
  <c r="AB28" i="40"/>
  <c r="W28" i="40"/>
  <c r="W27" i="40"/>
  <c r="S36" i="40"/>
  <c r="S13" i="40"/>
  <c r="U11" i="40"/>
  <c r="S31" i="40"/>
  <c r="U15" i="40"/>
  <c r="AB17" i="40"/>
  <c r="U8" i="40"/>
  <c r="S8" i="40"/>
  <c r="AC41" i="39"/>
  <c r="U42" i="39"/>
  <c r="U41" i="39"/>
  <c r="W25" i="39"/>
  <c r="AC25" i="39"/>
  <c r="U13" i="39"/>
  <c r="AB13" i="39"/>
  <c r="S13" i="39"/>
  <c r="AA14" i="39"/>
  <c r="AB43" i="39"/>
  <c r="AB11" i="39"/>
  <c r="U11" i="39"/>
  <c r="AA27" i="39"/>
  <c r="S27" i="39"/>
  <c r="W17" i="39"/>
  <c r="AC17" i="39"/>
  <c r="AC31" i="39"/>
  <c r="AA45" i="39"/>
  <c r="AB39" i="39"/>
  <c r="W34" i="39"/>
  <c r="U38" i="39"/>
  <c r="S8" i="39"/>
  <c r="S20" i="36"/>
  <c r="U32" i="36"/>
  <c r="W29" i="36"/>
  <c r="AC20" i="36"/>
  <c r="W22" i="36"/>
  <c r="AB20" i="35"/>
  <c r="AC25" i="35"/>
  <c r="S24" i="35"/>
  <c r="S35" i="35"/>
  <c r="AA16" i="35"/>
  <c r="AA35" i="37"/>
  <c r="W32" i="37"/>
  <c r="U36" i="37"/>
  <c r="U38" i="37"/>
  <c r="AC34" i="37"/>
  <c r="U19" i="37"/>
  <c r="U8" i="37"/>
  <c r="AB40" i="34"/>
  <c r="W19" i="34"/>
  <c r="AA30" i="34"/>
  <c r="AB45" i="34"/>
  <c r="U25" i="34"/>
  <c r="AB36" i="34"/>
  <c r="W33" i="34"/>
  <c r="W46" i="34"/>
  <c r="AC46" i="34"/>
  <c r="S32" i="34"/>
  <c r="AA32" i="34"/>
  <c r="U30" i="34"/>
  <c r="AB30" i="34"/>
  <c r="S37" i="34"/>
  <c r="U38" i="34"/>
  <c r="W40" i="34"/>
  <c r="AA19" i="34"/>
  <c r="S19" i="34"/>
  <c r="S36" i="34"/>
  <c r="AA8" i="34"/>
  <c r="S8" i="34"/>
  <c r="AA46" i="34"/>
  <c r="U32" i="34"/>
  <c r="AB32" i="34"/>
  <c r="AB14" i="34"/>
  <c r="AC43" i="34"/>
  <c r="W43" i="34"/>
  <c r="AC23" i="34"/>
  <c r="AC35" i="34"/>
  <c r="W35" i="34"/>
  <c r="AC37" i="33"/>
  <c r="W46" i="33"/>
  <c r="U39" i="33"/>
  <c r="S33" i="33"/>
  <c r="AB34" i="33"/>
  <c r="U44" i="33"/>
  <c r="AC14" i="33"/>
  <c r="AC30" i="33"/>
  <c r="S31" i="33"/>
  <c r="AA31" i="33"/>
  <c r="W13" i="33"/>
  <c r="U15" i="33"/>
  <c r="U37" i="33"/>
  <c r="AC28" i="33"/>
  <c r="S28" i="33"/>
  <c r="W8" i="33"/>
  <c r="S44" i="21"/>
  <c r="AB42" i="21"/>
  <c r="I101" i="21"/>
  <c r="J101" i="21" s="1"/>
  <c r="K101" i="21" s="1"/>
  <c r="L101" i="21" s="1"/>
  <c r="M101" i="21" s="1"/>
  <c r="F33" i="21"/>
  <c r="AA33" i="21" s="1"/>
  <c r="J33" i="21"/>
  <c r="AC33" i="21" s="1"/>
  <c r="H33" i="21"/>
  <c r="AB33" i="21" s="1"/>
  <c r="F37" i="21"/>
  <c r="AA26" i="21"/>
  <c r="AB46" i="21"/>
  <c r="U40" i="21"/>
  <c r="AC15" i="21"/>
  <c r="U13" i="21"/>
  <c r="AB13" i="21"/>
  <c r="J37" i="21"/>
  <c r="W37" i="21" s="1"/>
  <c r="H15" i="21"/>
  <c r="U15" i="21" s="1"/>
  <c r="J17" i="21"/>
  <c r="AC17" i="21" s="1"/>
  <c r="W39" i="21"/>
  <c r="W30" i="21"/>
  <c r="H45" i="21"/>
  <c r="U45" i="21" s="1"/>
  <c r="F29" i="21"/>
  <c r="AA29" i="21" s="1"/>
  <c r="F13" i="21"/>
  <c r="AA13" i="21" s="1"/>
  <c r="AC38" i="21"/>
  <c r="H32" i="21"/>
  <c r="U32" i="21" s="1"/>
  <c r="H9" i="21"/>
  <c r="AB9" i="21" s="1"/>
  <c r="J9" i="21"/>
  <c r="W9" i="21" s="1"/>
  <c r="J32" i="21"/>
  <c r="W32" i="21" s="1"/>
  <c r="F32" i="21"/>
  <c r="AA32" i="21" s="1"/>
  <c r="AA31" i="21"/>
  <c r="W29" i="21"/>
  <c r="S19" i="21"/>
  <c r="S9" i="21"/>
  <c r="AA9" i="21"/>
  <c r="K141" i="21"/>
  <c r="K144" i="21"/>
  <c r="K143" i="21"/>
  <c r="AB44" i="21"/>
  <c r="W13" i="21"/>
  <c r="F10" i="21"/>
  <c r="AA10" i="21" s="1"/>
  <c r="K145" i="21"/>
  <c r="AA15" i="21"/>
  <c r="AC26" i="21"/>
  <c r="AB29" i="21"/>
  <c r="AC34" i="21"/>
  <c r="AB36" i="21"/>
  <c r="W30" i="40"/>
  <c r="C19" i="39"/>
  <c r="C17" i="40"/>
  <c r="C23" i="40"/>
  <c r="C21" i="40"/>
  <c r="U30" i="40"/>
  <c r="B56" i="43"/>
  <c r="B67" i="43"/>
  <c r="B51" i="43"/>
  <c r="B54" i="43"/>
  <c r="B58" i="43"/>
  <c r="B62" i="43"/>
  <c r="B65" i="43"/>
  <c r="D23" i="15"/>
  <c r="D22" i="15"/>
  <c r="E4" i="4"/>
  <c r="B5" i="62" s="1"/>
  <c r="B73" i="72" s="1"/>
  <c r="C4" i="4"/>
  <c r="AA39" i="40"/>
  <c r="S39" i="40"/>
  <c r="S12" i="33"/>
  <c r="J32" i="39"/>
  <c r="H32" i="39"/>
  <c r="AB32" i="39" s="1"/>
  <c r="AA32" i="39"/>
  <c r="S21" i="39"/>
  <c r="AC17" i="37"/>
  <c r="J19" i="37"/>
  <c r="W19" i="37" s="1"/>
  <c r="AA19" i="37"/>
  <c r="AA23" i="37"/>
  <c r="J23" i="37"/>
  <c r="W23" i="37" s="1"/>
  <c r="J10" i="37"/>
  <c r="W10" i="37" s="1"/>
  <c r="G63" i="37"/>
  <c r="H63" i="37" s="1"/>
  <c r="I63" i="37" s="1"/>
  <c r="J63" i="37" s="1"/>
  <c r="K63" i="37" s="1"/>
  <c r="L63" i="37" s="1"/>
  <c r="M63" i="37" s="1"/>
  <c r="H11" i="37"/>
  <c r="AB11" i="37" s="1"/>
  <c r="H11" i="34"/>
  <c r="U11" i="34" s="1"/>
  <c r="J10" i="34"/>
  <c r="AC10" i="34" s="1"/>
  <c r="AB41" i="33"/>
  <c r="U41" i="33"/>
  <c r="H111" i="33"/>
  <c r="I111" i="33" s="1"/>
  <c r="J111" i="33" s="1"/>
  <c r="K111" i="33" s="1"/>
  <c r="L111" i="33" s="1"/>
  <c r="M111" i="33" s="1"/>
  <c r="J36" i="33"/>
  <c r="W36" i="33" s="1"/>
  <c r="H36" i="33"/>
  <c r="U36" i="33" s="1"/>
  <c r="S36" i="33"/>
  <c r="AC32" i="33"/>
  <c r="U27" i="33"/>
  <c r="G91" i="33"/>
  <c r="H91" i="33" s="1"/>
  <c r="I91" i="33" s="1"/>
  <c r="J91" i="33" s="1"/>
  <c r="K91" i="33" s="1"/>
  <c r="L91" i="33" s="1"/>
  <c r="M91" i="33" s="1"/>
  <c r="J27" i="33"/>
  <c r="W27" i="33" s="1"/>
  <c r="U25" i="33"/>
  <c r="AA25" i="33"/>
  <c r="G87" i="33"/>
  <c r="H87" i="33"/>
  <c r="I87" i="33" s="1"/>
  <c r="J87" i="33" s="1"/>
  <c r="K87" i="33" s="1"/>
  <c r="L87" i="33" s="1"/>
  <c r="M87" i="33" s="1"/>
  <c r="J25" i="33"/>
  <c r="AC25" i="33" s="1"/>
  <c r="AB23" i="33"/>
  <c r="F23" i="33"/>
  <c r="G85" i="33"/>
  <c r="AA19" i="33"/>
  <c r="H19" i="33"/>
  <c r="H17" i="33"/>
  <c r="U17" i="33" s="1"/>
  <c r="F17" i="33"/>
  <c r="W17" i="33"/>
  <c r="AC17" i="33"/>
  <c r="AA23" i="21"/>
  <c r="J23" i="21"/>
  <c r="AC23" i="21" s="1"/>
  <c r="H23" i="21"/>
  <c r="AB23" i="21" s="1"/>
  <c r="S13" i="21"/>
  <c r="AP7" i="1"/>
  <c r="AC9" i="21"/>
  <c r="A18" i="62"/>
  <c r="B64" i="72" s="1"/>
  <c r="U32" i="39"/>
  <c r="AC32" i="39"/>
  <c r="W32" i="39"/>
  <c r="J11" i="37"/>
  <c r="AC11" i="37" s="1"/>
  <c r="J11" i="34"/>
  <c r="W11" i="34" s="1"/>
  <c r="AB36" i="33"/>
  <c r="AB19" i="33"/>
  <c r="U19" i="33"/>
  <c r="U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3" i="76"/>
  <c r="AO13" i="1"/>
  <c r="E13" i="76"/>
  <c r="F6" i="73"/>
  <c r="E2" i="69"/>
  <c r="B9" i="76"/>
  <c r="D6" i="73"/>
  <c r="B10" i="76"/>
  <c r="F9" i="67"/>
  <c r="D34" i="9"/>
  <c r="E11" i="76"/>
  <c r="M23" i="15"/>
  <c r="L48" i="15"/>
  <c r="F5" i="73"/>
  <c r="B7" i="76"/>
  <c r="E10" i="76"/>
  <c r="F7" i="73"/>
  <c r="F3" i="73"/>
  <c r="F4" i="73"/>
  <c r="E7" i="76"/>
  <c r="D35" i="9"/>
  <c r="M26" i="67"/>
  <c r="B11" i="76"/>
  <c r="F20" i="31"/>
  <c r="E2" i="68"/>
  <c r="M24" i="15"/>
  <c r="B12" i="76"/>
  <c r="F37" i="67"/>
  <c r="E8" i="76"/>
  <c r="E9" i="76"/>
  <c r="B8" i="76"/>
  <c r="E12" i="76"/>
  <c r="M20" i="91" l="1"/>
  <c r="F34" i="91"/>
  <c r="F62" i="91" s="1"/>
  <c r="F34" i="84"/>
  <c r="F62" i="84" s="1"/>
  <c r="M20" i="84"/>
  <c r="B7" i="1"/>
  <c r="E7" i="1" s="1"/>
  <c r="G1" i="91"/>
  <c r="G1" i="84"/>
  <c r="M7" i="1"/>
  <c r="AA33" i="40"/>
  <c r="S33" i="40"/>
  <c r="AZ520" i="3"/>
  <c r="AZ509" i="3"/>
  <c r="AZ506" i="3"/>
  <c r="W11" i="35"/>
  <c r="AC11" i="35"/>
  <c r="AA45" i="33"/>
  <c r="S45" i="33"/>
  <c r="AB34" i="35"/>
  <c r="U34" i="35"/>
  <c r="W23" i="21"/>
  <c r="S32" i="21"/>
  <c r="AB15" i="21"/>
  <c r="S28" i="37"/>
  <c r="AA13" i="36"/>
  <c r="W38" i="37"/>
  <c r="S12" i="39"/>
  <c r="AA12" i="39"/>
  <c r="BA545" i="3"/>
  <c r="BA542" i="3"/>
  <c r="AZ542" i="3" s="1"/>
  <c r="BL520" i="3"/>
  <c r="BA511" i="3"/>
  <c r="BT5" i="3"/>
  <c r="BE5" i="3"/>
  <c r="AB32" i="21"/>
  <c r="AB45" i="21"/>
  <c r="W31" i="21"/>
  <c r="S45" i="21"/>
  <c r="S30" i="33"/>
  <c r="AC32" i="34"/>
  <c r="U19" i="34"/>
  <c r="AC14" i="40"/>
  <c r="W23" i="40"/>
  <c r="AB39" i="21"/>
  <c r="AB14" i="33"/>
  <c r="S46" i="33"/>
  <c r="S24" i="36"/>
  <c r="W14" i="36"/>
  <c r="U19" i="39"/>
  <c r="AB19" i="40"/>
  <c r="AB12" i="39"/>
  <c r="U12" i="39"/>
  <c r="W39" i="34"/>
  <c r="AC39" i="34"/>
  <c r="U27" i="40"/>
  <c r="AZ378" i="3"/>
  <c r="D8" i="53"/>
  <c r="D120" i="9"/>
  <c r="AA15" i="37"/>
  <c r="J12" i="37"/>
  <c r="S36" i="35"/>
  <c r="AA36" i="35"/>
  <c r="W40" i="37"/>
  <c r="AC31" i="33"/>
  <c r="U39" i="37"/>
  <c r="BL499" i="3"/>
  <c r="BL505" i="3"/>
  <c r="BL511" i="3"/>
  <c r="AZ511" i="3" s="1"/>
  <c r="AZ577" i="3"/>
  <c r="AZ553" i="3"/>
  <c r="AZ565" i="3"/>
  <c r="AZ556" i="3"/>
  <c r="AZ566" i="3"/>
  <c r="BL496" i="3"/>
  <c r="AZ496" i="3" s="1"/>
  <c r="H14" i="39"/>
  <c r="S38" i="37"/>
  <c r="AA38" i="37"/>
  <c r="J28" i="37"/>
  <c r="AB25" i="36"/>
  <c r="AC35" i="35"/>
  <c r="W35" i="35"/>
  <c r="H40" i="37"/>
  <c r="U28" i="33"/>
  <c r="AB28" i="33"/>
  <c r="AA38" i="34"/>
  <c r="U40" i="33"/>
  <c r="AA32" i="33"/>
  <c r="S32" i="33"/>
  <c r="W20" i="35"/>
  <c r="AC20" i="35"/>
  <c r="AB22" i="35"/>
  <c r="H14" i="21"/>
  <c r="J14" i="21"/>
  <c r="F14" i="21"/>
  <c r="H30" i="21"/>
  <c r="F30" i="21"/>
  <c r="J45" i="21"/>
  <c r="W27" i="35"/>
  <c r="AC27" i="35"/>
  <c r="J9" i="36"/>
  <c r="AC38" i="40"/>
  <c r="W38" i="40"/>
  <c r="H13" i="40"/>
  <c r="J13" i="40"/>
  <c r="AZ524" i="3"/>
  <c r="U12" i="35"/>
  <c r="AB12" i="35"/>
  <c r="AC8" i="39"/>
  <c r="W8" i="39"/>
  <c r="AB28" i="34"/>
  <c r="U28" i="34"/>
  <c r="U25" i="21"/>
  <c r="AB25" i="21"/>
  <c r="AB9" i="40"/>
  <c r="U9" i="40"/>
  <c r="J33" i="40"/>
  <c r="H33" i="40"/>
  <c r="W29" i="34"/>
  <c r="AA31" i="34"/>
  <c r="AB37" i="37"/>
  <c r="S39" i="21"/>
  <c r="AZ543" i="3"/>
  <c r="AZ536" i="3"/>
  <c r="AZ572" i="3"/>
  <c r="W45" i="33"/>
  <c r="AC45" i="33"/>
  <c r="BA587" i="3"/>
  <c r="BA585" i="3"/>
  <c r="H13" i="36"/>
  <c r="J13" i="36"/>
  <c r="AB41" i="21"/>
  <c r="U41" i="21"/>
  <c r="BL551" i="3"/>
  <c r="BL544" i="3"/>
  <c r="AZ544" i="3" s="1"/>
  <c r="BA535" i="3"/>
  <c r="BA528" i="3"/>
  <c r="AZ528" i="3" s="1"/>
  <c r="BL513" i="3"/>
  <c r="BL502" i="3"/>
  <c r="AZ502" i="3" s="1"/>
  <c r="BA499" i="3"/>
  <c r="BA498" i="3"/>
  <c r="AZ498" i="3" s="1"/>
  <c r="BF5" i="3"/>
  <c r="AZ535" i="3"/>
  <c r="J27" i="21"/>
  <c r="H27" i="21"/>
  <c r="AB29" i="37"/>
  <c r="U29" i="37"/>
  <c r="AA38" i="39"/>
  <c r="S38" i="39"/>
  <c r="S17" i="33"/>
  <c r="AA17" i="33"/>
  <c r="W41" i="34"/>
  <c r="AC36" i="40"/>
  <c r="AC11" i="39"/>
  <c r="AZ373" i="3"/>
  <c r="AZ329" i="3"/>
  <c r="U14" i="40"/>
  <c r="AB14" i="40"/>
  <c r="AA27" i="37"/>
  <c r="S27" i="37"/>
  <c r="AC25" i="36"/>
  <c r="W25" i="36"/>
  <c r="F40" i="37"/>
  <c r="S44" i="39"/>
  <c r="U37" i="40"/>
  <c r="AB37" i="40"/>
  <c r="AB40" i="39"/>
  <c r="U40" i="39"/>
  <c r="BA546" i="3"/>
  <c r="BA530" i="3"/>
  <c r="BL526" i="3"/>
  <c r="AZ526" i="3" s="1"/>
  <c r="BA523" i="3"/>
  <c r="AZ523" i="3" s="1"/>
  <c r="BA522" i="3"/>
  <c r="AZ522" i="3" s="1"/>
  <c r="BL514" i="3"/>
  <c r="BN5" i="3"/>
  <c r="AC35" i="33"/>
  <c r="S28" i="21"/>
  <c r="S17" i="21"/>
  <c r="U17" i="21"/>
  <c r="AB31" i="21"/>
  <c r="AA37" i="21"/>
  <c r="S37" i="21"/>
  <c r="AA29" i="37"/>
  <c r="W36" i="37"/>
  <c r="U24" i="35"/>
  <c r="AB28" i="36"/>
  <c r="W19" i="40"/>
  <c r="AZ17" i="3"/>
  <c r="W43" i="33"/>
  <c r="U42" i="33"/>
  <c r="AB29" i="33"/>
  <c r="AA26" i="36"/>
  <c r="S17" i="39"/>
  <c r="U35" i="40"/>
  <c r="S39" i="39"/>
  <c r="AA39" i="39"/>
  <c r="S40" i="34"/>
  <c r="AA40" i="34"/>
  <c r="BD5" i="3"/>
  <c r="AZ345" i="3"/>
  <c r="AZ334" i="3"/>
  <c r="AZ318" i="3"/>
  <c r="AZ377" i="3"/>
  <c r="AZ372" i="3"/>
  <c r="AZ361" i="3"/>
  <c r="S31" i="37"/>
  <c r="AA31" i="37"/>
  <c r="H12" i="37"/>
  <c r="AB12" i="37" s="1"/>
  <c r="S22" i="36"/>
  <c r="AA22" i="36"/>
  <c r="AC25" i="21"/>
  <c r="W25" i="21"/>
  <c r="BL531" i="3"/>
  <c r="BL539" i="3"/>
  <c r="AZ539" i="3" s="1"/>
  <c r="BL547" i="3"/>
  <c r="AZ547" i="3" s="1"/>
  <c r="AZ560" i="3"/>
  <c r="AA14" i="37"/>
  <c r="S14" i="37"/>
  <c r="AC35" i="40"/>
  <c r="W35" i="40"/>
  <c r="S46" i="21"/>
  <c r="AA46" i="21"/>
  <c r="S15" i="40"/>
  <c r="AA15" i="40"/>
  <c r="AA33" i="36"/>
  <c r="S33" i="36"/>
  <c r="W41" i="33"/>
  <c r="H23" i="36"/>
  <c r="F23" i="36"/>
  <c r="J23" i="36"/>
  <c r="S34" i="40"/>
  <c r="AA34" i="40"/>
  <c r="J12" i="40"/>
  <c r="H12" i="40"/>
  <c r="S38" i="40"/>
  <c r="AA38" i="40"/>
  <c r="BL521" i="3"/>
  <c r="BL537" i="3"/>
  <c r="AZ564" i="3"/>
  <c r="AZ584" i="3"/>
  <c r="S13" i="37"/>
  <c r="AA13" i="37"/>
  <c r="AB25" i="35"/>
  <c r="U25" i="35"/>
  <c r="U47" i="34"/>
  <c r="AB47" i="34"/>
  <c r="S44" i="33"/>
  <c r="AA44" i="33"/>
  <c r="AA41" i="33"/>
  <c r="S41" i="33"/>
  <c r="AA16" i="36"/>
  <c r="S16" i="36"/>
  <c r="W19" i="21"/>
  <c r="AC19" i="21"/>
  <c r="AA35" i="21"/>
  <c r="S35" i="21"/>
  <c r="B101" i="43"/>
  <c r="B79" i="43"/>
  <c r="C25" i="39"/>
  <c r="B69" i="43"/>
  <c r="B83" i="43"/>
  <c r="C15" i="40"/>
  <c r="J9" i="33"/>
  <c r="W14" i="34"/>
  <c r="AC14" i="34"/>
  <c r="AA27" i="35"/>
  <c r="S27" i="35"/>
  <c r="H33" i="36"/>
  <c r="J33" i="36"/>
  <c r="AC33" i="36" s="1"/>
  <c r="J36" i="39"/>
  <c r="AC36" i="39" s="1"/>
  <c r="F36" i="39"/>
  <c r="BL570" i="3"/>
  <c r="AZ570" i="3" s="1"/>
  <c r="G570" i="3"/>
  <c r="G555" i="3"/>
  <c r="BL546" i="3"/>
  <c r="BL541" i="3"/>
  <c r="BA534" i="3"/>
  <c r="AZ534" i="3" s="1"/>
  <c r="G531" i="3"/>
  <c r="BL530" i="3"/>
  <c r="BA521" i="3"/>
  <c r="BA515" i="3"/>
  <c r="AZ515" i="3" s="1"/>
  <c r="BA514" i="3"/>
  <c r="AZ514" i="3" s="1"/>
  <c r="BL510" i="3"/>
  <c r="AZ510" i="3" s="1"/>
  <c r="BA508" i="3"/>
  <c r="AZ508" i="3" s="1"/>
  <c r="BA500" i="3"/>
  <c r="AZ500" i="3" s="1"/>
  <c r="BL494" i="3"/>
  <c r="AZ494" i="3" s="1"/>
  <c r="AC25" i="34"/>
  <c r="W25" i="34"/>
  <c r="W21" i="40"/>
  <c r="AC21" i="40"/>
  <c r="AC33" i="33"/>
  <c r="W33" i="33"/>
  <c r="AB34" i="34"/>
  <c r="U34" i="34"/>
  <c r="H31" i="39"/>
  <c r="F31" i="39"/>
  <c r="J37" i="39"/>
  <c r="F37" i="39"/>
  <c r="H37" i="39"/>
  <c r="AC34" i="40"/>
  <c r="W34" i="40"/>
  <c r="W38" i="34"/>
  <c r="AC38" i="34"/>
  <c r="AB34" i="37"/>
  <c r="U34" i="37"/>
  <c r="W31" i="35"/>
  <c r="AC31" i="35"/>
  <c r="AC30" i="36"/>
  <c r="W30" i="36"/>
  <c r="BL568" i="3"/>
  <c r="BL561" i="3"/>
  <c r="AZ561" i="3" s="1"/>
  <c r="BA557" i="3"/>
  <c r="BL552" i="3"/>
  <c r="G552" i="3"/>
  <c r="BL549" i="3"/>
  <c r="AZ549" i="3" s="1"/>
  <c r="BA549" i="3"/>
  <c r="G545" i="3"/>
  <c r="BA541" i="3"/>
  <c r="BA540" i="3"/>
  <c r="AZ540" i="3" s="1"/>
  <c r="G537" i="3"/>
  <c r="BA533" i="3"/>
  <c r="BA525" i="3"/>
  <c r="AZ525" i="3" s="1"/>
  <c r="G515" i="3"/>
  <c r="G509" i="3"/>
  <c r="BA505" i="3"/>
  <c r="BA497" i="3"/>
  <c r="AZ497" i="3" s="1"/>
  <c r="BR5" i="3"/>
  <c r="G493" i="3"/>
  <c r="M20" i="15"/>
  <c r="F34" i="83"/>
  <c r="F62" i="83" s="1"/>
  <c r="M20" i="83"/>
  <c r="AB21" i="34"/>
  <c r="U21" i="34"/>
  <c r="D59" i="71"/>
  <c r="C60" i="71"/>
  <c r="X26" i="71"/>
  <c r="B28" i="71"/>
  <c r="B27" i="71" s="1"/>
  <c r="B26" i="71" s="1"/>
  <c r="Y29" i="71"/>
  <c r="Z29" i="71" s="1"/>
  <c r="C30" i="71"/>
  <c r="D30" i="71" s="1"/>
  <c r="X34" i="71"/>
  <c r="U28" i="21"/>
  <c r="S11" i="33"/>
  <c r="U29" i="35"/>
  <c r="W19" i="39"/>
  <c r="S14" i="35"/>
  <c r="AZ322" i="3"/>
  <c r="AZ355" i="3"/>
  <c r="AZ342" i="3"/>
  <c r="AZ337" i="3"/>
  <c r="AZ376" i="3"/>
  <c r="AZ327" i="3"/>
  <c r="AZ309" i="3"/>
  <c r="AB38" i="21"/>
  <c r="BL503" i="3"/>
  <c r="BL527" i="3"/>
  <c r="AZ527" i="3" s="1"/>
  <c r="BL533" i="3"/>
  <c r="AZ533" i="3" s="1"/>
  <c r="BL569" i="3"/>
  <c r="AZ569" i="3" s="1"/>
  <c r="S31" i="35"/>
  <c r="G566" i="3"/>
  <c r="G558" i="3"/>
  <c r="BL399" i="3"/>
  <c r="BA402" i="3"/>
  <c r="BA406" i="3"/>
  <c r="BL409" i="3"/>
  <c r="BA413" i="3"/>
  <c r="BA420" i="3"/>
  <c r="BA422" i="3"/>
  <c r="G425" i="3"/>
  <c r="BL427" i="3"/>
  <c r="G430" i="3"/>
  <c r="BL433" i="3"/>
  <c r="BL434" i="3"/>
  <c r="G437" i="3"/>
  <c r="G447" i="3"/>
  <c r="BL447" i="3"/>
  <c r="BA463" i="3"/>
  <c r="BL467" i="3"/>
  <c r="BL468" i="3"/>
  <c r="BA470" i="3"/>
  <c r="BL470" i="3"/>
  <c r="BL350" i="3"/>
  <c r="BA392" i="3"/>
  <c r="AZ392" i="3" s="1"/>
  <c r="BL208" i="3"/>
  <c r="BL224" i="3"/>
  <c r="G228" i="3"/>
  <c r="BA229" i="3"/>
  <c r="AZ229" i="3" s="1"/>
  <c r="BL229" i="3"/>
  <c r="BL269" i="3"/>
  <c r="BL275" i="3"/>
  <c r="BL285" i="3"/>
  <c r="BA290" i="3"/>
  <c r="BA293" i="3"/>
  <c r="G126" i="3"/>
  <c r="BL134" i="3"/>
  <c r="BA145" i="3"/>
  <c r="BA168" i="3"/>
  <c r="AZ168" i="3" s="1"/>
  <c r="BA169" i="3"/>
  <c r="AZ169" i="3" s="1"/>
  <c r="BL181" i="3"/>
  <c r="BL34" i="3"/>
  <c r="BL82" i="3"/>
  <c r="BL83" i="3"/>
  <c r="G101" i="3"/>
  <c r="BA101" i="3"/>
  <c r="F67" i="71"/>
  <c r="V68" i="71"/>
  <c r="AB27" i="71"/>
  <c r="AA3" i="71"/>
  <c r="G401" i="3"/>
  <c r="BL431" i="3"/>
  <c r="BA441" i="3"/>
  <c r="BL445" i="3"/>
  <c r="BL446" i="3"/>
  <c r="G451" i="3"/>
  <c r="BA451" i="3"/>
  <c r="BA462" i="3"/>
  <c r="AZ462" i="3" s="1"/>
  <c r="BA485" i="3"/>
  <c r="BL308" i="3"/>
  <c r="AZ308" i="3" s="1"/>
  <c r="BL314" i="3"/>
  <c r="AZ314" i="3" s="1"/>
  <c r="BA385" i="3"/>
  <c r="BA386" i="3"/>
  <c r="AZ386" i="3" s="1"/>
  <c r="G217" i="3"/>
  <c r="BA218" i="3"/>
  <c r="AZ218" i="3" s="1"/>
  <c r="BL218" i="3"/>
  <c r="BL222" i="3"/>
  <c r="BL223" i="3"/>
  <c r="G226" i="3"/>
  <c r="BL230" i="3"/>
  <c r="BL231" i="3"/>
  <c r="BA248" i="3"/>
  <c r="BL252" i="3"/>
  <c r="BA253" i="3"/>
  <c r="BA260" i="3"/>
  <c r="BL262" i="3"/>
  <c r="BL263" i="3"/>
  <c r="BL280" i="3"/>
  <c r="G288" i="3"/>
  <c r="BA288" i="3"/>
  <c r="BA298" i="3"/>
  <c r="AZ298" i="3" s="1"/>
  <c r="G116" i="3"/>
  <c r="BA116" i="3"/>
  <c r="AZ116" i="3" s="1"/>
  <c r="BA121" i="3"/>
  <c r="AZ121" i="3" s="1"/>
  <c r="BL121" i="3"/>
  <c r="BA125" i="3"/>
  <c r="BA150" i="3"/>
  <c r="BL161" i="3"/>
  <c r="BL24" i="3"/>
  <c r="W21" i="37"/>
  <c r="AC21" i="37"/>
  <c r="D54" i="71"/>
  <c r="B67" i="71"/>
  <c r="S68" i="71"/>
  <c r="G13" i="3"/>
  <c r="BA16" i="3"/>
  <c r="BM5" i="3"/>
  <c r="F29" i="6" s="1"/>
  <c r="E29" i="6" s="1"/>
  <c r="K15" i="1" s="1"/>
  <c r="G398" i="3"/>
  <c r="BA400" i="3"/>
  <c r="BA401" i="3"/>
  <c r="G403" i="3"/>
  <c r="BA404" i="3"/>
  <c r="BA405" i="3"/>
  <c r="G407" i="3"/>
  <c r="G408" i="3"/>
  <c r="G409" i="3"/>
  <c r="BA410" i="3"/>
  <c r="BL412" i="3"/>
  <c r="BL419" i="3"/>
  <c r="G426" i="3"/>
  <c r="BL430" i="3"/>
  <c r="G431" i="3"/>
  <c r="G440" i="3"/>
  <c r="BL443" i="3"/>
  <c r="G448" i="3"/>
  <c r="G449" i="3"/>
  <c r="BL449" i="3"/>
  <c r="BL450" i="3"/>
  <c r="BA452" i="3"/>
  <c r="BL452" i="3"/>
  <c r="G454" i="3"/>
  <c r="G455" i="3"/>
  <c r="BA458" i="3"/>
  <c r="AZ458" i="3" s="1"/>
  <c r="G464" i="3"/>
  <c r="BL465" i="3"/>
  <c r="BA473" i="3"/>
  <c r="BL473" i="3"/>
  <c r="BL474" i="3"/>
  <c r="G475" i="3"/>
  <c r="BL479" i="3"/>
  <c r="G481" i="3"/>
  <c r="BA482" i="3"/>
  <c r="BA484" i="3"/>
  <c r="AZ484" i="3" s="1"/>
  <c r="BL488" i="3"/>
  <c r="G492" i="3"/>
  <c r="BA303" i="3"/>
  <c r="AZ303" i="3" s="1"/>
  <c r="BA307" i="3"/>
  <c r="AZ307" i="3" s="1"/>
  <c r="BA319" i="3"/>
  <c r="AZ319" i="3" s="1"/>
  <c r="BA332" i="3"/>
  <c r="BL332" i="3"/>
  <c r="G339" i="3"/>
  <c r="G343" i="3"/>
  <c r="G347" i="3"/>
  <c r="BL359" i="3"/>
  <c r="AZ359" i="3" s="1"/>
  <c r="G364" i="3"/>
  <c r="BA367" i="3"/>
  <c r="AZ367" i="3" s="1"/>
  <c r="BA370" i="3"/>
  <c r="AZ370" i="3" s="1"/>
  <c r="BL395" i="3"/>
  <c r="G397" i="3"/>
  <c r="BL211" i="3"/>
  <c r="BL212" i="3"/>
  <c r="G214" i="3"/>
  <c r="G215" i="3"/>
  <c r="BL219" i="3"/>
  <c r="BL220" i="3"/>
  <c r="BL221" i="3"/>
  <c r="G222" i="3"/>
  <c r="BA225" i="3"/>
  <c r="BA227" i="3"/>
  <c r="AZ227" i="3" s="1"/>
  <c r="BL237" i="3"/>
  <c r="BL238" i="3"/>
  <c r="G239" i="3"/>
  <c r="G246" i="3"/>
  <c r="BA247" i="3"/>
  <c r="AZ247" i="3" s="1"/>
  <c r="BL247" i="3"/>
  <c r="G256" i="3"/>
  <c r="BL260" i="3"/>
  <c r="G262" i="3"/>
  <c r="G268" i="3"/>
  <c r="BA272" i="3"/>
  <c r="AZ272" i="3" s="1"/>
  <c r="BL278" i="3"/>
  <c r="G280" i="3"/>
  <c r="BL287" i="3"/>
  <c r="BL289" i="3"/>
  <c r="G291" i="3"/>
  <c r="BA291" i="3"/>
  <c r="G294" i="3"/>
  <c r="BA301" i="3"/>
  <c r="G123" i="3"/>
  <c r="BA124" i="3"/>
  <c r="AZ124" i="3" s="1"/>
  <c r="BL127" i="3"/>
  <c r="AZ127" i="3" s="1"/>
  <c r="BA128" i="3"/>
  <c r="AZ128" i="3" s="1"/>
  <c r="G136" i="3"/>
  <c r="BL139" i="3"/>
  <c r="AZ139" i="3" s="1"/>
  <c r="G140" i="3"/>
  <c r="BL143" i="3"/>
  <c r="AZ143" i="3" s="1"/>
  <c r="G144" i="3"/>
  <c r="BA149" i="3"/>
  <c r="G152" i="3"/>
  <c r="BA157" i="3"/>
  <c r="BA194" i="3"/>
  <c r="BA43" i="3"/>
  <c r="BA47" i="3"/>
  <c r="BA50" i="3"/>
  <c r="BL52" i="3"/>
  <c r="BL53" i="3"/>
  <c r="G58" i="3"/>
  <c r="BA63" i="3"/>
  <c r="G67" i="3"/>
  <c r="G72" i="3"/>
  <c r="BA77" i="3"/>
  <c r="AZ77" i="3" s="1"/>
  <c r="G80" i="3"/>
  <c r="G93" i="3"/>
  <c r="BA94" i="3"/>
  <c r="G106" i="3"/>
  <c r="G111" i="3"/>
  <c r="BA111" i="3"/>
  <c r="G1" i="83"/>
  <c r="X31" i="71"/>
  <c r="AA35" i="71"/>
  <c r="F40" i="71"/>
  <c r="V40" i="71" s="1"/>
  <c r="O68" i="71"/>
  <c r="D68" i="71"/>
  <c r="S72" i="71"/>
  <c r="B71" i="71"/>
  <c r="B70" i="71" s="1"/>
  <c r="V72" i="71"/>
  <c r="F71" i="71"/>
  <c r="F70" i="71" s="1"/>
  <c r="T76" i="71"/>
  <c r="D76" i="71"/>
  <c r="BL159" i="3"/>
  <c r="AZ159" i="3" s="1"/>
  <c r="BA162" i="3"/>
  <c r="BL163" i="3"/>
  <c r="AZ163" i="3" s="1"/>
  <c r="BL198" i="3"/>
  <c r="BL199" i="3"/>
  <c r="AZ199" i="3" s="1"/>
  <c r="BL23" i="3"/>
  <c r="G33" i="3"/>
  <c r="G34" i="3"/>
  <c r="G38" i="3"/>
  <c r="G43" i="3"/>
  <c r="G44" i="3"/>
  <c r="BL50" i="3"/>
  <c r="BL51" i="3"/>
  <c r="BA62" i="3"/>
  <c r="BA67" i="3"/>
  <c r="BA72" i="3"/>
  <c r="BL79" i="3"/>
  <c r="BL81" i="3"/>
  <c r="BA82" i="3"/>
  <c r="AZ82" i="3" s="1"/>
  <c r="BL103" i="3"/>
  <c r="BA104" i="3"/>
  <c r="G109" i="3"/>
  <c r="C21" i="68"/>
  <c r="B57" i="43"/>
  <c r="AB36" i="71"/>
  <c r="C23" i="71"/>
  <c r="B22" i="71"/>
  <c r="B21" i="71" s="1"/>
  <c r="B20" i="71" s="1"/>
  <c r="BL154" i="3"/>
  <c r="G155" i="3"/>
  <c r="G163" i="3"/>
  <c r="G164" i="3"/>
  <c r="BA164" i="3"/>
  <c r="AZ164" i="3" s="1"/>
  <c r="BA166" i="3"/>
  <c r="AZ166" i="3" s="1"/>
  <c r="G174" i="3"/>
  <c r="G190" i="3"/>
  <c r="BA190" i="3"/>
  <c r="BL197" i="3"/>
  <c r="G198" i="3"/>
  <c r="BL201" i="3"/>
  <c r="BL203" i="3"/>
  <c r="AZ203" i="3" s="1"/>
  <c r="BA204" i="3"/>
  <c r="AZ204" i="3" s="1"/>
  <c r="BA18" i="3"/>
  <c r="G21" i="3"/>
  <c r="BL21" i="3"/>
  <c r="G23" i="3"/>
  <c r="G31" i="3"/>
  <c r="G41" i="3"/>
  <c r="G46" i="3"/>
  <c r="G47" i="3"/>
  <c r="BL49" i="3"/>
  <c r="G56" i="3"/>
  <c r="BA56" i="3"/>
  <c r="BA57" i="3"/>
  <c r="BL58" i="3"/>
  <c r="G60" i="3"/>
  <c r="BA60" i="3"/>
  <c r="G63" i="3"/>
  <c r="G64" i="3"/>
  <c r="BA66" i="3"/>
  <c r="G68" i="3"/>
  <c r="BA71" i="3"/>
  <c r="G73" i="3"/>
  <c r="BL77" i="3"/>
  <c r="G79" i="3"/>
  <c r="G84" i="3"/>
  <c r="G89" i="3"/>
  <c r="BA90" i="3"/>
  <c r="BA92" i="3"/>
  <c r="BL92" i="3"/>
  <c r="BL96" i="3"/>
  <c r="BA100" i="3"/>
  <c r="G102" i="3"/>
  <c r="G103" i="3"/>
  <c r="BA103" i="3"/>
  <c r="G107" i="3"/>
  <c r="E51" i="71"/>
  <c r="E52" i="71" s="1"/>
  <c r="U52" i="71" s="1"/>
  <c r="B59" i="71"/>
  <c r="B60" i="71" s="1"/>
  <c r="S60" i="71" s="1"/>
  <c r="AP6" i="1"/>
  <c r="C36" i="69" s="1"/>
  <c r="D93" i="9"/>
  <c r="B41" i="1"/>
  <c r="F52" i="9"/>
  <c r="F28" i="15"/>
  <c r="C40" i="11"/>
  <c r="C40" i="69"/>
  <c r="H5" i="3"/>
  <c r="G29" i="6"/>
  <c r="BL16" i="3"/>
  <c r="AZ16" i="3" s="1"/>
  <c r="W25" i="33"/>
  <c r="H69" i="43"/>
  <c r="AC27" i="33"/>
  <c r="AC23" i="37"/>
  <c r="U9" i="21"/>
  <c r="AB21" i="39"/>
  <c r="W17" i="21"/>
  <c r="AB35" i="37"/>
  <c r="S43" i="34"/>
  <c r="U25" i="39"/>
  <c r="AZ14" i="3"/>
  <c r="AZ304" i="3"/>
  <c r="AZ306" i="3"/>
  <c r="AZ587" i="3"/>
  <c r="S14" i="34"/>
  <c r="AA14" i="34"/>
  <c r="AA35" i="33"/>
  <c r="S32" i="37"/>
  <c r="S20" i="35"/>
  <c r="AA34" i="33"/>
  <c r="U33" i="34"/>
  <c r="AA23" i="39"/>
  <c r="AZ357" i="3"/>
  <c r="AZ313" i="3"/>
  <c r="AZ394" i="3"/>
  <c r="W44" i="33"/>
  <c r="AZ571" i="3"/>
  <c r="AZ579" i="3"/>
  <c r="S28" i="34"/>
  <c r="S26" i="33"/>
  <c r="AA26" i="33"/>
  <c r="AZ529" i="3"/>
  <c r="AZ537" i="3"/>
  <c r="AZ518" i="3"/>
  <c r="AZ585" i="3"/>
  <c r="AA14" i="33"/>
  <c r="W28" i="34"/>
  <c r="AC28" i="34"/>
  <c r="S17" i="37"/>
  <c r="AA19" i="40"/>
  <c r="AZ387" i="3"/>
  <c r="AZ362" i="3"/>
  <c r="AZ338" i="3"/>
  <c r="AZ390" i="3"/>
  <c r="AZ371" i="3"/>
  <c r="AZ351" i="3"/>
  <c r="AZ336" i="3"/>
  <c r="AZ305" i="3"/>
  <c r="AZ360" i="3"/>
  <c r="AZ557" i="3"/>
  <c r="AZ503" i="3"/>
  <c r="AZ513" i="3"/>
  <c r="AZ575" i="3"/>
  <c r="AZ552" i="3"/>
  <c r="AB46" i="34"/>
  <c r="U17" i="34"/>
  <c r="AB17" i="34"/>
  <c r="BL585" i="3"/>
  <c r="BL15" i="3"/>
  <c r="AZ15" i="3" s="1"/>
  <c r="AZ407" i="3"/>
  <c r="AZ419" i="3"/>
  <c r="AZ443" i="3"/>
  <c r="H9" i="34"/>
  <c r="F12" i="34"/>
  <c r="S12" i="34" s="1"/>
  <c r="G551" i="3"/>
  <c r="BL550" i="3"/>
  <c r="G542" i="3"/>
  <c r="AZ402" i="3"/>
  <c r="AZ406" i="3"/>
  <c r="BA431" i="3"/>
  <c r="G441" i="3"/>
  <c r="BL455" i="3"/>
  <c r="G466" i="3"/>
  <c r="G489" i="3"/>
  <c r="BL340" i="3"/>
  <c r="AZ340" i="3" s="1"/>
  <c r="G585" i="3"/>
  <c r="BL587" i="3"/>
  <c r="BL586" i="3"/>
  <c r="AZ586" i="3" s="1"/>
  <c r="J9" i="34"/>
  <c r="H12" i="34"/>
  <c r="G574" i="3"/>
  <c r="G404" i="3"/>
  <c r="BA424" i="3"/>
  <c r="BL440" i="3"/>
  <c r="G444" i="3"/>
  <c r="AZ451" i="3"/>
  <c r="BL469" i="3"/>
  <c r="AZ469" i="3" s="1"/>
  <c r="G323" i="3"/>
  <c r="AZ519" i="3"/>
  <c r="AZ531" i="3"/>
  <c r="AZ573" i="3"/>
  <c r="AZ583" i="3"/>
  <c r="AZ568" i="3"/>
  <c r="AZ576" i="3"/>
  <c r="U36" i="39"/>
  <c r="F27" i="21"/>
  <c r="AB8" i="39"/>
  <c r="C15" i="39"/>
  <c r="AA9" i="40"/>
  <c r="U31" i="36"/>
  <c r="G587" i="3"/>
  <c r="J12" i="35"/>
  <c r="F25" i="37"/>
  <c r="BA551" i="3"/>
  <c r="AZ551" i="3" s="1"/>
  <c r="BA550" i="3"/>
  <c r="BL548" i="3"/>
  <c r="AZ548" i="3" s="1"/>
  <c r="AZ400" i="3"/>
  <c r="AZ405" i="3"/>
  <c r="G399" i="3"/>
  <c r="BL400" i="3"/>
  <c r="BL408" i="3"/>
  <c r="BL411" i="3"/>
  <c r="BL413" i="3"/>
  <c r="G416" i="3"/>
  <c r="BL417" i="3"/>
  <c r="BL418" i="3"/>
  <c r="BL420" i="3"/>
  <c r="AZ420" i="3" s="1"/>
  <c r="G423" i="3"/>
  <c r="BL424" i="3"/>
  <c r="G427" i="3"/>
  <c r="BL428" i="3"/>
  <c r="BL429" i="3"/>
  <c r="BL432" i="3"/>
  <c r="BL435" i="3"/>
  <c r="BL436" i="3"/>
  <c r="BA439" i="3"/>
  <c r="BA440" i="3"/>
  <c r="AZ440" i="3" s="1"/>
  <c r="BA442" i="3"/>
  <c r="BA445" i="3"/>
  <c r="AZ445" i="3" s="1"/>
  <c r="BA447" i="3"/>
  <c r="AZ447" i="3" s="1"/>
  <c r="BA449" i="3"/>
  <c r="AZ449" i="3" s="1"/>
  <c r="BL453" i="3"/>
  <c r="BL454" i="3"/>
  <c r="G458" i="3"/>
  <c r="BL459" i="3"/>
  <c r="G462" i="3"/>
  <c r="BA465" i="3"/>
  <c r="AZ465" i="3" s="1"/>
  <c r="BA467" i="3"/>
  <c r="BA468" i="3"/>
  <c r="AZ468" i="3" s="1"/>
  <c r="BL471" i="3"/>
  <c r="BL475" i="3"/>
  <c r="BA477" i="3"/>
  <c r="BA478" i="3"/>
  <c r="AZ478" i="3" s="1"/>
  <c r="BA481" i="3"/>
  <c r="BA488" i="3"/>
  <c r="AZ488" i="3" s="1"/>
  <c r="BA491" i="3"/>
  <c r="BL324" i="3"/>
  <c r="AZ324" i="3" s="1"/>
  <c r="BL328" i="3"/>
  <c r="AZ328" i="3" s="1"/>
  <c r="BA335" i="3"/>
  <c r="AZ335" i="3" s="1"/>
  <c r="BA339" i="3"/>
  <c r="AZ339" i="3" s="1"/>
  <c r="BA348" i="3"/>
  <c r="BA350" i="3"/>
  <c r="BA354" i="3"/>
  <c r="BA366" i="3"/>
  <c r="AZ366" i="3" s="1"/>
  <c r="BL375" i="3"/>
  <c r="AZ375" i="3" s="1"/>
  <c r="BL385" i="3"/>
  <c r="G392" i="3"/>
  <c r="BA397" i="3"/>
  <c r="BL397" i="3"/>
  <c r="BA210" i="3"/>
  <c r="BL210" i="3"/>
  <c r="BA214" i="3"/>
  <c r="BL215" i="3"/>
  <c r="BA220" i="3"/>
  <c r="BA222" i="3"/>
  <c r="AZ222" i="3" s="1"/>
  <c r="BA224" i="3"/>
  <c r="AZ224" i="3" s="1"/>
  <c r="G229" i="3"/>
  <c r="BA235" i="3"/>
  <c r="AZ235" i="3" s="1"/>
  <c r="BA237" i="3"/>
  <c r="BL240" i="3"/>
  <c r="AZ240" i="3" s="1"/>
  <c r="BA242" i="3"/>
  <c r="AZ242" i="3" s="1"/>
  <c r="BL245" i="3"/>
  <c r="AZ245" i="3" s="1"/>
  <c r="G247" i="3"/>
  <c r="BA249" i="3"/>
  <c r="BL249" i="3"/>
  <c r="G253" i="3"/>
  <c r="BL398" i="3"/>
  <c r="G402" i="3"/>
  <c r="BL403" i="3"/>
  <c r="AZ403" i="3" s="1"/>
  <c r="G405" i="3"/>
  <c r="G406" i="3"/>
  <c r="BA408" i="3"/>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AZ436" i="3" s="1"/>
  <c r="BA438" i="3"/>
  <c r="G442" i="3"/>
  <c r="G443" i="3"/>
  <c r="BA446" i="3"/>
  <c r="BA450" i="3"/>
  <c r="BA453" i="3"/>
  <c r="AZ453" i="3" s="1"/>
  <c r="BA455" i="3"/>
  <c r="AZ455" i="3" s="1"/>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12" i="3"/>
  <c r="BL213" i="3"/>
  <c r="BA270" i="3"/>
  <c r="AZ270" i="3" s="1"/>
  <c r="AZ125" i="3"/>
  <c r="BA398" i="3"/>
  <c r="BA399" i="3"/>
  <c r="BL401" i="3"/>
  <c r="AZ401" i="3" s="1"/>
  <c r="BL404" i="3"/>
  <c r="AZ404" i="3" s="1"/>
  <c r="BL405" i="3"/>
  <c r="BL407" i="3"/>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39" i="3"/>
  <c r="BL441" i="3"/>
  <c r="AZ441" i="3" s="1"/>
  <c r="BL442" i="3"/>
  <c r="BL444" i="3"/>
  <c r="AZ444" i="3" s="1"/>
  <c r="G446" i="3"/>
  <c r="BL448" i="3"/>
  <c r="AZ448" i="3" s="1"/>
  <c r="G450" i="3"/>
  <c r="BA454" i="3"/>
  <c r="BA457" i="3"/>
  <c r="AZ457" i="3" s="1"/>
  <c r="BA459" i="3"/>
  <c r="BA460" i="3"/>
  <c r="AZ460" i="3" s="1"/>
  <c r="BA461" i="3"/>
  <c r="AZ461" i="3" s="1"/>
  <c r="BL464" i="3"/>
  <c r="AZ464" i="3" s="1"/>
  <c r="BL466" i="3"/>
  <c r="AZ466" i="3" s="1"/>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4" i="3"/>
  <c r="G218" i="3"/>
  <c r="BA226" i="3"/>
  <c r="BA231" i="3"/>
  <c r="BL233" i="3"/>
  <c r="AZ233" i="3" s="1"/>
  <c r="G251" i="3"/>
  <c r="G255" i="3"/>
  <c r="BL267" i="3"/>
  <c r="BA275" i="3"/>
  <c r="BL299" i="3"/>
  <c r="BL113" i="3"/>
  <c r="BL115" i="3"/>
  <c r="AZ115" i="3" s="1"/>
  <c r="BA118" i="3"/>
  <c r="BL118" i="3"/>
  <c r="BA122" i="3"/>
  <c r="AZ122" i="3" s="1"/>
  <c r="BL125" i="3"/>
  <c r="BL126" i="3"/>
  <c r="BA144" i="3"/>
  <c r="AZ144" i="3" s="1"/>
  <c r="BA153" i="3"/>
  <c r="BL155" i="3"/>
  <c r="AZ155" i="3" s="1"/>
  <c r="BL225" i="3"/>
  <c r="BL226" i="3"/>
  <c r="BA239" i="3"/>
  <c r="AZ239" i="3" s="1"/>
  <c r="BL239" i="3"/>
  <c r="BA241" i="3"/>
  <c r="BL241" i="3"/>
  <c r="BA244" i="3"/>
  <c r="AZ244" i="3" s="1"/>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7" i="3"/>
  <c r="BA130" i="3"/>
  <c r="AZ130" i="3" s="1"/>
  <c r="BL130" i="3"/>
  <c r="BA137" i="3"/>
  <c r="AZ137" i="3" s="1"/>
  <c r="BL138" i="3"/>
  <c r="BA140" i="3"/>
  <c r="AZ140" i="3" s="1"/>
  <c r="BA142" i="3"/>
  <c r="BL149" i="3"/>
  <c r="BL150" i="3"/>
  <c r="AZ150" i="3" s="1"/>
  <c r="G151" i="3"/>
  <c r="BA152" i="3"/>
  <c r="AZ152" i="3" s="1"/>
  <c r="BA154" i="3"/>
  <c r="BA160" i="3"/>
  <c r="AZ160" i="3" s="1"/>
  <c r="G162" i="3"/>
  <c r="BL162" i="3"/>
  <c r="AZ162" i="3" s="1"/>
  <c r="BL165" i="3"/>
  <c r="G166" i="3"/>
  <c r="BA177" i="3"/>
  <c r="AZ177" i="3" s="1"/>
  <c r="BA178" i="3"/>
  <c r="BA188" i="3"/>
  <c r="AZ188" i="3" s="1"/>
  <c r="BL205" i="3"/>
  <c r="G206" i="3"/>
  <c r="BA209" i="3"/>
  <c r="BL217" i="3"/>
  <c r="AZ217" i="3" s="1"/>
  <c r="BA219" i="3"/>
  <c r="AZ219" i="3" s="1"/>
  <c r="BA221" i="3"/>
  <c r="BA223" i="3"/>
  <c r="BL228" i="3"/>
  <c r="AZ228" i="3" s="1"/>
  <c r="BA230" i="3"/>
  <c r="AZ230" i="3" s="1"/>
  <c r="BL232" i="3"/>
  <c r="BL234" i="3"/>
  <c r="BA236" i="3"/>
  <c r="BA238" i="3"/>
  <c r="AZ238" i="3" s="1"/>
  <c r="BA243" i="3"/>
  <c r="AZ243" i="3" s="1"/>
  <c r="BL248" i="3"/>
  <c r="G250" i="3"/>
  <c r="BL250" i="3"/>
  <c r="AZ250" i="3" s="1"/>
  <c r="G252" i="3"/>
  <c r="G254" i="3"/>
  <c r="BA259" i="3"/>
  <c r="AZ259" i="3" s="1"/>
  <c r="BL261" i="3"/>
  <c r="BA263" i="3"/>
  <c r="AZ263" i="3" s="1"/>
  <c r="BA267" i="3"/>
  <c r="AZ267" i="3" s="1"/>
  <c r="BA269" i="3"/>
  <c r="AZ269" i="3" s="1"/>
  <c r="BA271" i="3"/>
  <c r="AZ271" i="3" s="1"/>
  <c r="BL271" i="3"/>
  <c r="BA274" i="3"/>
  <c r="BL274" i="3"/>
  <c r="BA276" i="3"/>
  <c r="AZ276" i="3" s="1"/>
  <c r="BA279" i="3"/>
  <c r="BA281" i="3"/>
  <c r="G286" i="3"/>
  <c r="BL286" i="3"/>
  <c r="AZ286" i="3" s="1"/>
  <c r="G289" i="3"/>
  <c r="G290" i="3"/>
  <c r="BA296" i="3"/>
  <c r="BA126" i="3"/>
  <c r="AZ126" i="3" s="1"/>
  <c r="BA129" i="3"/>
  <c r="BL133" i="3"/>
  <c r="AZ133" i="3" s="1"/>
  <c r="BL141" i="3"/>
  <c r="G154" i="3"/>
  <c r="G156" i="3"/>
  <c r="BL157" i="3"/>
  <c r="AZ157" i="3" s="1"/>
  <c r="BL173" i="3"/>
  <c r="BA176" i="3"/>
  <c r="AZ176" i="3" s="1"/>
  <c r="BL183" i="3"/>
  <c r="AZ183" i="3" s="1"/>
  <c r="BA186" i="3"/>
  <c r="AZ186" i="3" s="1"/>
  <c r="BL189" i="3"/>
  <c r="AZ189" i="3" s="1"/>
  <c r="BL190" i="3"/>
  <c r="AZ190" i="3" s="1"/>
  <c r="BA192" i="3"/>
  <c r="AZ192" i="3" s="1"/>
  <c r="BL195" i="3"/>
  <c r="AZ195" i="3" s="1"/>
  <c r="BA197" i="3"/>
  <c r="AZ197" i="3" s="1"/>
  <c r="BA201" i="3"/>
  <c r="AZ201" i="3" s="1"/>
  <c r="BL255" i="3"/>
  <c r="G257" i="3"/>
  <c r="BL257" i="3"/>
  <c r="AZ257" i="3" s="1"/>
  <c r="BL258" i="3"/>
  <c r="G259" i="3"/>
  <c r="BA262" i="3"/>
  <c r="G265" i="3"/>
  <c r="BL265" i="3"/>
  <c r="AZ265" i="3" s="1"/>
  <c r="G267" i="3"/>
  <c r="G269" i="3"/>
  <c r="BA273" i="3"/>
  <c r="BA278" i="3"/>
  <c r="AZ278" i="3" s="1"/>
  <c r="BA280" i="3"/>
  <c r="AZ280" i="3" s="1"/>
  <c r="G283" i="3"/>
  <c r="BL283" i="3"/>
  <c r="AZ283" i="3" s="1"/>
  <c r="BL284" i="3"/>
  <c r="G285" i="3"/>
  <c r="BL292" i="3"/>
  <c r="BA294" i="3"/>
  <c r="AZ294" i="3" s="1"/>
  <c r="BL295" i="3"/>
  <c r="BL301" i="3"/>
  <c r="AZ301" i="3" s="1"/>
  <c r="BL302" i="3"/>
  <c r="BA114" i="3"/>
  <c r="BL123" i="3"/>
  <c r="AZ123" i="3" s="1"/>
  <c r="BA146" i="3"/>
  <c r="AZ146" i="3" s="1"/>
  <c r="AZ103" i="3"/>
  <c r="AC29" i="39"/>
  <c r="W29" i="39"/>
  <c r="E28" i="71"/>
  <c r="AA27" i="71"/>
  <c r="AA28" i="71"/>
  <c r="D38" i="71"/>
  <c r="C39" i="71"/>
  <c r="Y30" i="71"/>
  <c r="Z30" i="71" s="1"/>
  <c r="AA38" i="71"/>
  <c r="AA39" i="71"/>
  <c r="AA37" i="71"/>
  <c r="D84" i="71"/>
  <c r="C83" i="7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BA25" i="3"/>
  <c r="BA26" i="3"/>
  <c r="G28" i="3"/>
  <c r="BL28" i="3"/>
  <c r="BA29" i="3"/>
  <c r="AZ29" i="3" s="1"/>
  <c r="BA36" i="3"/>
  <c r="BL38" i="3"/>
  <c r="BA39" i="3"/>
  <c r="AZ39" i="3" s="1"/>
  <c r="BL47" i="3"/>
  <c r="AZ47" i="3" s="1"/>
  <c r="G49" i="3"/>
  <c r="G50" i="3"/>
  <c r="G52" i="3"/>
  <c r="BA52" i="3"/>
  <c r="AZ52" i="3" s="1"/>
  <c r="BA53" i="3"/>
  <c r="AZ53" i="3" s="1"/>
  <c r="BA54" i="3"/>
  <c r="BL57" i="3"/>
  <c r="AZ57" i="3" s="1"/>
  <c r="G59" i="3"/>
  <c r="G62" i="3"/>
  <c r="BL62" i="3"/>
  <c r="AZ62" i="3" s="1"/>
  <c r="BL63" i="3"/>
  <c r="AZ63" i="3" s="1"/>
  <c r="G65" i="3"/>
  <c r="BL65" i="3"/>
  <c r="AZ65" i="3" s="1"/>
  <c r="BL66" i="3"/>
  <c r="AZ66" i="3" s="1"/>
  <c r="BL67" i="3"/>
  <c r="AZ67" i="3" s="1"/>
  <c r="G69" i="3"/>
  <c r="G70" i="3"/>
  <c r="BL70" i="3"/>
  <c r="AZ70" i="3" s="1"/>
  <c r="BL71" i="3"/>
  <c r="AZ71" i="3" s="1"/>
  <c r="BL72" i="3"/>
  <c r="AZ72" i="3" s="1"/>
  <c r="G74" i="3"/>
  <c r="G75" i="3"/>
  <c r="BL75" i="3"/>
  <c r="BL91" i="3"/>
  <c r="BL100" i="3"/>
  <c r="AZ100" i="3" s="1"/>
  <c r="BL105" i="3"/>
  <c r="BL107" i="3"/>
  <c r="P65" i="71"/>
  <c r="P66" i="71"/>
  <c r="Y26" i="71"/>
  <c r="Z26" i="71" s="1"/>
  <c r="C28" i="71"/>
  <c r="Y28" i="71"/>
  <c r="Z28" i="71" s="1"/>
  <c r="Y25" i="71"/>
  <c r="Z25" i="71" s="1"/>
  <c r="Y35" i="71"/>
  <c r="Z35" i="71" s="1"/>
  <c r="Y37" i="71"/>
  <c r="Z37" i="71" s="1"/>
  <c r="X36" i="71"/>
  <c r="X35" i="71"/>
  <c r="X25" i="71"/>
  <c r="X38" i="71"/>
  <c r="C47" i="71"/>
  <c r="D47" i="71" s="1"/>
  <c r="D46" i="71"/>
  <c r="BA200" i="3"/>
  <c r="AZ200" i="3" s="1"/>
  <c r="BA202" i="3"/>
  <c r="BL207" i="3"/>
  <c r="AZ207" i="3" s="1"/>
  <c r="BL18" i="3"/>
  <c r="BL19" i="3"/>
  <c r="BA20" i="3"/>
  <c r="AZ20" i="3" s="1"/>
  <c r="BL25" i="3"/>
  <c r="BL27" i="3"/>
  <c r="BA28" i="3"/>
  <c r="AZ28" i="3" s="1"/>
  <c r="BA31" i="3"/>
  <c r="BA32" i="3"/>
  <c r="BA38" i="3"/>
  <c r="BA41" i="3"/>
  <c r="BA42" i="3"/>
  <c r="BL48" i="3"/>
  <c r="BL54" i="3"/>
  <c r="BL55" i="3"/>
  <c r="AZ55" i="3" s="1"/>
  <c r="BA59" i="3"/>
  <c r="BL61" i="3"/>
  <c r="BA64" i="3"/>
  <c r="AZ64" i="3" s="1"/>
  <c r="BL68" i="3"/>
  <c r="BA69" i="3"/>
  <c r="AZ69" i="3" s="1"/>
  <c r="BL73" i="3"/>
  <c r="AZ73" i="3" s="1"/>
  <c r="BA74" i="3"/>
  <c r="AZ74" i="3" s="1"/>
  <c r="BA75" i="3"/>
  <c r="AZ75" i="3" s="1"/>
  <c r="BA78" i="3"/>
  <c r="BA80" i="3"/>
  <c r="BL84" i="3"/>
  <c r="BA89" i="3"/>
  <c r="BL94" i="3"/>
  <c r="BL99" i="3"/>
  <c r="BA102" i="3"/>
  <c r="BL110" i="3"/>
  <c r="BL111" i="3"/>
  <c r="AZ111" i="3" s="1"/>
  <c r="AA21" i="37"/>
  <c r="S21" i="37"/>
  <c r="P27" i="6"/>
  <c r="Y27" i="71"/>
  <c r="Z27" i="71" s="1"/>
  <c r="AB32" i="71"/>
  <c r="AA34" i="71"/>
  <c r="AA30" i="71"/>
  <c r="C51" i="71"/>
  <c r="D56" i="71"/>
  <c r="T56" i="71"/>
  <c r="N67" i="71"/>
  <c r="B66" i="71"/>
  <c r="F66" i="71"/>
  <c r="Q66" i="71" s="1"/>
  <c r="Q67" i="71"/>
  <c r="T80" i="71"/>
  <c r="C79" i="71"/>
  <c r="BL170" i="3"/>
  <c r="G171" i="3"/>
  <c r="BA173" i="3"/>
  <c r="AZ173" i="3" s="1"/>
  <c r="BA174" i="3"/>
  <c r="BL179" i="3"/>
  <c r="AZ179" i="3" s="1"/>
  <c r="G180" i="3"/>
  <c r="BA181" i="3"/>
  <c r="AZ181" i="3" s="1"/>
  <c r="BA182" i="3"/>
  <c r="BL185" i="3"/>
  <c r="AZ185" i="3" s="1"/>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AZ40" i="3" s="1"/>
  <c r="BL41" i="3"/>
  <c r="G45" i="3"/>
  <c r="BL45" i="3"/>
  <c r="AZ45" i="3" s="1"/>
  <c r="BA48" i="3"/>
  <c r="AZ48" i="3" s="1"/>
  <c r="BA49" i="3"/>
  <c r="AZ49" i="3" s="1"/>
  <c r="BA51" i="3"/>
  <c r="G54" i="3"/>
  <c r="G55" i="3"/>
  <c r="BL56" i="3"/>
  <c r="BA58" i="3"/>
  <c r="AZ58" i="3" s="1"/>
  <c r="BL59" i="3"/>
  <c r="BL60" i="3"/>
  <c r="AZ60" i="3" s="1"/>
  <c r="BA61" i="3"/>
  <c r="BA68" i="3"/>
  <c r="BA73" i="3"/>
  <c r="BA79" i="3"/>
  <c r="AZ79" i="3" s="1"/>
  <c r="G82" i="3"/>
  <c r="G83" i="3"/>
  <c r="BA84" i="3"/>
  <c r="BL88" i="3"/>
  <c r="AZ88" i="3" s="1"/>
  <c r="G90" i="3"/>
  <c r="BL90" i="3"/>
  <c r="G98" i="3"/>
  <c r="G99" i="3"/>
  <c r="BA105" i="3"/>
  <c r="AZ105" i="3" s="1"/>
  <c r="BA106" i="3"/>
  <c r="BL108" i="3"/>
  <c r="G110" i="3"/>
  <c r="BL112" i="3"/>
  <c r="AA18" i="36"/>
  <c r="S18" i="36"/>
  <c r="E40" i="71"/>
  <c r="U40" i="71" s="1"/>
  <c r="F34" i="71"/>
  <c r="F35" i="71" s="1"/>
  <c r="F36" i="71" s="1"/>
  <c r="V36" i="71" s="1"/>
  <c r="AB33" i="71"/>
  <c r="AB28" i="71"/>
  <c r="AB26" i="71"/>
  <c r="T72" i="71"/>
  <c r="C71" i="71"/>
  <c r="U76" i="71"/>
  <c r="E75" i="71"/>
  <c r="E74" i="71" s="1"/>
  <c r="G81" i="3"/>
  <c r="G85" i="3"/>
  <c r="BL85" i="3"/>
  <c r="BA86" i="3"/>
  <c r="AZ86" i="3" s="1"/>
  <c r="BA87" i="3"/>
  <c r="BA91" i="3"/>
  <c r="G96" i="3"/>
  <c r="BL97" i="3"/>
  <c r="AZ97" i="3" s="1"/>
  <c r="BL101" i="3"/>
  <c r="AZ101" i="3" s="1"/>
  <c r="BL102" i="3"/>
  <c r="G104" i="3"/>
  <c r="G105" i="3"/>
  <c r="BL106" i="3"/>
  <c r="BA108" i="3"/>
  <c r="AZ108" i="3" s="1"/>
  <c r="BA110" i="3"/>
  <c r="AZ110" i="3" s="1"/>
  <c r="F3" i="35"/>
  <c r="S25" i="40"/>
  <c r="B77" i="43"/>
  <c r="AA18" i="35"/>
  <c r="O67" i="71"/>
  <c r="C87" i="71"/>
  <c r="E79" i="71"/>
  <c r="E78" i="71" s="1"/>
  <c r="AB25" i="71"/>
  <c r="C43" i="71"/>
  <c r="C35" i="71"/>
  <c r="N68" i="71"/>
  <c r="X33" i="71"/>
  <c r="AB37" i="71"/>
  <c r="C66" i="71"/>
  <c r="S28" i="71"/>
  <c r="X28" i="71"/>
  <c r="X32" i="71"/>
  <c r="AB38" i="71"/>
  <c r="F75" i="71"/>
  <c r="F74" i="71" s="1"/>
  <c r="E23" i="71"/>
  <c r="E22" i="71" s="1"/>
  <c r="E21" i="71" s="1"/>
  <c r="E20" i="71" s="1"/>
  <c r="E35" i="71"/>
  <c r="E36" i="71" s="1"/>
  <c r="U36" i="71" s="1"/>
  <c r="AB31" i="71"/>
  <c r="AA36" i="71"/>
  <c r="B47" i="71"/>
  <c r="B48" i="71" s="1"/>
  <c r="S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9" i="3"/>
  <c r="AZ442" i="3"/>
  <c r="AZ452" i="3"/>
  <c r="AZ456" i="3"/>
  <c r="AZ467" i="3"/>
  <c r="AZ470" i="3"/>
  <c r="W35" i="39"/>
  <c r="F27" i="34"/>
  <c r="C21" i="39"/>
  <c r="U9" i="36"/>
  <c r="U14" i="37"/>
  <c r="H12" i="21"/>
  <c r="G526" i="3"/>
  <c r="AZ424" i="3"/>
  <c r="AZ434" i="3"/>
  <c r="AZ438"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G378" i="3"/>
  <c r="G395" i="3"/>
  <c r="G208" i="3"/>
  <c r="G211" i="3"/>
  <c r="BA213" i="3"/>
  <c r="AZ213" i="3" s="1"/>
  <c r="BA215" i="3"/>
  <c r="G219" i="3"/>
  <c r="AZ221" i="3"/>
  <c r="AZ225" i="3"/>
  <c r="G230" i="3"/>
  <c r="BA232" i="3"/>
  <c r="AZ232" i="3" s="1"/>
  <c r="BA234" i="3"/>
  <c r="AZ236" i="3"/>
  <c r="G248" i="3"/>
  <c r="AZ260" i="3"/>
  <c r="BL268" i="3"/>
  <c r="AZ268" i="3" s="1"/>
  <c r="G278" i="3"/>
  <c r="BA474" i="3"/>
  <c r="AZ474" i="3" s="1"/>
  <c r="BA475" i="3"/>
  <c r="BL481" i="3"/>
  <c r="AZ481" i="3" s="1"/>
  <c r="BL482" i="3"/>
  <c r="AZ482" i="3" s="1"/>
  <c r="G483" i="3"/>
  <c r="BL485" i="3"/>
  <c r="AZ485" i="3" s="1"/>
  <c r="BL486" i="3"/>
  <c r="G487" i="3"/>
  <c r="BA492" i="3"/>
  <c r="BL363" i="3"/>
  <c r="AZ363" i="3" s="1"/>
  <c r="G369" i="3"/>
  <c r="BL393" i="3"/>
  <c r="AZ393" i="3" s="1"/>
  <c r="BL396" i="3"/>
  <c r="AZ396" i="3" s="1"/>
  <c r="BL209" i="3"/>
  <c r="G240" i="3"/>
  <c r="G242" i="3"/>
  <c r="G245" i="3"/>
  <c r="BL246" i="3"/>
  <c r="AZ246" i="3" s="1"/>
  <c r="BL253" i="3"/>
  <c r="AZ253" i="3" s="1"/>
  <c r="BA261" i="3"/>
  <c r="BA264" i="3"/>
  <c r="AZ264" i="3" s="1"/>
  <c r="BA266" i="3"/>
  <c r="AZ266" i="3" s="1"/>
  <c r="G272" i="3"/>
  <c r="G275" i="3"/>
  <c r="BL276" i="3"/>
  <c r="BL279" i="3"/>
  <c r="AZ279" i="3" s="1"/>
  <c r="BL281" i="3"/>
  <c r="BA285" i="3"/>
  <c r="AZ285" i="3" s="1"/>
  <c r="BA287" i="3"/>
  <c r="AZ287" i="3" s="1"/>
  <c r="AZ290" i="3"/>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93" i="3"/>
  <c r="BL202" i="3"/>
  <c r="AZ202" i="3" s="1"/>
  <c r="AZ30" i="3"/>
  <c r="BL36" i="3"/>
  <c r="AZ36" i="3" s="1"/>
  <c r="AZ68" i="3"/>
  <c r="AZ104" i="3"/>
  <c r="AZ106"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65" i="67"/>
  <c r="B13" i="70"/>
  <c r="C36" i="68"/>
  <c r="D9" i="69"/>
  <c r="D9" i="68"/>
  <c r="F43" i="91"/>
  <c r="D3" i="73"/>
  <c r="F38" i="84"/>
  <c r="F7" i="91"/>
  <c r="M9" i="15"/>
  <c r="M9" i="67"/>
  <c r="M28" i="15"/>
  <c r="F13" i="15"/>
  <c r="M23" i="91"/>
  <c r="F38" i="91"/>
  <c r="C76" i="15"/>
  <c r="J15" i="15"/>
  <c r="F9" i="15"/>
  <c r="F13" i="91"/>
  <c r="F40" i="15"/>
  <c r="L47" i="67"/>
  <c r="M27" i="84"/>
  <c r="C76" i="84"/>
  <c r="L48" i="84"/>
  <c r="L47" i="84"/>
  <c r="J15" i="67"/>
  <c r="F6" i="67"/>
  <c r="M29" i="67"/>
  <c r="L47" i="15"/>
  <c r="F16" i="15"/>
  <c r="M22" i="91"/>
  <c r="F43" i="67"/>
  <c r="J15" i="84"/>
  <c r="M8" i="84"/>
  <c r="M22" i="84"/>
  <c r="L48" i="91"/>
  <c r="F40" i="91"/>
  <c r="F8" i="67"/>
  <c r="M26" i="84"/>
  <c r="M6" i="91"/>
  <c r="M8" i="15"/>
  <c r="F8" i="15"/>
  <c r="J15" i="91"/>
  <c r="M24" i="84"/>
  <c r="M6" i="15"/>
  <c r="F6" i="15"/>
  <c r="F7" i="67"/>
  <c r="M28" i="67"/>
  <c r="M23" i="84"/>
  <c r="L47" i="91"/>
  <c r="M9" i="91"/>
  <c r="F38" i="15"/>
  <c r="C76" i="67"/>
  <c r="F42" i="67"/>
  <c r="F26" i="15"/>
  <c r="L48" i="67"/>
  <c r="F40" i="67"/>
  <c r="M28" i="91"/>
  <c r="F36" i="84"/>
  <c r="F38" i="67"/>
  <c r="F26" i="67"/>
  <c r="D5" i="73"/>
  <c r="F26" i="84"/>
  <c r="M26" i="15"/>
  <c r="M22" i="15"/>
  <c r="M8" i="91"/>
  <c r="M6" i="67"/>
  <c r="F8" i="91"/>
  <c r="F42" i="84"/>
  <c r="M24" i="91"/>
  <c r="F16" i="91"/>
  <c r="F8" i="84"/>
  <c r="F6" i="91"/>
  <c r="M26" i="91"/>
  <c r="F13" i="67"/>
  <c r="D4" i="73"/>
  <c r="F36" i="15"/>
  <c r="F9" i="84"/>
  <c r="M29" i="91"/>
  <c r="M8" i="67"/>
  <c r="F37" i="15"/>
  <c r="D7" i="73"/>
  <c r="F16" i="67"/>
  <c r="M27" i="91"/>
  <c r="F36" i="67"/>
  <c r="F13" i="84"/>
  <c r="M28" i="84"/>
  <c r="F9" i="91"/>
  <c r="F37" i="91"/>
  <c r="C76" i="91"/>
  <c r="M22" i="67"/>
  <c r="F37" i="84"/>
  <c r="F16" i="84"/>
  <c r="F42" i="91"/>
  <c r="M6" i="84"/>
  <c r="F40" i="84"/>
  <c r="M9" i="84"/>
  <c r="F26" i="91"/>
  <c r="F36" i="91"/>
  <c r="M24" i="67"/>
  <c r="M23" i="67"/>
  <c r="F42" i="15"/>
  <c r="C24" i="43" l="1"/>
  <c r="G44" i="43"/>
  <c r="C44" i="43" s="1"/>
  <c r="C27" i="84"/>
  <c r="F51" i="84"/>
  <c r="Q71" i="84"/>
  <c r="F68" i="84"/>
  <c r="F65" i="84"/>
  <c r="F64" i="84"/>
  <c r="F66" i="84"/>
  <c r="N59" i="84"/>
  <c r="M59" i="84"/>
  <c r="L59" i="84"/>
  <c r="L58" i="84"/>
  <c r="Q73" i="84" s="1"/>
  <c r="I54" i="84"/>
  <c r="L57" i="84"/>
  <c r="L56" i="84"/>
  <c r="J53" i="84"/>
  <c r="F1" i="84" s="1"/>
  <c r="J60" i="84"/>
  <c r="Q48" i="84" s="1"/>
  <c r="J59" i="84"/>
  <c r="J57" i="84"/>
  <c r="J55" i="84" s="1"/>
  <c r="J58" i="84" s="1"/>
  <c r="Q50" i="84" s="1"/>
  <c r="L60" i="84"/>
  <c r="Q66" i="84" s="1"/>
  <c r="F50" i="91"/>
  <c r="M7" i="91"/>
  <c r="J6" i="91" s="1"/>
  <c r="F64" i="91"/>
  <c r="F51" i="91"/>
  <c r="C27" i="91"/>
  <c r="L57" i="91"/>
  <c r="J57" i="91"/>
  <c r="J55" i="91" s="1"/>
  <c r="J58" i="91" s="1"/>
  <c r="Q50" i="91" s="1"/>
  <c r="L56" i="91"/>
  <c r="J59" i="91"/>
  <c r="I54" i="91"/>
  <c r="L60" i="91"/>
  <c r="J60" i="91"/>
  <c r="Q48" i="91" s="1"/>
  <c r="J53" i="91"/>
  <c r="C6" i="91"/>
  <c r="Q71" i="91"/>
  <c r="F66" i="91"/>
  <c r="L59" i="91"/>
  <c r="N59" i="91"/>
  <c r="L58" i="91"/>
  <c r="M59" i="91"/>
  <c r="F68" i="91"/>
  <c r="F65" i="91"/>
  <c r="F71" i="91"/>
  <c r="O7" i="1"/>
  <c r="P7" i="1" s="1"/>
  <c r="F11" i="91"/>
  <c r="M11" i="91"/>
  <c r="J10" i="91" s="1"/>
  <c r="E83" i="43"/>
  <c r="B81" i="43" s="1"/>
  <c r="Q52" i="84"/>
  <c r="F11" i="84"/>
  <c r="M11" i="84"/>
  <c r="J10" i="84" s="1"/>
  <c r="C6" i="67"/>
  <c r="C32" i="67" s="1"/>
  <c r="L56" i="67"/>
  <c r="I54" i="67"/>
  <c r="J57" i="67"/>
  <c r="J55" i="67" s="1"/>
  <c r="J58" i="67" s="1"/>
  <c r="Q50" i="67" s="1"/>
  <c r="J53" i="67"/>
  <c r="F1" i="67" s="1"/>
  <c r="C27" i="67"/>
  <c r="F68" i="67"/>
  <c r="M7" i="67"/>
  <c r="J6" i="67" s="1"/>
  <c r="J18" i="67" s="1"/>
  <c r="F50" i="67"/>
  <c r="L58" i="67"/>
  <c r="Q60" i="67" s="1"/>
  <c r="M59" i="67"/>
  <c r="N59" i="67"/>
  <c r="L59" i="67"/>
  <c r="Q74" i="67" s="1"/>
  <c r="F71" i="67"/>
  <c r="F66" i="67"/>
  <c r="Q71" i="67"/>
  <c r="F66" i="15"/>
  <c r="F64" i="67"/>
  <c r="F51" i="67"/>
  <c r="F48" i="9"/>
  <c r="O52" i="9" s="1"/>
  <c r="F28" i="83"/>
  <c r="C28" i="83" s="1"/>
  <c r="F32" i="83"/>
  <c r="F60" i="83" s="1"/>
  <c r="M18" i="83"/>
  <c r="T60" i="71"/>
  <c r="D60" i="71"/>
  <c r="AB37" i="39"/>
  <c r="U37" i="39"/>
  <c r="AB31" i="39"/>
  <c r="U31" i="39"/>
  <c r="S36" i="39"/>
  <c r="AA36" i="39"/>
  <c r="AC9" i="33"/>
  <c r="W9" i="33"/>
  <c r="AZ546" i="3"/>
  <c r="S14" i="21"/>
  <c r="AA14" i="21"/>
  <c r="U40" i="37"/>
  <c r="AB40" i="37"/>
  <c r="AC28" i="37"/>
  <c r="W28" i="37"/>
  <c r="D121" i="9"/>
  <c r="D7" i="52" s="1"/>
  <c r="D6" i="52"/>
  <c r="AZ170" i="3"/>
  <c r="AZ138" i="3"/>
  <c r="AZ84" i="3"/>
  <c r="AZ94" i="3"/>
  <c r="AZ21" i="3"/>
  <c r="C31" i="71"/>
  <c r="AZ154" i="3"/>
  <c r="AZ149" i="3"/>
  <c r="AZ275" i="3"/>
  <c r="AZ435" i="3"/>
  <c r="AZ399" i="3"/>
  <c r="AZ471" i="3"/>
  <c r="AZ408" i="3"/>
  <c r="AZ431" i="3"/>
  <c r="F31" i="12"/>
  <c r="C31" i="12" s="1"/>
  <c r="F54" i="9"/>
  <c r="B19" i="71"/>
  <c r="B18" i="71" s="1"/>
  <c r="B17" i="71" s="1"/>
  <c r="B16" i="71" s="1"/>
  <c r="S20" i="71"/>
  <c r="AZ332" i="3"/>
  <c r="AA37" i="39"/>
  <c r="S37" i="39"/>
  <c r="AB12" i="40"/>
  <c r="U12" i="40"/>
  <c r="AC23" i="36"/>
  <c r="W23" i="36"/>
  <c r="AB27" i="21"/>
  <c r="U27" i="21"/>
  <c r="AZ499" i="3"/>
  <c r="U33" i="40"/>
  <c r="AB33" i="40"/>
  <c r="W45" i="21"/>
  <c r="AC45" i="21"/>
  <c r="W14" i="21"/>
  <c r="AC14" i="21"/>
  <c r="AZ99" i="3"/>
  <c r="AZ80" i="3"/>
  <c r="AZ295" i="3"/>
  <c r="AZ492" i="3"/>
  <c r="AZ51" i="3"/>
  <c r="AZ262" i="3"/>
  <c r="AZ274" i="3"/>
  <c r="AZ248" i="3"/>
  <c r="AZ223" i="3"/>
  <c r="AZ277" i="3"/>
  <c r="AZ256" i="3"/>
  <c r="AZ459" i="3"/>
  <c r="AZ237" i="3"/>
  <c r="AZ413" i="3"/>
  <c r="AZ550" i="3"/>
  <c r="F28" i="67"/>
  <c r="C28" i="67" s="1"/>
  <c r="F30" i="69"/>
  <c r="M18" i="15"/>
  <c r="C22" i="71"/>
  <c r="D23" i="71"/>
  <c r="AZ50" i="3"/>
  <c r="AZ473" i="3"/>
  <c r="W37" i="39"/>
  <c r="AC37" i="39"/>
  <c r="AZ521" i="3"/>
  <c r="W12" i="40"/>
  <c r="AC12" i="40"/>
  <c r="S23" i="36"/>
  <c r="AA23" i="36"/>
  <c r="AA40" i="37"/>
  <c r="S40" i="37"/>
  <c r="W27" i="21"/>
  <c r="AC27" i="21"/>
  <c r="AC33" i="40"/>
  <c r="W33" i="40"/>
  <c r="W13" i="40"/>
  <c r="AC13" i="40"/>
  <c r="AC9" i="36"/>
  <c r="W9" i="36"/>
  <c r="S30" i="21"/>
  <c r="AA30" i="21"/>
  <c r="U14" i="21"/>
  <c r="AB14" i="21"/>
  <c r="W12" i="37"/>
  <c r="AC12" i="37"/>
  <c r="Q65" i="71"/>
  <c r="AZ261" i="3"/>
  <c r="AZ215" i="3"/>
  <c r="AZ348" i="3"/>
  <c r="F30" i="6"/>
  <c r="AZ226" i="3"/>
  <c r="AZ350" i="3"/>
  <c r="F32" i="67"/>
  <c r="F60" i="67" s="1"/>
  <c r="F30" i="68"/>
  <c r="F30" i="11"/>
  <c r="AA31" i="39"/>
  <c r="S31" i="39"/>
  <c r="AZ541" i="3"/>
  <c r="U33" i="36"/>
  <c r="AB33" i="36"/>
  <c r="AB23" i="36"/>
  <c r="U23" i="36"/>
  <c r="AZ530" i="3"/>
  <c r="AB13" i="36"/>
  <c r="U13" i="36"/>
  <c r="U13" i="40"/>
  <c r="AB13" i="40"/>
  <c r="U30" i="21"/>
  <c r="AB30" i="21"/>
  <c r="AB14" i="39"/>
  <c r="U14" i="39"/>
  <c r="AZ505" i="3"/>
  <c r="O6" i="1"/>
  <c r="F11" i="83"/>
  <c r="M11" i="83"/>
  <c r="J10" i="83" s="1"/>
  <c r="D68" i="9"/>
  <c r="F32" i="15"/>
  <c r="F60" i="15" s="1"/>
  <c r="M18" i="67"/>
  <c r="P6" i="1"/>
  <c r="C13" i="12" s="1"/>
  <c r="E59" i="40"/>
  <c r="J26" i="43"/>
  <c r="N94" i="46"/>
  <c r="E26" i="43"/>
  <c r="H26" i="43"/>
  <c r="G26" i="43"/>
  <c r="N370" i="46"/>
  <c r="F51" i="15"/>
  <c r="F64" i="15"/>
  <c r="N59" i="15"/>
  <c r="M59" i="15"/>
  <c r="L59" i="15"/>
  <c r="Q61" i="15" s="1"/>
  <c r="L58" i="15"/>
  <c r="Q73" i="15" s="1"/>
  <c r="C27" i="15"/>
  <c r="Q71" i="15"/>
  <c r="F31" i="15"/>
  <c r="F65" i="15"/>
  <c r="F68" i="15"/>
  <c r="C44" i="71"/>
  <c r="D43" i="71"/>
  <c r="AZ25" i="3"/>
  <c r="AZ5" i="3" s="1"/>
  <c r="J7" i="36"/>
  <c r="J7" i="37"/>
  <c r="AC7" i="37" s="1"/>
  <c r="G5" i="3"/>
  <c r="B3" i="3" s="1"/>
  <c r="E442" i="3" s="1"/>
  <c r="AZ32" i="3"/>
  <c r="AZ281" i="3"/>
  <c r="AZ317" i="3"/>
  <c r="AZ182" i="3"/>
  <c r="C78" i="71"/>
  <c r="D78" i="71" s="1"/>
  <c r="D79" i="71"/>
  <c r="N65" i="71"/>
  <c r="N66" i="71"/>
  <c r="C52" i="71"/>
  <c r="D51" i="71"/>
  <c r="AZ59" i="3"/>
  <c r="AZ31" i="3"/>
  <c r="T28" i="71"/>
  <c r="D28" i="71"/>
  <c r="U28" i="71" s="1"/>
  <c r="C27" i="71"/>
  <c r="D31" i="71"/>
  <c r="C32" i="71"/>
  <c r="AZ297" i="3"/>
  <c r="AZ241" i="3"/>
  <c r="AZ118" i="3"/>
  <c r="AZ454" i="3"/>
  <c r="AZ368" i="3"/>
  <c r="AZ353" i="3"/>
  <c r="AZ428" i="3"/>
  <c r="AZ210" i="3"/>
  <c r="AA27" i="21"/>
  <c r="S27" i="21"/>
  <c r="AB9" i="34"/>
  <c r="U9" i="34"/>
  <c r="AZ292" i="3"/>
  <c r="AZ486" i="3"/>
  <c r="AZ91" i="3"/>
  <c r="C70" i="71"/>
  <c r="D70" i="71" s="1"/>
  <c r="D71" i="71"/>
  <c r="AZ41" i="3"/>
  <c r="AZ38" i="3"/>
  <c r="C40" i="71"/>
  <c r="D39" i="71"/>
  <c r="AZ178" i="3"/>
  <c r="AZ302" i="3"/>
  <c r="AZ284" i="3"/>
  <c r="AA25" i="37"/>
  <c r="S25" i="37"/>
  <c r="AB12" i="34"/>
  <c r="U12" i="34"/>
  <c r="AZ299" i="3"/>
  <c r="AZ117" i="3"/>
  <c r="AZ209" i="3"/>
  <c r="AZ475" i="3"/>
  <c r="AZ234" i="3"/>
  <c r="AZ354" i="3"/>
  <c r="AA12" i="34"/>
  <c r="O65" i="71"/>
  <c r="D66" i="71"/>
  <c r="O66" i="71"/>
  <c r="C36" i="71"/>
  <c r="D35" i="71"/>
  <c r="C86" i="71"/>
  <c r="D86" i="71" s="1"/>
  <c r="D87" i="71"/>
  <c r="AZ61" i="3"/>
  <c r="AZ102" i="3"/>
  <c r="AZ27" i="3"/>
  <c r="C82" i="71"/>
  <c r="D82" i="71" s="1"/>
  <c r="D83" i="71"/>
  <c r="AZ273" i="3"/>
  <c r="AZ398" i="3"/>
  <c r="AZ249" i="3"/>
  <c r="AZ214" i="3"/>
  <c r="AZ397" i="3"/>
  <c r="AZ491" i="3"/>
  <c r="W12" i="35"/>
  <c r="AC12" i="35"/>
  <c r="AC9" i="34"/>
  <c r="W9" i="34"/>
  <c r="K1" i="73"/>
  <c r="AA26" i="37"/>
  <c r="S26" i="37"/>
  <c r="BA5" i="3"/>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AA7" i="36"/>
  <c r="R36" i="36" s="1"/>
  <c r="AB7" i="36"/>
  <c r="T36" i="36" s="1"/>
  <c r="G36" i="36" s="1"/>
  <c r="U7" i="36"/>
  <c r="F7" i="33"/>
  <c r="E58" i="21"/>
  <c r="AC7" i="36"/>
  <c r="V36" i="36" s="1"/>
  <c r="I36" i="36" s="1"/>
  <c r="W7" i="36"/>
  <c r="F7" i="37"/>
  <c r="M17" i="67"/>
  <c r="F59" i="15"/>
  <c r="P28" i="43"/>
  <c r="B66" i="40" s="1"/>
  <c r="P25" i="43"/>
  <c r="P29" i="43"/>
  <c r="P27" i="43"/>
  <c r="B70" i="39" s="1"/>
  <c r="M11" i="67"/>
  <c r="J10" i="67" s="1"/>
  <c r="F11" i="15"/>
  <c r="M11" i="15"/>
  <c r="F11" i="67"/>
  <c r="F1" i="15"/>
  <c r="Q52" i="15"/>
  <c r="AE11" i="1"/>
  <c r="AE12" i="1"/>
  <c r="AE10" i="1"/>
  <c r="F9" i="83"/>
  <c r="F42" i="83"/>
  <c r="F38" i="83"/>
  <c r="M29" i="83"/>
  <c r="M23" i="83"/>
  <c r="L47" i="83"/>
  <c r="M9" i="83"/>
  <c r="M26" i="83"/>
  <c r="M24" i="83"/>
  <c r="G1" i="73"/>
  <c r="M22" i="83"/>
  <c r="C16" i="67"/>
  <c r="F36" i="83"/>
  <c r="C16" i="91"/>
  <c r="F8" i="83"/>
  <c r="AE6" i="1"/>
  <c r="M28" i="83"/>
  <c r="F16" i="83"/>
  <c r="F13" i="83"/>
  <c r="F7" i="83"/>
  <c r="F40" i="83"/>
  <c r="AE8" i="1"/>
  <c r="F6" i="83"/>
  <c r="M6" i="83"/>
  <c r="C76" i="83"/>
  <c r="F37" i="83"/>
  <c r="M8" i="83"/>
  <c r="F43" i="83"/>
  <c r="F41" i="67"/>
  <c r="F26" i="83"/>
  <c r="J15" i="83"/>
  <c r="L48" i="83"/>
  <c r="Q60" i="84" l="1"/>
  <c r="Q57" i="84"/>
  <c r="L46" i="91"/>
  <c r="L46" i="84"/>
  <c r="C49" i="91"/>
  <c r="C61" i="91" s="1"/>
  <c r="J19" i="91"/>
  <c r="J18" i="91"/>
  <c r="Q61" i="91"/>
  <c r="Q74" i="91"/>
  <c r="J5" i="91"/>
  <c r="J26" i="91" s="1"/>
  <c r="Q52" i="91"/>
  <c r="F1" i="91"/>
  <c r="Q73" i="91"/>
  <c r="Q60" i="91"/>
  <c r="Q61" i="84"/>
  <c r="Q74" i="84"/>
  <c r="C33" i="91"/>
  <c r="C32" i="91"/>
  <c r="Q66" i="91"/>
  <c r="Q57" i="91"/>
  <c r="C53" i="91"/>
  <c r="C10" i="91"/>
  <c r="C5" i="91" s="1"/>
  <c r="C53" i="84"/>
  <c r="Q61" i="67"/>
  <c r="Q52" i="67"/>
  <c r="Q73" i="67"/>
  <c r="C49" i="67"/>
  <c r="J5" i="67"/>
  <c r="E378" i="3"/>
  <c r="E118" i="3"/>
  <c r="E240" i="3"/>
  <c r="E483" i="3"/>
  <c r="E563" i="3"/>
  <c r="E70" i="3"/>
  <c r="E568" i="3"/>
  <c r="E252" i="3"/>
  <c r="E119" i="3"/>
  <c r="E387" i="3"/>
  <c r="Z6" i="3"/>
  <c r="E91" i="3"/>
  <c r="O6" i="3"/>
  <c r="E248" i="3"/>
  <c r="E135" i="3"/>
  <c r="AJ6" i="3"/>
  <c r="E472" i="3"/>
  <c r="E314" i="3"/>
  <c r="E510" i="3"/>
  <c r="E385" i="3"/>
  <c r="E311" i="3"/>
  <c r="E315" i="3"/>
  <c r="E439" i="3"/>
  <c r="E333" i="3"/>
  <c r="AY6" i="3"/>
  <c r="F50" i="83"/>
  <c r="M7" i="83"/>
  <c r="J6" i="83" s="1"/>
  <c r="J5" i="83" s="1"/>
  <c r="F66" i="83"/>
  <c r="F68" i="83"/>
  <c r="L57" i="83"/>
  <c r="L60" i="83"/>
  <c r="L56" i="83"/>
  <c r="I54" i="83"/>
  <c r="J60" i="83"/>
  <c r="Q48" i="83" s="1"/>
  <c r="J57" i="83"/>
  <c r="J55" i="83" s="1"/>
  <c r="J58" i="83" s="1"/>
  <c r="Q50" i="83" s="1"/>
  <c r="J59" i="83"/>
  <c r="J53" i="83"/>
  <c r="F51" i="83"/>
  <c r="C6" i="83"/>
  <c r="C10" i="83" s="1"/>
  <c r="C5" i="83" s="1"/>
  <c r="F64" i="83"/>
  <c r="N59" i="83"/>
  <c r="L58" i="83"/>
  <c r="M59" i="83"/>
  <c r="L59" i="83"/>
  <c r="F65" i="83"/>
  <c r="F71" i="83"/>
  <c r="C27" i="83"/>
  <c r="Q71" i="83"/>
  <c r="C48" i="11"/>
  <c r="C30" i="11"/>
  <c r="D22" i="71"/>
  <c r="C21" i="71"/>
  <c r="E441" i="3"/>
  <c r="E82" i="3"/>
  <c r="F48" i="68"/>
  <c r="C30" i="68"/>
  <c r="C48" i="68"/>
  <c r="W7" i="37"/>
  <c r="F48" i="69"/>
  <c r="C30" i="69"/>
  <c r="C48" i="69"/>
  <c r="D26" i="43"/>
  <c r="C25" i="43" s="1"/>
  <c r="C33" i="43" s="1"/>
  <c r="E242" i="3"/>
  <c r="E161" i="3"/>
  <c r="AB6" i="3"/>
  <c r="E217" i="3"/>
  <c r="E106" i="3"/>
  <c r="E347" i="3"/>
  <c r="E561" i="3"/>
  <c r="E48" i="3"/>
  <c r="E142" i="3"/>
  <c r="E296" i="3"/>
  <c r="E100" i="3"/>
  <c r="E423" i="3"/>
  <c r="E445" i="3"/>
  <c r="E189" i="3"/>
  <c r="M6" i="3"/>
  <c r="E579" i="3"/>
  <c r="E572" i="3"/>
  <c r="E557" i="3"/>
  <c r="E74" i="3"/>
  <c r="E468" i="3"/>
  <c r="E277" i="3"/>
  <c r="E586" i="3"/>
  <c r="E528" i="3"/>
  <c r="E533" i="3"/>
  <c r="E549" i="3"/>
  <c r="E559" i="3"/>
  <c r="E177" i="3"/>
  <c r="E208" i="3"/>
  <c r="E312" i="3"/>
  <c r="E405" i="3"/>
  <c r="E200" i="3"/>
  <c r="AI6" i="3"/>
  <c r="E69" i="3"/>
  <c r="E201" i="3"/>
  <c r="E28" i="3"/>
  <c r="E204" i="3"/>
  <c r="E133" i="3"/>
  <c r="E503" i="3"/>
  <c r="AS6" i="3"/>
  <c r="E395" i="3"/>
  <c r="E236" i="3"/>
  <c r="E291" i="3"/>
  <c r="E232" i="3"/>
  <c r="E131" i="3"/>
  <c r="E487" i="3"/>
  <c r="E132" i="3"/>
  <c r="X6" i="3"/>
  <c r="E191" i="3"/>
  <c r="E172" i="3"/>
  <c r="E215" i="3"/>
  <c r="E514" i="3"/>
  <c r="E509" i="3"/>
  <c r="E377" i="3"/>
  <c r="E485" i="3"/>
  <c r="E362" i="3"/>
  <c r="E587" i="3"/>
  <c r="E181" i="3"/>
  <c r="E350" i="3"/>
  <c r="E261" i="3"/>
  <c r="E175" i="3"/>
  <c r="E527" i="3"/>
  <c r="E229" i="3"/>
  <c r="E17" i="3"/>
  <c r="E306" i="3"/>
  <c r="E50" i="3"/>
  <c r="E267" i="3"/>
  <c r="C53" i="83"/>
  <c r="E139" i="3"/>
  <c r="E369" i="3"/>
  <c r="E94" i="3"/>
  <c r="E219" i="3"/>
  <c r="E275" i="3"/>
  <c r="E148" i="3"/>
  <c r="E246" i="3"/>
  <c r="E263" i="3"/>
  <c r="E535" i="3"/>
  <c r="E278" i="3"/>
  <c r="E335" i="3"/>
  <c r="E570" i="3"/>
  <c r="E247" i="3"/>
  <c r="E268" i="3"/>
  <c r="E182" i="3"/>
  <c r="E345" i="3"/>
  <c r="E89" i="3"/>
  <c r="E146" i="3"/>
  <c r="E406" i="3"/>
  <c r="E228" i="3"/>
  <c r="E124" i="3"/>
  <c r="E180" i="3"/>
  <c r="E216" i="3"/>
  <c r="E410" i="3"/>
  <c r="E585" i="3"/>
  <c r="E453" i="3"/>
  <c r="E121" i="3"/>
  <c r="E402" i="3"/>
  <c r="E71" i="3"/>
  <c r="E374" i="3"/>
  <c r="E60" i="3"/>
  <c r="E383" i="3"/>
  <c r="E526" i="3"/>
  <c r="E273" i="3"/>
  <c r="E531" i="3"/>
  <c r="AO6" i="3"/>
  <c r="E368" i="3"/>
  <c r="E171" i="3"/>
  <c r="E577" i="3"/>
  <c r="E560" i="3"/>
  <c r="E545" i="3"/>
  <c r="E399" i="3"/>
  <c r="E301" i="3"/>
  <c r="E183" i="3"/>
  <c r="E231" i="3"/>
  <c r="E270" i="3"/>
  <c r="E447" i="3"/>
  <c r="E450" i="3"/>
  <c r="E117" i="3"/>
  <c r="E366" i="3"/>
  <c r="E481" i="3"/>
  <c r="S6" i="3"/>
  <c r="E14" i="3"/>
  <c r="Y6" i="3"/>
  <c r="E524" i="3"/>
  <c r="E370" i="3"/>
  <c r="E67" i="3"/>
  <c r="E388" i="3"/>
  <c r="E331" i="3"/>
  <c r="E478" i="3"/>
  <c r="E318" i="3"/>
  <c r="E458" i="3"/>
  <c r="E578" i="3"/>
  <c r="E230" i="3"/>
  <c r="E396" i="3"/>
  <c r="E444" i="3"/>
  <c r="E256" i="3"/>
  <c r="AA6" i="3"/>
  <c r="E237" i="3"/>
  <c r="E426" i="3"/>
  <c r="E411" i="3"/>
  <c r="E537" i="3"/>
  <c r="E98" i="3"/>
  <c r="E297" i="3"/>
  <c r="E24" i="3"/>
  <c r="E112" i="3"/>
  <c r="E401" i="3"/>
  <c r="E26" i="3"/>
  <c r="E129" i="3"/>
  <c r="E409" i="3"/>
  <c r="E508" i="3"/>
  <c r="E162" i="3"/>
  <c r="E515" i="3"/>
  <c r="E150" i="3"/>
  <c r="E99" i="3"/>
  <c r="E382" i="3"/>
  <c r="E294" i="3"/>
  <c r="E553" i="3"/>
  <c r="E558" i="3"/>
  <c r="E429" i="3"/>
  <c r="E280" i="3"/>
  <c r="E321" i="3"/>
  <c r="E317" i="3"/>
  <c r="E145" i="3"/>
  <c r="E438" i="3"/>
  <c r="E488" i="3"/>
  <c r="E464" i="3"/>
  <c r="E65" i="3"/>
  <c r="E137" i="3"/>
  <c r="E427" i="3"/>
  <c r="E469" i="3"/>
  <c r="E513" i="3"/>
  <c r="R6" i="3"/>
  <c r="E490" i="3"/>
  <c r="E428" i="3"/>
  <c r="E102" i="3"/>
  <c r="E264" i="3"/>
  <c r="E363" i="3"/>
  <c r="E334" i="3"/>
  <c r="E164" i="3"/>
  <c r="E73" i="3"/>
  <c r="E120" i="3"/>
  <c r="E302" i="3"/>
  <c r="E523" i="3"/>
  <c r="E501" i="3"/>
  <c r="E367" i="3"/>
  <c r="E357" i="3"/>
  <c r="E529" i="3"/>
  <c r="E87" i="3"/>
  <c r="E341" i="3"/>
  <c r="E138" i="3"/>
  <c r="E552" i="3"/>
  <c r="E392" i="3"/>
  <c r="E276" i="3"/>
  <c r="E188" i="3"/>
  <c r="E115" i="3"/>
  <c r="E205" i="3"/>
  <c r="E332" i="3"/>
  <c r="E23" i="3"/>
  <c r="E241" i="3"/>
  <c r="E431" i="3"/>
  <c r="E322" i="3"/>
  <c r="E109" i="3"/>
  <c r="E211" i="3"/>
  <c r="E489" i="3"/>
  <c r="E400" i="3"/>
  <c r="E327" i="3"/>
  <c r="E227" i="3"/>
  <c r="E214" i="3"/>
  <c r="E454" i="3"/>
  <c r="E465" i="3"/>
  <c r="K6" i="3"/>
  <c r="AK6" i="3"/>
  <c r="E77" i="3"/>
  <c r="E495" i="3"/>
  <c r="E134" i="3"/>
  <c r="E361" i="3"/>
  <c r="E185" i="3"/>
  <c r="E538" i="3"/>
  <c r="E143" i="3"/>
  <c r="E530" i="3"/>
  <c r="E210" i="3"/>
  <c r="E505" i="3"/>
  <c r="E269" i="3"/>
  <c r="E72" i="3"/>
  <c r="E573" i="3"/>
  <c r="E336" i="3"/>
  <c r="E550" i="3"/>
  <c r="V6" i="3"/>
  <c r="N6" i="3"/>
  <c r="E316" i="3"/>
  <c r="P6" i="3"/>
  <c r="E394" i="3"/>
  <c r="E424" i="3"/>
  <c r="E128" i="3"/>
  <c r="E159" i="3"/>
  <c r="E298" i="3"/>
  <c r="E285" i="3"/>
  <c r="AM6" i="3"/>
  <c r="E403" i="3"/>
  <c r="E207" i="3"/>
  <c r="E471" i="3"/>
  <c r="E224" i="3"/>
  <c r="E504" i="3"/>
  <c r="E259" i="3"/>
  <c r="E582" i="3"/>
  <c r="E57" i="3"/>
  <c r="E398" i="3"/>
  <c r="E364" i="3"/>
  <c r="E170" i="3"/>
  <c r="E463" i="3"/>
  <c r="E393" i="3"/>
  <c r="E342" i="3"/>
  <c r="E497" i="3"/>
  <c r="E22" i="3"/>
  <c r="E42" i="3"/>
  <c r="E233" i="3"/>
  <c r="E46" i="3"/>
  <c r="E56" i="3"/>
  <c r="E380" i="3"/>
  <c r="AR6" i="3"/>
  <c r="E337" i="3"/>
  <c r="E305" i="3"/>
  <c r="E384" i="3"/>
  <c r="E27" i="3"/>
  <c r="E477" i="3"/>
  <c r="E271" i="3"/>
  <c r="E351" i="3"/>
  <c r="E571" i="3"/>
  <c r="E45" i="3"/>
  <c r="E583" i="3"/>
  <c r="E245" i="3"/>
  <c r="E114" i="3"/>
  <c r="E551" i="3"/>
  <c r="E516" i="3"/>
  <c r="E30" i="3"/>
  <c r="E88" i="3"/>
  <c r="E448" i="3"/>
  <c r="E580" i="3"/>
  <c r="E496" i="3"/>
  <c r="E437" i="3"/>
  <c r="E238" i="3"/>
  <c r="E303" i="3"/>
  <c r="E565" i="3"/>
  <c r="E506" i="3"/>
  <c r="E359" i="3"/>
  <c r="E319" i="3"/>
  <c r="E92" i="3"/>
  <c r="E548" i="3"/>
  <c r="E196" i="3"/>
  <c r="E54" i="3"/>
  <c r="E474" i="3"/>
  <c r="E136" i="3"/>
  <c r="E154" i="3"/>
  <c r="E66" i="3"/>
  <c r="E584" i="3"/>
  <c r="E284" i="3"/>
  <c r="E421" i="3"/>
  <c r="E58" i="3"/>
  <c r="E218" i="3"/>
  <c r="AQ6" i="3"/>
  <c r="E15" i="3"/>
  <c r="E40" i="3"/>
  <c r="E422" i="3"/>
  <c r="E16" i="3"/>
  <c r="E412" i="3"/>
  <c r="E13" i="3"/>
  <c r="E534" i="3"/>
  <c r="E34" i="3"/>
  <c r="AL6" i="3"/>
  <c r="E63" i="3"/>
  <c r="E249" i="3"/>
  <c r="E76" i="3"/>
  <c r="E417" i="3"/>
  <c r="E3" i="6"/>
  <c r="E6" i="6" s="1"/>
  <c r="E555" i="3"/>
  <c r="E343" i="3"/>
  <c r="E44" i="3"/>
  <c r="E186" i="3"/>
  <c r="E476" i="3"/>
  <c r="E414" i="3"/>
  <c r="E107" i="3"/>
  <c r="E31" i="3"/>
  <c r="E111" i="3"/>
  <c r="E562" i="3"/>
  <c r="E193" i="3"/>
  <c r="E85" i="3"/>
  <c r="E293" i="3"/>
  <c r="E290" i="3"/>
  <c r="E415" i="3"/>
  <c r="E320" i="3"/>
  <c r="E151" i="3"/>
  <c r="E239" i="3"/>
  <c r="E125" i="3"/>
  <c r="E166" i="3"/>
  <c r="E581" i="3"/>
  <c r="AG6" i="3"/>
  <c r="E32" i="3"/>
  <c r="E203" i="3"/>
  <c r="AE6" i="3"/>
  <c r="E330" i="3"/>
  <c r="E434" i="3"/>
  <c r="E353" i="3"/>
  <c r="E221" i="3"/>
  <c r="E304" i="3"/>
  <c r="E338" i="3"/>
  <c r="E97" i="3"/>
  <c r="E328" i="3"/>
  <c r="E53" i="3"/>
  <c r="E126" i="3"/>
  <c r="E547" i="3"/>
  <c r="U6" i="3"/>
  <c r="E93" i="3"/>
  <c r="E168" i="3"/>
  <c r="W6" i="3"/>
  <c r="E313" i="3"/>
  <c r="E122" i="3"/>
  <c r="E187" i="3"/>
  <c r="AD6" i="3"/>
  <c r="E39" i="3"/>
  <c r="E47" i="3"/>
  <c r="E19" i="3"/>
  <c r="E446" i="3"/>
  <c r="E244" i="3"/>
  <c r="E90" i="3"/>
  <c r="E365" i="3"/>
  <c r="E147" i="3"/>
  <c r="E234" i="3"/>
  <c r="E473" i="3"/>
  <c r="E202" i="3"/>
  <c r="AH6" i="3"/>
  <c r="E493" i="3"/>
  <c r="E83" i="3"/>
  <c r="E220" i="3"/>
  <c r="E104" i="3"/>
  <c r="E451" i="3"/>
  <c r="E140" i="3"/>
  <c r="E251" i="3"/>
  <c r="E96" i="3"/>
  <c r="E21" i="3"/>
  <c r="E355" i="3"/>
  <c r="E492" i="3"/>
  <c r="E425" i="3"/>
  <c r="E292" i="3"/>
  <c r="E554" i="3"/>
  <c r="E212" i="3"/>
  <c r="E536" i="3"/>
  <c r="E449" i="3"/>
  <c r="E575" i="3"/>
  <c r="I3" i="6"/>
  <c r="E95" i="3"/>
  <c r="E544" i="3"/>
  <c r="E64" i="3"/>
  <c r="E300" i="3"/>
  <c r="E144" i="3"/>
  <c r="E81" i="3"/>
  <c r="E198" i="3"/>
  <c r="E18" i="3"/>
  <c r="E522" i="3"/>
  <c r="E113" i="3"/>
  <c r="E525" i="3"/>
  <c r="E408" i="3"/>
  <c r="E452" i="3"/>
  <c r="E243" i="3"/>
  <c r="E324" i="3"/>
  <c r="E158" i="3"/>
  <c r="E105" i="3"/>
  <c r="E486" i="3"/>
  <c r="J6" i="3"/>
  <c r="E178" i="3"/>
  <c r="L6" i="3"/>
  <c r="E455" i="3"/>
  <c r="E339" i="3"/>
  <c r="E123" i="3"/>
  <c r="E62" i="3"/>
  <c r="E141" i="3"/>
  <c r="E155" i="3"/>
  <c r="E250" i="3"/>
  <c r="E520" i="3"/>
  <c r="E209" i="3"/>
  <c r="E149" i="3"/>
  <c r="E375" i="3"/>
  <c r="E373" i="3"/>
  <c r="E163" i="3"/>
  <c r="E459" i="3"/>
  <c r="E167" i="3"/>
  <c r="E127" i="3"/>
  <c r="E352"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500" i="3"/>
  <c r="E51" i="3"/>
  <c r="E521" i="3"/>
  <c r="E460" i="3"/>
  <c r="E101" i="3"/>
  <c r="E176" i="3"/>
  <c r="E340" i="3"/>
  <c r="E52" i="3"/>
  <c r="E299" i="3"/>
  <c r="E38" i="3"/>
  <c r="E43" i="3"/>
  <c r="E346" i="3"/>
  <c r="E108" i="3"/>
  <c r="E498" i="3"/>
  <c r="E440" i="3"/>
  <c r="E543" i="3"/>
  <c r="E223" i="3"/>
  <c r="E326" i="3"/>
  <c r="E49" i="3"/>
  <c r="E78" i="3"/>
  <c r="E225" i="3"/>
  <c r="E420" i="3"/>
  <c r="E360" i="3"/>
  <c r="E456" i="3"/>
  <c r="E173" i="3"/>
  <c r="E287" i="3"/>
  <c r="E206" i="3"/>
  <c r="E235" i="3"/>
  <c r="E75" i="3"/>
  <c r="E281" i="3"/>
  <c r="E309" i="3"/>
  <c r="E381" i="3"/>
  <c r="E33" i="3"/>
  <c r="E310" i="3"/>
  <c r="E103" i="3"/>
  <c r="E484" i="3"/>
  <c r="E389" i="3"/>
  <c r="E192" i="3"/>
  <c r="E435" i="3"/>
  <c r="E541" i="3"/>
  <c r="E199" i="3"/>
  <c r="Q60" i="15"/>
  <c r="Q74" i="15"/>
  <c r="M17" i="15"/>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40" i="71"/>
  <c r="D40" i="71"/>
  <c r="T32" i="71"/>
  <c r="D32" i="71"/>
  <c r="T52" i="71"/>
  <c r="D52" i="71"/>
  <c r="D36" i="71"/>
  <c r="T36" i="71"/>
  <c r="E152" i="3"/>
  <c r="E479" i="3"/>
  <c r="E517" i="3"/>
  <c r="E255" i="3"/>
  <c r="E466" i="3"/>
  <c r="E499" i="3"/>
  <c r="C26" i="71"/>
  <c r="D26" i="71" s="1"/>
  <c r="D27" i="71"/>
  <c r="D44" i="71"/>
  <c r="T44"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M27" i="15"/>
  <c r="F41" i="15"/>
  <c r="AE9" i="1"/>
  <c r="M27" i="67"/>
  <c r="M27" i="83"/>
  <c r="F41" i="84"/>
  <c r="C16" i="83"/>
  <c r="Q32" i="43" l="1"/>
  <c r="M32" i="43"/>
  <c r="P32" i="43"/>
  <c r="O32" i="43"/>
  <c r="N32" i="43"/>
  <c r="J24" i="91"/>
  <c r="C48" i="91"/>
  <c r="C66" i="91" s="1"/>
  <c r="F24" i="84"/>
  <c r="C24" i="84" s="1"/>
  <c r="F24" i="91"/>
  <c r="C38" i="91"/>
  <c r="F69" i="84"/>
  <c r="C17" i="4"/>
  <c r="B4" i="52" s="1"/>
  <c r="B43" i="72" s="1"/>
  <c r="M18" i="9"/>
  <c r="B118" i="9" s="1"/>
  <c r="B1" i="74" s="1"/>
  <c r="C48" i="67"/>
  <c r="C66" i="67" s="1"/>
  <c r="J24" i="83"/>
  <c r="J26" i="83"/>
  <c r="L18" i="9"/>
  <c r="D14" i="12"/>
  <c r="D17" i="12" s="1"/>
  <c r="C17" i="12" s="1"/>
  <c r="D3" i="37"/>
  <c r="D19" i="11"/>
  <c r="C19" i="11" s="1"/>
  <c r="C20" i="11" s="1"/>
  <c r="D37" i="11"/>
  <c r="D3" i="33"/>
  <c r="D3" i="34"/>
  <c r="Q74" i="83"/>
  <c r="Q61" i="83"/>
  <c r="L46" i="83"/>
  <c r="C33" i="83"/>
  <c r="C32" i="83"/>
  <c r="D21" i="71"/>
  <c r="C20" i="71"/>
  <c r="Q60" i="83"/>
  <c r="Q73" i="83"/>
  <c r="Q66" i="83"/>
  <c r="Q57" i="83"/>
  <c r="J19" i="83"/>
  <c r="J18" i="83"/>
  <c r="F1" i="83"/>
  <c r="Q52" i="83"/>
  <c r="C49" i="83"/>
  <c r="C61" i="83" s="1"/>
  <c r="L36" i="43"/>
  <c r="L37" i="43" s="1"/>
  <c r="P37" i="43" s="1"/>
  <c r="F24" i="83"/>
  <c r="C38" i="83"/>
  <c r="H6" i="3"/>
  <c r="AC6" i="3"/>
  <c r="F25" i="12"/>
  <c r="C26" i="12" s="1"/>
  <c r="D25" i="12" s="1"/>
  <c r="D116" i="43"/>
  <c r="F22" i="68"/>
  <c r="C44" i="68" s="1"/>
  <c r="D41" i="68" s="1"/>
  <c r="F24" i="15"/>
  <c r="C24" i="15" s="1"/>
  <c r="F22" i="69"/>
  <c r="F41" i="69" s="1"/>
  <c r="F22" i="11"/>
  <c r="C24" i="11" s="1"/>
  <c r="F24" i="67"/>
  <c r="C24" i="67" s="1"/>
  <c r="E49" i="34"/>
  <c r="C34" i="43"/>
  <c r="E34" i="43" s="1"/>
  <c r="F69" i="15"/>
  <c r="S11" i="1"/>
  <c r="E11" i="70" s="1"/>
  <c r="S10" i="1"/>
  <c r="E10" i="70" s="1"/>
  <c r="S12" i="1"/>
  <c r="D10" i="11"/>
  <c r="C10" i="11" s="1"/>
  <c r="D20" i="12"/>
  <c r="C20" i="12" s="1"/>
  <c r="D25" i="6"/>
  <c r="D15" i="6"/>
  <c r="D22" i="6"/>
  <c r="D24" i="6"/>
  <c r="D20" i="6"/>
  <c r="M19" i="9"/>
  <c r="C118" i="9" s="1"/>
  <c r="B2" i="74" s="1"/>
  <c r="D26" i="6"/>
  <c r="D8" i="6"/>
  <c r="D14" i="6"/>
  <c r="D6" i="6"/>
  <c r="D9" i="6"/>
  <c r="D10" i="6"/>
  <c r="L19" i="9"/>
  <c r="D29" i="6"/>
  <c r="C18" i="4"/>
  <c r="D23" i="6"/>
  <c r="D5" i="6"/>
  <c r="D12" i="6"/>
  <c r="D11" i="6"/>
  <c r="D13" i="6"/>
  <c r="D28"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D10" i="68"/>
  <c r="AE7" i="1"/>
  <c r="C14" i="67"/>
  <c r="C17" i="67"/>
  <c r="C60" i="91" l="1"/>
  <c r="C24" i="91"/>
  <c r="C60" i="67"/>
  <c r="O36" i="43"/>
  <c r="C48" i="83"/>
  <c r="C66" i="83" s="1"/>
  <c r="C19" i="71"/>
  <c r="D20" i="71"/>
  <c r="U20" i="71" s="1"/>
  <c r="T20" i="71"/>
  <c r="Q37" i="43"/>
  <c r="Q36" i="43"/>
  <c r="O37" i="43"/>
  <c r="P36" i="43"/>
  <c r="M37" i="43"/>
  <c r="N36" i="43"/>
  <c r="N37" i="43"/>
  <c r="M36" i="43"/>
  <c r="C24" i="83"/>
  <c r="E6" i="3"/>
  <c r="D30" i="6"/>
  <c r="F41" i="68"/>
  <c r="C26" i="68"/>
  <c r="D22" i="68" s="1"/>
  <c r="C26" i="11"/>
  <c r="D22" i="11" s="1"/>
  <c r="C44" i="11"/>
  <c r="D41" i="11" s="1"/>
  <c r="C44" i="69"/>
  <c r="D41" i="69" s="1"/>
  <c r="C26" i="69"/>
  <c r="D22" i="69" s="1"/>
  <c r="C23" i="11"/>
  <c r="C25" i="11"/>
  <c r="C18" i="67"/>
  <c r="C15" i="67"/>
  <c r="C31" i="43"/>
  <c r="E12" i="70"/>
  <c r="F34" i="11"/>
  <c r="F11" i="12"/>
  <c r="AQ11" i="1"/>
  <c r="AR11" i="1"/>
  <c r="T11" i="1"/>
  <c r="AR12" i="1"/>
  <c r="T12" i="1"/>
  <c r="AQ12" i="1"/>
  <c r="AQ10" i="1"/>
  <c r="T10" i="1"/>
  <c r="AR10" i="1"/>
  <c r="D16" i="6"/>
  <c r="C15" i="12"/>
  <c r="C12" i="12"/>
  <c r="D8" i="74"/>
  <c r="D7" i="74"/>
  <c r="C10" i="69"/>
  <c r="C8" i="69" s="1"/>
  <c r="C5" i="69" s="1"/>
  <c r="D19"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67"/>
  <c r="J19" i="67"/>
  <c r="F41" i="83"/>
  <c r="F41" i="91"/>
  <c r="F69" i="91" l="1"/>
  <c r="J29" i="91"/>
  <c r="C60" i="83"/>
  <c r="J29" i="83"/>
  <c r="F69" i="83"/>
  <c r="D19" i="71"/>
  <c r="C18" i="71"/>
  <c r="C18" i="12"/>
  <c r="C22" i="11"/>
  <c r="C19" i="67"/>
  <c r="C20" i="67" s="1"/>
  <c r="C26" i="67" s="1"/>
  <c r="C36" i="11"/>
  <c r="C37" i="11"/>
  <c r="C23" i="12"/>
  <c r="C14" i="12"/>
  <c r="C16" i="12" s="1"/>
  <c r="C19" i="68"/>
  <c r="D37" i="68"/>
  <c r="C37" i="68" s="1"/>
  <c r="C19" i="69"/>
  <c r="C24" i="69" s="1"/>
  <c r="D37" i="69"/>
  <c r="C37" i="69" s="1"/>
  <c r="C23" i="69"/>
  <c r="I69" i="39"/>
  <c r="J67" i="39"/>
  <c r="I63" i="40"/>
  <c r="H65" i="40"/>
  <c r="I58" i="21"/>
  <c r="J58" i="21" s="1"/>
  <c r="K58" i="21" s="1"/>
  <c r="L58" i="21" s="1"/>
  <c r="M58" i="21" s="1"/>
  <c r="N58" i="21" s="1"/>
  <c r="O58" i="21" s="1"/>
  <c r="H7" i="21" s="1"/>
  <c r="J48" i="35"/>
  <c r="C17" i="71" l="1"/>
  <c r="D18" i="71"/>
  <c r="C21" i="12"/>
  <c r="C22" i="12" s="1"/>
  <c r="F7" i="21"/>
  <c r="S7" i="21" s="1"/>
  <c r="J7" i="21"/>
  <c r="AC7" i="21" s="1"/>
  <c r="V48" i="21" s="1"/>
  <c r="I48" i="21" s="1"/>
  <c r="C23" i="67"/>
  <c r="C29" i="67" s="1"/>
  <c r="J59" i="67" s="1"/>
  <c r="J60" i="67" s="1"/>
  <c r="Q48" i="67" s="1"/>
  <c r="C20" i="69"/>
  <c r="C24" i="68"/>
  <c r="J69" i="39"/>
  <c r="K67" i="39"/>
  <c r="U7" i="21"/>
  <c r="AB7" i="21"/>
  <c r="T48" i="21" s="1"/>
  <c r="G48" i="21" s="1"/>
  <c r="J63" i="40"/>
  <c r="I65" i="40"/>
  <c r="K48" i="35"/>
  <c r="L48" i="35" s="1"/>
  <c r="M48" i="35" s="1"/>
  <c r="N48" i="35" s="1"/>
  <c r="O48" i="35" s="1"/>
  <c r="H7" i="35" s="1"/>
  <c r="C16" i="71" l="1"/>
  <c r="D17" i="71"/>
  <c r="C27" i="12"/>
  <c r="C25" i="12" s="1"/>
  <c r="W7" i="21"/>
  <c r="AA7" i="21"/>
  <c r="R48" i="21" s="1"/>
  <c r="R49" i="21" s="1"/>
  <c r="J7" i="35"/>
  <c r="W7" i="35" s="1"/>
  <c r="Q49" i="67"/>
  <c r="J14" i="67"/>
  <c r="J13" i="67" s="1"/>
  <c r="J23" i="67" s="1"/>
  <c r="C36" i="67"/>
  <c r="C57" i="67"/>
  <c r="C64" i="67" s="1"/>
  <c r="C13" i="67"/>
  <c r="Q70" i="67" s="1"/>
  <c r="C61" i="67"/>
  <c r="C25" i="69"/>
  <c r="C22" i="69" s="1"/>
  <c r="L67" i="39"/>
  <c r="K69" i="39"/>
  <c r="J65" i="40"/>
  <c r="K63" i="40"/>
  <c r="I52" i="21"/>
  <c r="J52" i="21" s="1"/>
  <c r="U7" i="35"/>
  <c r="AB7" i="35"/>
  <c r="T38" i="35" s="1"/>
  <c r="G38" i="35" s="1"/>
  <c r="G52" i="21"/>
  <c r="H52" i="21" s="1"/>
  <c r="G53" i="21"/>
  <c r="H53" i="21" s="1"/>
  <c r="F7" i="35"/>
  <c r="E48" i="21" l="1"/>
  <c r="C15" i="71"/>
  <c r="T16" i="71"/>
  <c r="D16" i="71"/>
  <c r="U16" i="71" s="1"/>
  <c r="AC7" i="35"/>
  <c r="V38" i="35" s="1"/>
  <c r="I38" i="35" s="1"/>
  <c r="C56" i="67"/>
  <c r="C65" i="67" s="1"/>
  <c r="J22" i="67"/>
  <c r="C37" i="67"/>
  <c r="C75" i="67"/>
  <c r="J59" i="15"/>
  <c r="J60" i="15" s="1"/>
  <c r="Q48" i="15"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M69" i="39"/>
  <c r="N67" i="39"/>
  <c r="R39" i="35"/>
  <c r="E38" i="35"/>
  <c r="M63" i="40"/>
  <c r="L65" i="40"/>
  <c r="D2" i="21"/>
  <c r="D14" i="71" l="1"/>
  <c r="C13" i="71"/>
  <c r="B2" i="21"/>
  <c r="B3" i="21" s="1"/>
  <c r="O67" i="39"/>
  <c r="O69" i="39" s="1"/>
  <c r="N69" i="39"/>
  <c r="F7" i="39"/>
  <c r="C39" i="35"/>
  <c r="C38" i="35"/>
  <c r="N63" i="40"/>
  <c r="M65" i="40"/>
  <c r="E43" i="35"/>
  <c r="F43" i="35" s="1"/>
  <c r="E42" i="35"/>
  <c r="F42" i="35" s="1"/>
  <c r="I43" i="35"/>
  <c r="J43" i="35" s="1"/>
  <c r="D2" i="33"/>
  <c r="C12" i="71" l="1"/>
  <c r="D13" i="71"/>
  <c r="B2" i="33"/>
  <c r="B3" i="33" s="1"/>
  <c r="H7" i="39"/>
  <c r="J7" i="39"/>
  <c r="S7" i="39"/>
  <c r="AA7" i="39"/>
  <c r="R47" i="39" s="1"/>
  <c r="O63" i="40"/>
  <c r="O65" i="40" s="1"/>
  <c r="N65" i="40"/>
  <c r="D2" i="36"/>
  <c r="D2" i="34"/>
  <c r="D2" i="37"/>
  <c r="D2" i="35"/>
  <c r="C11" i="71" l="1"/>
  <c r="D12" i="71"/>
  <c r="U12" i="71" s="1"/>
  <c r="T12" i="71"/>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0" i="1"/>
  <c r="AO11" i="1"/>
  <c r="AO12" i="1"/>
  <c r="C10" i="71" l="1"/>
  <c r="D11" i="71"/>
  <c r="L46" i="15"/>
  <c r="Q66" i="15"/>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K27" i="80"/>
  <c r="K26" i="80"/>
  <c r="L27" i="80" l="1"/>
  <c r="L40" i="85"/>
  <c r="W5" i="80"/>
  <c r="W4" i="80"/>
  <c r="L26" i="80"/>
  <c r="K25" i="80"/>
  <c r="L38" i="85" l="1"/>
  <c r="M38" i="85" s="1"/>
  <c r="L39" i="85"/>
  <c r="Y11" i="85"/>
  <c r="Z11" i="85" s="1"/>
  <c r="M40" i="85"/>
  <c r="W3" i="80"/>
  <c r="W31" i="80" s="1"/>
  <c r="W32" i="80" s="1"/>
  <c r="L25" i="80"/>
  <c r="L30" i="80" s="1"/>
  <c r="K30" i="80" s="1"/>
  <c r="Y10" i="85" l="1"/>
  <c r="Z10" i="85" s="1"/>
  <c r="Y12" i="85"/>
  <c r="M39" i="85"/>
  <c r="M43" i="85" s="1"/>
  <c r="L43" i="85" s="1"/>
  <c r="R10" i="1"/>
  <c r="J26" i="67"/>
  <c r="J29" i="67" s="1"/>
  <c r="F35" i="67"/>
  <c r="W39" i="85" l="1"/>
  <c r="Z12" i="85"/>
  <c r="Z36" i="85" s="1"/>
  <c r="C34" i="67"/>
  <c r="C31" i="67" s="1"/>
  <c r="C30" i="67" s="1"/>
  <c r="C39" i="67" s="1"/>
  <c r="Q69" i="67" s="1"/>
  <c r="Q68" i="67" s="1"/>
  <c r="L46" i="67"/>
  <c r="F63" i="67"/>
  <c r="C62" i="67" s="1"/>
  <c r="C59" i="67" s="1"/>
  <c r="C58" i="67" s="1"/>
  <c r="C67" i="67" s="1"/>
  <c r="C68" i="67" s="1"/>
  <c r="M21" i="67"/>
  <c r="C80" i="67" l="1"/>
  <c r="C79" i="67" s="1"/>
  <c r="C40" i="67"/>
  <c r="J20" i="67"/>
  <c r="J17" i="67" s="1"/>
  <c r="J16" i="67" s="1"/>
  <c r="J25" i="67" s="1"/>
  <c r="C71" i="67"/>
  <c r="R12" i="1"/>
  <c r="R11" i="1"/>
  <c r="F19" i="6"/>
  <c r="E19" i="6" s="1"/>
  <c r="K6" i="1" s="1"/>
  <c r="M29" i="15"/>
  <c r="L51" i="67"/>
  <c r="F43" i="15"/>
  <c r="F7" i="15"/>
  <c r="Q67" i="67" l="1"/>
  <c r="L57" i="67"/>
  <c r="L60" i="67" s="1"/>
  <c r="Q65" i="67"/>
  <c r="Q56" i="67"/>
  <c r="C83" i="67"/>
  <c r="C82" i="67" s="1"/>
  <c r="Q47" i="67"/>
  <c r="Q53" i="67" s="1"/>
  <c r="C43" i="67"/>
  <c r="C45" i="67"/>
  <c r="C46" i="67" s="1"/>
  <c r="D2" i="67"/>
  <c r="C6" i="15"/>
  <c r="F50" i="15"/>
  <c r="C49" i="15" s="1"/>
  <c r="M7" i="15"/>
  <c r="J6" i="15" s="1"/>
  <c r="F71" i="15"/>
  <c r="D19" i="6"/>
  <c r="M6" i="1"/>
  <c r="F21" i="6"/>
  <c r="E21" i="6" s="1"/>
  <c r="U8" i="1"/>
  <c r="W40" i="85"/>
  <c r="W41" i="85" s="1"/>
  <c r="W37" i="85"/>
  <c r="F6" i="84"/>
  <c r="C16" i="15"/>
  <c r="Q66" i="67" l="1"/>
  <c r="Q75" i="67" s="1"/>
  <c r="Q57" i="67"/>
  <c r="Q62" i="67" s="1"/>
  <c r="B2" i="67"/>
  <c r="B3" i="67"/>
  <c r="J18" i="15"/>
  <c r="J10" i="15"/>
  <c r="J5" i="15" s="1"/>
  <c r="J19" i="15"/>
  <c r="F27" i="6"/>
  <c r="E27" i="6" s="1"/>
  <c r="C61" i="15"/>
  <c r="C53" i="15"/>
  <c r="C48" i="15" s="1"/>
  <c r="D21" i="6"/>
  <c r="K8" i="1"/>
  <c r="C32" i="15"/>
  <c r="C10" i="15"/>
  <c r="C5" i="15" s="1"/>
  <c r="C33" i="15"/>
  <c r="F7" i="84"/>
  <c r="M29" i="84"/>
  <c r="F43" i="84"/>
  <c r="K25" i="6" l="1"/>
  <c r="M25" i="6" s="1"/>
  <c r="I25" i="6" s="1"/>
  <c r="K19" i="6"/>
  <c r="S6" i="1" s="1"/>
  <c r="E31" i="6"/>
  <c r="K20" i="6"/>
  <c r="M20" i="6" s="1"/>
  <c r="I20" i="6" s="1"/>
  <c r="K21" i="6"/>
  <c r="K23" i="6"/>
  <c r="M23" i="6" s="1"/>
  <c r="I23" i="6" s="1"/>
  <c r="H23" i="6" s="1"/>
  <c r="R23" i="6" s="1"/>
  <c r="K22" i="6"/>
  <c r="M22" i="6" s="1"/>
  <c r="I22" i="6" s="1"/>
  <c r="K24" i="6"/>
  <c r="M24" i="6" s="1"/>
  <c r="I24" i="6" s="1"/>
  <c r="H24" i="6" s="1"/>
  <c r="R24" i="6" s="1"/>
  <c r="K26" i="6"/>
  <c r="M26" i="6" s="1"/>
  <c r="I26" i="6" s="1"/>
  <c r="C6" i="84"/>
  <c r="F50" i="84"/>
  <c r="C49" i="84" s="1"/>
  <c r="M7" i="84"/>
  <c r="J6" i="84" s="1"/>
  <c r="F71" i="84"/>
  <c r="C38" i="15"/>
  <c r="J24" i="15"/>
  <c r="M8" i="1"/>
  <c r="H16" i="1"/>
  <c r="G16" i="1"/>
  <c r="C34" i="69"/>
  <c r="K16" i="1"/>
  <c r="Q16" i="1"/>
  <c r="M19" i="6"/>
  <c r="S25" i="6"/>
  <c r="H25" i="6"/>
  <c r="R25" i="6" s="1"/>
  <c r="F31" i="6"/>
  <c r="D33" i="43"/>
  <c r="H26" i="6"/>
  <c r="R26" i="6" s="1"/>
  <c r="S26" i="6"/>
  <c r="S24" i="6"/>
  <c r="M21" i="6"/>
  <c r="I21" i="6" s="1"/>
  <c r="S8" i="1"/>
  <c r="E8" i="70" s="1"/>
  <c r="C60" i="15"/>
  <c r="C66" i="15"/>
  <c r="D27" i="6"/>
  <c r="D31" i="6" s="1"/>
  <c r="S7" i="1"/>
  <c r="C17" i="84"/>
  <c r="C17" i="15"/>
  <c r="C17" i="83"/>
  <c r="C16" i="84"/>
  <c r="S23" i="6" l="1"/>
  <c r="K27" i="6"/>
  <c r="S9" i="1"/>
  <c r="T9" i="1" s="1"/>
  <c r="I5" i="6"/>
  <c r="F28" i="12"/>
  <c r="F27" i="68"/>
  <c r="F27" i="11"/>
  <c r="F27" i="69"/>
  <c r="D1" i="43"/>
  <c r="E33" i="43"/>
  <c r="C30" i="43" s="1"/>
  <c r="B2" i="43" s="1"/>
  <c r="T6" i="1"/>
  <c r="AR6" i="1"/>
  <c r="AQ6" i="1"/>
  <c r="E6" i="70"/>
  <c r="J18" i="84"/>
  <c r="J19" i="84"/>
  <c r="J5" i="84"/>
  <c r="AR8" i="1"/>
  <c r="T8" i="1"/>
  <c r="AQ8" i="1"/>
  <c r="I6" i="6"/>
  <c r="C35" i="69"/>
  <c r="C38" i="69"/>
  <c r="M16" i="1"/>
  <c r="N16" i="1" s="1"/>
  <c r="C61" i="84"/>
  <c r="C48" i="84"/>
  <c r="T7" i="1"/>
  <c r="AQ7" i="1"/>
  <c r="AR7" i="1"/>
  <c r="E7" i="70"/>
  <c r="H22" i="6"/>
  <c r="R22" i="6" s="1"/>
  <c r="R9" i="1" s="1"/>
  <c r="S22" i="6"/>
  <c r="H20" i="6"/>
  <c r="R20" i="6" s="1"/>
  <c r="R7" i="1" s="1"/>
  <c r="S20" i="6"/>
  <c r="H21" i="6"/>
  <c r="R21" i="6" s="1"/>
  <c r="R8" i="1" s="1"/>
  <c r="S21" i="6"/>
  <c r="I19" i="6"/>
  <c r="M27" i="6"/>
  <c r="H10" i="40"/>
  <c r="H10" i="39"/>
  <c r="J10" i="40"/>
  <c r="F10" i="40"/>
  <c r="J10" i="39"/>
  <c r="F10" i="39"/>
  <c r="C32" i="84"/>
  <c r="C33" i="84"/>
  <c r="C10" i="84"/>
  <c r="C5" i="84" s="1"/>
  <c r="F35" i="83"/>
  <c r="M21" i="91"/>
  <c r="C17" i="91"/>
  <c r="F35" i="91"/>
  <c r="C14" i="91"/>
  <c r="B6" i="76"/>
  <c r="F35" i="84"/>
  <c r="C14" i="15"/>
  <c r="C14" i="83"/>
  <c r="C14" i="84"/>
  <c r="M21" i="83"/>
  <c r="M21" i="84"/>
  <c r="E6" i="76"/>
  <c r="AR9" i="1" l="1"/>
  <c r="S16" i="1"/>
  <c r="E9" i="70"/>
  <c r="AQ9" i="1"/>
  <c r="C33" i="69"/>
  <c r="C42" i="69" s="1"/>
  <c r="C18" i="15"/>
  <c r="C15" i="15"/>
  <c r="J20" i="91"/>
  <c r="J17" i="91" s="1"/>
  <c r="F63" i="91"/>
  <c r="C62" i="91" s="1"/>
  <c r="C59" i="91" s="1"/>
  <c r="C34" i="91"/>
  <c r="C31" i="91" s="1"/>
  <c r="C18" i="83"/>
  <c r="C15" i="83"/>
  <c r="B2" i="76"/>
  <c r="F63" i="84"/>
  <c r="C62" i="84" s="1"/>
  <c r="C34" i="84"/>
  <c r="C31" i="84" s="1"/>
  <c r="J20" i="84"/>
  <c r="J17" i="84" s="1"/>
  <c r="E2" i="76"/>
  <c r="C18" i="91"/>
  <c r="C15" i="91"/>
  <c r="F63" i="83"/>
  <c r="C62" i="83" s="1"/>
  <c r="C59" i="83" s="1"/>
  <c r="C34" i="83"/>
  <c r="C31" i="83" s="1"/>
  <c r="J20" i="83"/>
  <c r="J17" i="83" s="1"/>
  <c r="C18" i="84"/>
  <c r="C15" i="84"/>
  <c r="AC10" i="39"/>
  <c r="W10" i="39"/>
  <c r="U10" i="40"/>
  <c r="AB10" i="40"/>
  <c r="W10" i="40"/>
  <c r="AC10" i="40"/>
  <c r="H19" i="6"/>
  <c r="I27" i="6"/>
  <c r="S19" i="6"/>
  <c r="S27" i="6" s="1"/>
  <c r="S10" i="39"/>
  <c r="AA10" i="39"/>
  <c r="U10" i="39"/>
  <c r="AB10" i="39"/>
  <c r="C34" i="11"/>
  <c r="C34" i="68"/>
  <c r="L16" i="1"/>
  <c r="E2" i="70"/>
  <c r="T16" i="1"/>
  <c r="C28" i="11"/>
  <c r="C27" i="11" s="1"/>
  <c r="C29" i="11"/>
  <c r="D27" i="11" s="1"/>
  <c r="C47" i="11"/>
  <c r="D45" i="11" s="1"/>
  <c r="F50" i="69"/>
  <c r="F50" i="68"/>
  <c r="F50" i="11"/>
  <c r="J26" i="84"/>
  <c r="J29" i="84" s="1"/>
  <c r="J24" i="84"/>
  <c r="C6" i="68"/>
  <c r="B3" i="43"/>
  <c r="C47" i="68"/>
  <c r="D45" i="68" s="1"/>
  <c r="C29" i="68"/>
  <c r="D27" i="68" s="1"/>
  <c r="F45" i="68"/>
  <c r="C38" i="84"/>
  <c r="AA10" i="40"/>
  <c r="S10" i="40"/>
  <c r="C60" i="84"/>
  <c r="C66" i="84"/>
  <c r="C30" i="12"/>
  <c r="C28" i="12" s="1"/>
  <c r="C29" i="12"/>
  <c r="D28" i="12" s="1"/>
  <c r="C28" i="69"/>
  <c r="C27" i="69" s="1"/>
  <c r="C47" i="69"/>
  <c r="D45" i="69" s="1"/>
  <c r="C29" i="69"/>
  <c r="D27" i="69" s="1"/>
  <c r="F45" i="69"/>
  <c r="C39" i="69" l="1"/>
  <c r="C43" i="69" s="1"/>
  <c r="C41" i="69" s="1"/>
  <c r="C19" i="84"/>
  <c r="C20" i="84" s="1"/>
  <c r="C19" i="83"/>
  <c r="C20" i="83" s="1"/>
  <c r="C59" i="84"/>
  <c r="C19" i="15"/>
  <c r="C20" i="15" s="1"/>
  <c r="C26" i="15" s="1"/>
  <c r="C19" i="91"/>
  <c r="C20" i="91" s="1"/>
  <c r="C26" i="91" s="1"/>
  <c r="C32" i="12"/>
  <c r="B2" i="12" s="1"/>
  <c r="B3" i="12" s="1"/>
  <c r="C31" i="69"/>
  <c r="C31" i="11"/>
  <c r="C7" i="68"/>
  <c r="C5" i="68" s="1"/>
  <c r="C38" i="68"/>
  <c r="C35" i="68"/>
  <c r="H27" i="6"/>
  <c r="R19" i="6"/>
  <c r="C38" i="11"/>
  <c r="C35" i="11"/>
  <c r="B3" i="76"/>
  <c r="C46" i="69" l="1"/>
  <c r="C45" i="69" s="1"/>
  <c r="C49" i="69" s="1"/>
  <c r="C51" i="69" s="1"/>
  <c r="C23" i="84"/>
  <c r="C23" i="91"/>
  <c r="C29" i="91" s="1"/>
  <c r="C33" i="11"/>
  <c r="C39" i="11" s="1"/>
  <c r="C43" i="11" s="1"/>
  <c r="C33" i="68"/>
  <c r="C39" i="68" s="1"/>
  <c r="C43" i="68" s="1"/>
  <c r="C23" i="15"/>
  <c r="C29" i="15" s="1"/>
  <c r="C23" i="68"/>
  <c r="C20" i="68"/>
  <c r="C25" i="68" s="1"/>
  <c r="R6" i="1"/>
  <c r="R27" i="6"/>
  <c r="C26" i="83"/>
  <c r="C23" i="83"/>
  <c r="C26" i="84"/>
  <c r="M21" i="15"/>
  <c r="F35" i="15"/>
  <c r="C52" i="69" l="1"/>
  <c r="B2" i="69" s="1"/>
  <c r="B3" i="69" s="1"/>
  <c r="C29" i="84"/>
  <c r="C57" i="84" s="1"/>
  <c r="C64" i="84" s="1"/>
  <c r="C42" i="11"/>
  <c r="C41" i="11" s="1"/>
  <c r="C22" i="68"/>
  <c r="C29" i="83"/>
  <c r="C13" i="83" s="1"/>
  <c r="C42" i="68"/>
  <c r="C41" i="68" s="1"/>
  <c r="C28" i="68"/>
  <c r="C27" i="68" s="1"/>
  <c r="C34" i="15"/>
  <c r="C31" i="15" s="1"/>
  <c r="F63" i="15"/>
  <c r="C62" i="15" s="1"/>
  <c r="C59" i="15" s="1"/>
  <c r="J20" i="15"/>
  <c r="J17" i="15" s="1"/>
  <c r="C46" i="68"/>
  <c r="C45" i="68" s="1"/>
  <c r="R16" i="1"/>
  <c r="C57" i="15"/>
  <c r="C64" i="15" s="1"/>
  <c r="J14" i="15"/>
  <c r="C13" i="15"/>
  <c r="C36" i="15"/>
  <c r="Q49" i="15"/>
  <c r="C13" i="91"/>
  <c r="J14" i="91"/>
  <c r="Q49" i="91"/>
  <c r="C36" i="91"/>
  <c r="C57" i="91"/>
  <c r="C64" i="91" s="1"/>
  <c r="C46" i="11"/>
  <c r="C45" i="11" s="1"/>
  <c r="C57" i="69" l="1"/>
  <c r="C56" i="69" s="1"/>
  <c r="C13" i="84"/>
  <c r="C37" i="84" s="1"/>
  <c r="J14" i="84"/>
  <c r="J13" i="84" s="1"/>
  <c r="J23" i="84" s="1"/>
  <c r="Q49" i="84"/>
  <c r="C36" i="84"/>
  <c r="C49" i="11"/>
  <c r="C51" i="11" s="1"/>
  <c r="C52" i="11" s="1"/>
  <c r="B2" i="11" s="1"/>
  <c r="B3" i="11" s="1"/>
  <c r="C31" i="68"/>
  <c r="Q49" i="83"/>
  <c r="C49" i="68"/>
  <c r="C51" i="68" s="1"/>
  <c r="J14" i="83"/>
  <c r="J13" i="83" s="1"/>
  <c r="J23" i="83" s="1"/>
  <c r="C36" i="83"/>
  <c r="C57" i="83"/>
  <c r="C64" i="83" s="1"/>
  <c r="J13" i="91"/>
  <c r="J23" i="91" s="1"/>
  <c r="J22" i="91"/>
  <c r="C75" i="15"/>
  <c r="C56" i="15"/>
  <c r="C65" i="15" s="1"/>
  <c r="C58" i="15" s="1"/>
  <c r="C67" i="15" s="1"/>
  <c r="C68" i="15" s="1"/>
  <c r="Q70" i="15"/>
  <c r="C37" i="15"/>
  <c r="C30" i="15" s="1"/>
  <c r="C39" i="15" s="1"/>
  <c r="C75" i="83"/>
  <c r="C37" i="83"/>
  <c r="Q70" i="83"/>
  <c r="C56" i="83"/>
  <c r="C65" i="83" s="1"/>
  <c r="C75" i="91"/>
  <c r="C56" i="91"/>
  <c r="C65" i="91" s="1"/>
  <c r="C58" i="91" s="1"/>
  <c r="C67" i="91" s="1"/>
  <c r="C68" i="91" s="1"/>
  <c r="C37" i="91"/>
  <c r="C30" i="91" s="1"/>
  <c r="C39" i="91" s="1"/>
  <c r="Q70" i="91"/>
  <c r="J22" i="15"/>
  <c r="J13" i="15"/>
  <c r="J23" i="15" s="1"/>
  <c r="L51" i="91"/>
  <c r="L51" i="15"/>
  <c r="J22" i="84" l="1"/>
  <c r="J16" i="84" s="1"/>
  <c r="J25" i="84" s="1"/>
  <c r="C56" i="84"/>
  <c r="C65" i="84" s="1"/>
  <c r="C58" i="84" s="1"/>
  <c r="C67" i="84" s="1"/>
  <c r="C68" i="84" s="1"/>
  <c r="C71" i="84" s="1"/>
  <c r="C75" i="84"/>
  <c r="Q70" i="84"/>
  <c r="C30" i="84"/>
  <c r="C39" i="84" s="1"/>
  <c r="C40" i="84" s="1"/>
  <c r="C52" i="68"/>
  <c r="B2" i="68" s="1"/>
  <c r="B3" i="68" s="1"/>
  <c r="J22" i="83"/>
  <c r="J16" i="83" s="1"/>
  <c r="J25" i="83" s="1"/>
  <c r="C30" i="83"/>
  <c r="C39" i="83" s="1"/>
  <c r="C40" i="83" s="1"/>
  <c r="J16" i="15"/>
  <c r="J25" i="15" s="1"/>
  <c r="J26" i="15" s="1"/>
  <c r="J29" i="15" s="1"/>
  <c r="C58" i="83"/>
  <c r="C67" i="83" s="1"/>
  <c r="C68" i="83" s="1"/>
  <c r="C71" i="83" s="1"/>
  <c r="Q67" i="91"/>
  <c r="Q67" i="15"/>
  <c r="C40" i="91"/>
  <c r="C46" i="91" s="1"/>
  <c r="Q69" i="91"/>
  <c r="Q68" i="91" s="1"/>
  <c r="Q69" i="15"/>
  <c r="Q68" i="15" s="1"/>
  <c r="C40" i="15"/>
  <c r="C46" i="15" s="1"/>
  <c r="J16" i="91"/>
  <c r="J25" i="91" s="1"/>
  <c r="C71" i="15"/>
  <c r="C80" i="91"/>
  <c r="C79" i="91" s="1"/>
  <c r="C71" i="91"/>
  <c r="C80" i="15"/>
  <c r="C79" i="15" s="1"/>
  <c r="C56" i="11"/>
  <c r="C57" i="11" s="1"/>
  <c r="D19" i="9"/>
  <c r="L51" i="84"/>
  <c r="D20" i="9"/>
  <c r="C57" i="68" l="1"/>
  <c r="C56" i="68" s="1"/>
  <c r="C46" i="84"/>
  <c r="C80" i="84"/>
  <c r="C79" i="84" s="1"/>
  <c r="Q69" i="84"/>
  <c r="Q68" i="84" s="1"/>
  <c r="Q67" i="84"/>
  <c r="Q69" i="83"/>
  <c r="Q68" i="83" s="1"/>
  <c r="C80" i="83"/>
  <c r="C79" i="83" s="1"/>
  <c r="D102" i="9"/>
  <c r="D21" i="9"/>
  <c r="C46" i="83"/>
  <c r="D103" i="9"/>
  <c r="Q56" i="84"/>
  <c r="Q62" i="84" s="1"/>
  <c r="B2" i="84"/>
  <c r="C43" i="84"/>
  <c r="Q65" i="84"/>
  <c r="Q75" i="84" s="1"/>
  <c r="Q47" i="84"/>
  <c r="Q53" i="84" s="1"/>
  <c r="C83" i="84"/>
  <c r="C82" i="84" s="1"/>
  <c r="B2" i="15"/>
  <c r="Q65" i="15"/>
  <c r="Q75" i="15" s="1"/>
  <c r="Q56" i="15"/>
  <c r="Q62" i="15" s="1"/>
  <c r="Q47" i="15"/>
  <c r="Q53" i="15" s="1"/>
  <c r="C43" i="15"/>
  <c r="C83" i="15"/>
  <c r="C82" i="15" s="1"/>
  <c r="B2" i="83"/>
  <c r="C43" i="83"/>
  <c r="Q56" i="83"/>
  <c r="Q62" i="83" s="1"/>
  <c r="Q65" i="83"/>
  <c r="Q75" i="83" s="1"/>
  <c r="Q47" i="83"/>
  <c r="Q53" i="83" s="1"/>
  <c r="C83" i="83"/>
  <c r="C82" i="83" s="1"/>
  <c r="B2" i="91"/>
  <c r="Q56" i="91"/>
  <c r="Q62" i="91" s="1"/>
  <c r="C43" i="91"/>
  <c r="Q47" i="91"/>
  <c r="Q53" i="91" s="1"/>
  <c r="Q65" i="91"/>
  <c r="Q75" i="91" s="1"/>
  <c r="C83" i="91"/>
  <c r="C82" i="91" s="1"/>
  <c r="L51" i="83"/>
  <c r="AO7" i="1"/>
  <c r="AO8" i="1"/>
  <c r="AO6" i="1"/>
  <c r="AO9" i="1"/>
  <c r="Q67" i="83" l="1"/>
  <c r="B9" i="70"/>
  <c r="B6" i="70"/>
  <c r="B8" i="70"/>
  <c r="E26" i="80" s="1"/>
  <c r="B7" i="70"/>
  <c r="E25" i="80" s="1"/>
  <c r="B3" i="91"/>
  <c r="B3" i="15"/>
  <c r="B3" i="84"/>
  <c r="B3" i="83"/>
  <c r="B2" i="70" l="1"/>
  <c r="D14" i="74" s="1"/>
  <c r="E24" i="80"/>
  <c r="C19" i="9"/>
  <c r="B5" i="74" l="1"/>
  <c r="D5" i="74" s="1"/>
  <c r="F14" i="74"/>
  <c r="E14" i="74"/>
  <c r="D22" i="9"/>
  <c r="C102" i="9"/>
  <c r="C21" i="9"/>
  <c r="G19" i="9"/>
  <c r="G21" i="9" s="1"/>
  <c r="B3" i="70"/>
  <c r="E27" i="80"/>
  <c r="C20" i="9"/>
  <c r="G20" i="9" l="1"/>
  <c r="C32" i="9" s="1"/>
  <c r="C103" i="9"/>
  <c r="C35" i="9" l="1"/>
  <c r="C34" i="9" s="1"/>
  <c r="D9" i="52" l="1"/>
  <c r="D123" i="9"/>
  <c r="C73" i="9"/>
  <c r="C78" i="9"/>
  <c r="B47" i="72"/>
  <c r="D4" i="52"/>
  <c r="E81" i="9"/>
  <c r="E80" i="9"/>
  <c r="C80" i="9"/>
  <c r="M54" i="9"/>
  <c r="D56" i="9"/>
  <c r="D58" i="9"/>
  <c r="C97" i="9"/>
  <c r="C86" i="9"/>
  <c r="C93" i="9"/>
  <c r="B51" i="72"/>
  <c r="F4" i="52"/>
  <c r="B32" i="72"/>
  <c r="D14" i="53"/>
  <c r="C6" i="74"/>
  <c r="B49" i="72"/>
  <c r="D5" i="52"/>
  <c r="D118" i="9"/>
  <c r="D119" i="9"/>
  <c r="C5" i="74"/>
  <c r="D13" i="53"/>
  <c r="B30" i="72"/>
  <c r="D54" i="9"/>
  <c r="C68" i="9"/>
  <c r="H108" i="9"/>
  <c r="D15" i="53"/>
  <c r="B31" i="72"/>
  <c r="C85" i="9"/>
  <c r="C95" i="9"/>
  <c r="C96" i="9"/>
  <c r="E96" i="9"/>
  <c r="E97" i="9"/>
  <c r="M48" i="9"/>
  <c r="F119" i="9"/>
  <c r="F5" i="52"/>
  <c r="B53" i="72"/>
  <c r="H102" i="9"/>
  <c r="D7" i="53"/>
  <c r="B21" i="72"/>
  <c r="N58" i="9"/>
  <c r="P57" i="9"/>
  <c r="B48" i="72"/>
  <c r="E118" i="9"/>
  <c r="E4" i="52"/>
  <c r="B52" i="72"/>
  <c r="F118" i="9"/>
  <c r="G118" i="9"/>
  <c r="G4" i="52"/>
  <c r="C104" i="9"/>
  <c r="H4" i="52"/>
  <c r="H107" i="9"/>
  <c r="D122" i="9"/>
  <c r="D8" i="52"/>
  <c r="C72" i="9"/>
  <c r="C79" i="9"/>
  <c r="C81" i="9"/>
  <c r="C64" i="9"/>
  <c r="C63" i="9"/>
  <c r="C67" i="9"/>
  <c r="D59" i="9"/>
  <c r="M55" i="9"/>
  <c r="B22" i="72"/>
  <c r="D6" i="53"/>
  <c r="N61" i="9"/>
  <c r="D55" i="9"/>
  <c r="M53" i="9"/>
  <c r="N57" i="9"/>
  <c r="N59" i="9"/>
  <c r="N60" i="9"/>
  <c r="C105" i="9"/>
  <c r="I4" i="52"/>
  <c r="D5" i="53"/>
  <c r="B20" i="72"/>
  <c r="H119" i="9"/>
  <c r="H5" i="5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99F1FF6F-8D67-48E5-A235-E8538E7C9946}">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14C13905-5F88-4CE2-8270-DAD36D7E46BA}">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CDBA9818-7048-4BD7-A338-53F01B972358}">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88CCA98-26EF-445C-9FFD-FA3275F5F19E}">
      <text>
        <r>
          <rPr>
            <sz val="11"/>
            <color indexed="81"/>
            <rFont val="宋体"/>
            <family val="3"/>
            <charset val="134"/>
          </rPr>
          <t>在建项目均选择“是”</t>
        </r>
      </text>
    </comment>
    <comment ref="F59" authorId="1" shapeId="0" xr:uid="{B9E2A259-5821-4895-922B-CC5AEF229A99}">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7C7FB238-6E69-40BB-8DAE-0E57E5943E82}">
      <text>
        <r>
          <rPr>
            <sz val="10"/>
            <color indexed="81"/>
            <rFont val="宋体"/>
            <family val="3"/>
            <charset val="134"/>
          </rPr>
          <t xml:space="preserve">在建
</t>
        </r>
      </text>
    </comment>
    <comment ref="N59" authorId="0" shapeId="0" xr:uid="{31405568-AB2D-4BB5-A6EE-B9186EEFBAE8}">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E4D04919-CE15-4244-BA0D-E7D4DF4EEC2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470C018A-8526-4399-ABE3-09193B6BD7CA}">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612F4821-1AD1-44A4-87AB-15AC0DDC2A3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8A75683-20FB-4C0D-A5B0-F0949A7E3A53}">
      <text>
        <r>
          <rPr>
            <sz val="11"/>
            <color indexed="81"/>
            <rFont val="宋体"/>
            <family val="3"/>
            <charset val="134"/>
          </rPr>
          <t>在建项目均选择“是”</t>
        </r>
      </text>
    </comment>
    <comment ref="F59" authorId="1" shapeId="0" xr:uid="{7DF8EA7D-C7C8-4235-8276-37CE6F1BE73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3795FC36-137A-4D0E-909D-BED620D2F90A}">
      <text>
        <r>
          <rPr>
            <sz val="10"/>
            <color indexed="81"/>
            <rFont val="宋体"/>
            <family val="3"/>
            <charset val="134"/>
          </rPr>
          <t xml:space="preserve">在建
</t>
        </r>
      </text>
    </comment>
    <comment ref="N59" authorId="0" shapeId="0" xr:uid="{5A947CFD-8716-45ED-92BE-22E56A7BC8FA}">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B6D5609B-51BD-4C30-BF25-A27D1D3AA12B}">
      <text>
        <r>
          <rPr>
            <b/>
            <sz val="9"/>
            <color indexed="81"/>
            <rFont val="宋体"/>
            <family val="3"/>
            <charset val="134"/>
          </rPr>
          <t>权重验证</t>
        </r>
        <r>
          <rPr>
            <sz val="9"/>
            <color indexed="81"/>
            <rFont val="宋体"/>
            <family val="3"/>
            <charset val="134"/>
          </rPr>
          <t xml:space="preserve">
</t>
        </r>
      </text>
    </comment>
    <comment ref="C59" authorId="1" shapeId="0" xr:uid="{7D93F9F9-B418-4F50-BDC9-D1AB5FD9EB89}">
      <text>
        <r>
          <rPr>
            <b/>
            <sz val="12"/>
            <color indexed="81"/>
            <rFont val="宋体"/>
            <family val="3"/>
            <charset val="134"/>
          </rPr>
          <t>价值时点所在月度</t>
        </r>
        <r>
          <rPr>
            <sz val="12"/>
            <color indexed="81"/>
            <rFont val="宋体"/>
            <family val="3"/>
            <charset val="134"/>
          </rPr>
          <t xml:space="preserve">
</t>
        </r>
      </text>
    </comment>
    <comment ref="B103" authorId="1" shapeId="0" xr:uid="{43B63DA9-5994-45EB-B62B-4D3B7CDCD1F7}">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BEBEAE9-7869-4DC3-B430-E5B7B2761A38}">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524AD5B-F512-4D4D-AAA1-5444B83B0703}">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39766C48-781B-4378-B5A3-E7C3B4EF4567}">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98BE5BD-DD2C-444A-8AAB-179278D4CDA3}">
      <text>
        <r>
          <rPr>
            <sz val="11"/>
            <color indexed="81"/>
            <rFont val="宋体"/>
            <family val="3"/>
            <charset val="134"/>
          </rPr>
          <t>在建项目均选择“是”</t>
        </r>
      </text>
    </comment>
    <comment ref="F59" authorId="1" shapeId="0" xr:uid="{D7A5025E-A48F-48E0-9D7E-3369EC133FBA}">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94EAADA7-50B7-4311-8E9A-E264380DA7BA}">
      <text>
        <r>
          <rPr>
            <sz val="10"/>
            <color indexed="81"/>
            <rFont val="宋体"/>
            <family val="3"/>
            <charset val="134"/>
          </rPr>
          <t xml:space="preserve">在建
</t>
        </r>
      </text>
    </comment>
    <comment ref="N59" authorId="0" shapeId="0" xr:uid="{1A5E1E4C-7D4F-4368-A793-3F32CA569D09}">
      <text>
        <r>
          <rPr>
            <sz val="10"/>
            <color indexed="81"/>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78F80B8D-54E9-4892-80F6-2ADA557FCECA}">
      <text>
        <r>
          <rPr>
            <b/>
            <sz val="9"/>
            <color indexed="81"/>
            <rFont val="宋体"/>
            <family val="3"/>
            <charset val="134"/>
          </rPr>
          <t>权重验证</t>
        </r>
        <r>
          <rPr>
            <sz val="9"/>
            <color indexed="81"/>
            <rFont val="宋体"/>
            <family val="3"/>
            <charset val="134"/>
          </rPr>
          <t xml:space="preserve">
</t>
        </r>
      </text>
    </comment>
    <comment ref="C59" authorId="1" shapeId="0" xr:uid="{B6C2F7C4-D61F-4A4B-A695-FB7EC009E362}">
      <text>
        <r>
          <rPr>
            <b/>
            <sz val="12"/>
            <color indexed="81"/>
            <rFont val="宋体"/>
            <family val="3"/>
            <charset val="134"/>
          </rPr>
          <t>价值时点所在月度</t>
        </r>
        <r>
          <rPr>
            <sz val="12"/>
            <color indexed="81"/>
            <rFont val="宋体"/>
            <family val="3"/>
            <charset val="134"/>
          </rPr>
          <t xml:space="preserve">
</t>
        </r>
      </text>
    </comment>
    <comment ref="B103" authorId="1" shapeId="0" xr:uid="{5CD1D23F-F94B-43F4-8E04-B715620A834C}">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397C05F6-C017-4947-BEFB-BB68CB28069F}">
      <text>
        <r>
          <rPr>
            <b/>
            <sz val="9"/>
            <color indexed="81"/>
            <rFont val="宋体"/>
            <family val="3"/>
            <charset val="134"/>
          </rPr>
          <t>权重验证</t>
        </r>
        <r>
          <rPr>
            <sz val="9"/>
            <color indexed="81"/>
            <rFont val="宋体"/>
            <family val="3"/>
            <charset val="134"/>
          </rPr>
          <t xml:space="preserve">
</t>
        </r>
      </text>
    </comment>
    <comment ref="C58" authorId="1" shapeId="0" xr:uid="{F38D00C4-C955-43F3-9A41-096099DEEB2C}">
      <text>
        <r>
          <rPr>
            <b/>
            <sz val="12"/>
            <color indexed="81"/>
            <rFont val="宋体"/>
            <family val="3"/>
            <charset val="134"/>
          </rPr>
          <t>价值时点所在月度</t>
        </r>
        <r>
          <rPr>
            <sz val="12"/>
            <color indexed="81"/>
            <rFont val="宋体"/>
            <family val="3"/>
            <charset val="134"/>
          </rPr>
          <t xml:space="preserve">
</t>
        </r>
      </text>
    </comment>
    <comment ref="B102" authorId="1" shapeId="0" xr:uid="{A9DE9E86-0BBD-4A7D-887C-C5B31741352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M4" authorId="0" shapeId="0" xr:uid="{60FDA3CB-03D7-4320-B022-75FB8F9C1ED2}">
      <text>
        <r>
          <rPr>
            <sz val="9"/>
            <rFont val="宋体"/>
            <family val="3"/>
            <charset val="134"/>
          </rPr>
          <t>admin:
2021年9月1日至2024年8月31日为490元/㎡/月；
2024年9月1日至2026年9月30日为514.5元/㎡/月；</t>
        </r>
      </text>
    </comment>
    <comment ref="M5" authorId="0" shapeId="0" xr:uid="{4B5C1C5E-F5C8-4F84-8560-C49C9E9DD6FC}">
      <text>
        <r>
          <rPr>
            <sz val="9"/>
            <rFont val="宋体"/>
            <family val="3"/>
            <charset val="134"/>
          </rPr>
          <t>admin:
2021年10月1日至2023年9月30日为473元/㎡/月；
2023年10月1日至2025年9月30日为487元/㎡/月；
2025年10月1日至2026年9月30日为511.4元/㎡/月；</t>
        </r>
      </text>
    </comment>
    <comment ref="G7" authorId="0" shapeId="0" xr:uid="{0E710A44-D2A0-4DC1-BA88-5E4BC8CBC821}">
      <text>
        <r>
          <rPr>
            <sz val="9"/>
            <rFont val="宋体"/>
            <family val="3"/>
            <charset val="134"/>
          </rPr>
          <t>ying zhang:
主体换签，由阳光变为火炬</t>
        </r>
      </text>
    </comment>
    <comment ref="A12" authorId="0" shapeId="0" xr:uid="{96E9101B-0B61-4928-9C5E-1E5FD4DFFE09}">
      <text>
        <r>
          <rPr>
            <sz val="9"/>
            <rFont val="宋体"/>
            <family val="3"/>
            <charset val="134"/>
          </rPr>
          <t>ying zhang:
801
19F
地下一层B号，合计
2678.8平方米</t>
        </r>
      </text>
    </comment>
    <comment ref="H15" authorId="0" shapeId="0" xr:uid="{8750EEB0-6093-49C3-899F-99572A3EE476}">
      <text>
        <r>
          <rPr>
            <sz val="9"/>
            <rFont val="宋体"/>
            <family val="3"/>
            <charset val="134"/>
          </rPr>
          <t>ying zhang:
16：新岸线（北京）科技集团有限公司，合同至2023年2月28日，但2021年1月14日解约
17：北京新岸线移动通信技术有限公司，同上</t>
        </r>
      </text>
    </comment>
    <comment ref="M15" authorId="0" shapeId="0" xr:uid="{EB721E17-F769-4B18-944C-C25C033980EE}">
      <text>
        <r>
          <rPr>
            <sz val="9"/>
            <rFont val="宋体"/>
            <family val="3"/>
            <charset val="134"/>
          </rPr>
          <t>admin:
1. 【2021年8月10日至2023年8月9日】承租单元租金标准为【432】元/平方米/月，【2023年8月10日至2024年8月9日】承租单元租金标准为【454】元/平方米/月</t>
        </r>
      </text>
    </comment>
    <comment ref="D17" authorId="0" shapeId="0" xr:uid="{6B210D88-9708-499C-BF3C-526DEF6204BF}">
      <text>
        <r>
          <rPr>
            <sz val="9"/>
            <rFont val="宋体"/>
            <family val="3"/>
            <charset val="134"/>
          </rPr>
          <t>ying zhang:
D1201C</t>
        </r>
      </text>
    </comment>
    <comment ref="E17" authorId="0" shapeId="0" xr:uid="{C61D4B33-6A13-4821-82D2-43621C1AA059}">
      <text>
        <r>
          <rPr>
            <sz val="9"/>
            <rFont val="宋体"/>
            <family val="3"/>
            <charset val="134"/>
          </rPr>
          <t>ying zhang:
321.92</t>
        </r>
      </text>
    </comment>
    <comment ref="G17" authorId="0" shapeId="0" xr:uid="{8606AEA2-226F-4D79-A3FA-98892EF0B963}">
      <text>
        <r>
          <rPr>
            <sz val="9"/>
            <rFont val="宋体"/>
            <family val="3"/>
            <charset val="134"/>
          </rPr>
          <t>admin:
2021/3/14</t>
        </r>
      </text>
    </comment>
    <comment ref="M17" authorId="0" shapeId="0" xr:uid="{9C17E71C-D5BD-4012-A14D-4F2FC32FC464}">
      <text>
        <r>
          <rPr>
            <sz val="9"/>
            <rFont val="宋体"/>
            <family val="3"/>
            <charset val="134"/>
          </rPr>
          <t>ying zhang:
原合同14.5</t>
        </r>
      </text>
    </comment>
    <comment ref="M20" authorId="0" shapeId="0" xr:uid="{BCA7E90D-B483-498D-9738-3CECD5D7B1AF}">
      <text>
        <r>
          <rPr>
            <sz val="9"/>
            <rFont val="宋体"/>
            <family val="3"/>
            <charset val="134"/>
          </rPr>
          <t xml:space="preserve">admin:
2022年3月1日至2024年2月29日为436元/㎡/月；
2024年3月1日至2026年2月28日为449元/㎡/月；
2026年3月1日至2026年9月30日为471.5元/㎡/月；
</t>
        </r>
      </text>
    </comment>
    <comment ref="M21" authorId="0" shapeId="0" xr:uid="{A9939D4F-C63D-40D6-BE5F-5C4C9DC0859D}">
      <text>
        <r>
          <rPr>
            <sz val="9"/>
            <rFont val="宋体"/>
            <family val="3"/>
            <charset val="134"/>
          </rPr>
          <t>ying zhang:
原合同租金17元/平方米/天</t>
        </r>
      </text>
    </comment>
    <comment ref="M22" authorId="0" shapeId="0" xr:uid="{B0EB6523-1040-4702-8105-8A50EEE9C621}">
      <text>
        <r>
          <rPr>
            <sz val="9"/>
            <rFont val="宋体"/>
            <family val="3"/>
            <charset val="134"/>
          </rPr>
          <t>ying zhang:
原合同租金17元/平方米/天</t>
        </r>
      </text>
    </comment>
    <comment ref="M23" authorId="0" shapeId="0" xr:uid="{7A3B8206-6FB1-4E7D-89A5-C80A544E2699}">
      <text>
        <r>
          <rPr>
            <sz val="9"/>
            <rFont val="宋体"/>
            <family val="3"/>
            <charset val="134"/>
          </rPr>
          <t xml:space="preserve">admin:
2021年7月1日至2023年8月31日为410元/㎡/月；
2023年9月1日至2025年8月31日为423元/㎡/月；
2025年9月1日至2026年9月30日为444.2元/㎡/月；
</t>
        </r>
      </text>
    </comment>
    <comment ref="M24" authorId="0" shapeId="0" xr:uid="{DDE0491F-1DC6-4189-84AE-6A29B7E2366B}">
      <text>
        <r>
          <rPr>
            <sz val="9"/>
            <rFont val="宋体"/>
            <family val="3"/>
            <charset val="134"/>
          </rPr>
          <t>admin:
原合同15.5元/平方米/天</t>
        </r>
      </text>
    </comment>
    <comment ref="M26" authorId="0" shapeId="0" xr:uid="{1223D14D-0D2D-4370-AFFA-52423868AA4A}">
      <text>
        <r>
          <rPr>
            <sz val="9"/>
            <rFont val="宋体"/>
            <family val="3"/>
            <charset val="134"/>
          </rPr>
          <t xml:space="preserve">admin:
2021年10月1日至2023年9月30日为410元/㎡/月；
2023年10月1日至2025年9月30日为423元/㎡/月；
2025年10月1日至2026年9月30日为444.2元/㎡/月；
</t>
        </r>
      </text>
    </comment>
    <comment ref="M28" authorId="0" shapeId="0" xr:uid="{1469F7FA-8490-44F8-B3C3-C15E5ADA7E97}">
      <text>
        <r>
          <rPr>
            <sz val="9"/>
            <rFont val="宋体"/>
            <family val="3"/>
            <charset val="134"/>
          </rPr>
          <t>ying zhang:
第4年上调15%，12.65元，第5年同第4年</t>
        </r>
      </text>
    </comment>
    <comment ref="E29" authorId="0" shapeId="0" xr:uid="{EF0F3986-81E6-4B6C-BB18-4D838013C99A}">
      <text>
        <r>
          <rPr>
            <sz val="9"/>
            <rFont val="宋体"/>
            <family val="3"/>
            <charset val="134"/>
          </rPr>
          <t>ying zhang:
退租2层201，993.59平方米</t>
        </r>
      </text>
    </comment>
    <comment ref="L30" authorId="0" shapeId="0" xr:uid="{60F82320-6E50-4C6D-BBFB-85479F3A0DC5}">
      <text>
        <r>
          <rPr>
            <sz val="9"/>
            <rFont val="宋体"/>
            <family val="3"/>
            <charset val="134"/>
          </rPr>
          <t>ying zhang:
没有明确装修期，下同</t>
        </r>
      </text>
    </comment>
    <comment ref="M30" authorId="0" shapeId="0" xr:uid="{8CD31E58-F0AE-4A01-83A4-D1EF7EB8D2B2}">
      <text>
        <r>
          <rPr>
            <sz val="9"/>
            <rFont val="宋体"/>
            <family val="3"/>
            <charset val="134"/>
          </rPr>
          <t>ying zhang:
原始租金前三个月8元，后续时间为10.5元</t>
        </r>
      </text>
    </comment>
    <comment ref="M37" authorId="0" shapeId="0" xr:uid="{0F311BC2-941D-461B-964B-B7E032EF9E1F}">
      <text>
        <r>
          <rPr>
            <sz val="9"/>
            <rFont val="宋体"/>
            <family val="3"/>
            <charset val="134"/>
          </rPr>
          <t>admin:
1-3年不调整，第4年增加10%，第5年等同第4年租金</t>
        </r>
      </text>
    </comment>
    <comment ref="E38" authorId="0" shapeId="0" xr:uid="{CEED601E-AD3F-4CC2-9D7C-3530F0F25CB3}">
      <text>
        <r>
          <rPr>
            <sz val="9"/>
            <rFont val="宋体"/>
            <family val="3"/>
            <charset val="134"/>
          </rPr>
          <t xml:space="preserve">ying zhang:
高和：201.18
金茂：=2678.8-876.24-1511.24
</t>
        </r>
      </text>
    </comment>
    <comment ref="E41" authorId="0" shapeId="0" xr:uid="{ED71E12C-A2B2-40B7-83D9-0EA004EE8569}">
      <text>
        <r>
          <rPr>
            <sz val="9"/>
            <rFont val="宋体"/>
            <family val="3"/>
            <charset val="134"/>
          </rPr>
          <t>ying zhang:
DB107-64.33,108-64.87</t>
        </r>
      </text>
    </comment>
    <comment ref="E42" authorId="0" shapeId="0" xr:uid="{D1EDCBC1-A306-47D0-A575-B661B217209E}">
      <text>
        <r>
          <rPr>
            <sz val="9"/>
            <rFont val="宋体"/>
            <family val="3"/>
            <charset val="134"/>
          </rPr>
          <t>ying zhang:
各一半</t>
        </r>
      </text>
    </comment>
    <comment ref="M42" authorId="0" shapeId="0" xr:uid="{B3D4C130-E36F-456F-8D5A-3F93BD8BBEE8}">
      <text>
        <r>
          <rPr>
            <sz val="9"/>
            <rFont val="宋体"/>
            <family val="3"/>
            <charset val="134"/>
          </rPr>
          <t>ying zhang:
原美容院11.5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<sst xmlns="http://schemas.openxmlformats.org/spreadsheetml/2006/main" count="10717" uniqueCount="3873">
  <si>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</si>
  <si>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</si>
  <si>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</si>
  <si>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</si>
  <si>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</si>
  <si>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</si>
  <si>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</si>
  <si>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</si>
  <si>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</si>
  <si>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</si>
  <si>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</si>
  <si>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</si>
  <si>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</si>
  <si>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</si>
  <si>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</si>
  <si>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</si>
  <si>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</si>
  <si>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</si>
  <si>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</si>
  <si>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</si>
  <si>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</si>
  <si>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</si>
  <si>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</si>
  <si>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</si>
  <si>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</si>
  <si>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</si>
  <si>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</si>
  <si>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</si>
  <si>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</si>
  <si>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</si>
  <si>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</si>
  <si>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</si>
  <si>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</si>
  <si>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</si>
  <si>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</si>
  <si>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</si>
  <si>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</si>
  <si>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</si>
  <si>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</si>
  <si>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</si>
  <si>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</si>
  <si>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</si>
  <si>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</si>
  <si>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</si>
  <si>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</si>
  <si>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</si>
  <si>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</si>
  <si>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</si>
  <si>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</si>
  <si>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</si>
  <si>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</si>
  <si>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</si>
  <si>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</si>
  <si>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</si>
  <si>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</si>
  <si>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</si>
  <si>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</si>
  <si>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</si>
  <si>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</si>
  <si>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</si>
  <si>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</si>
  <si>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</si>
  <si>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</si>
  <si>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</si>
  <si>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</si>
  <si>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</si>
  <si>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</si>
  <si>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</si>
  <si>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</si>
  <si>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</si>
  <si>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</si>
  <si>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</si>
  <si>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</si>
  <si>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</si>
  <si>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</si>
  <si>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</si>
  <si>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</si>
  <si>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</si>
  <si>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</si>
  <si>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</si>
  <si>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</si>
  <si>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</si>
  <si>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</si>
  <si>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</si>
  <si>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</si>
  <si>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</si>
  <si>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</si>
  <si>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</si>
  <si>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</si>
  <si>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</si>
  <si>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</si>
  <si>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</si>
  <si>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</si>
  <si>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</si>
  <si>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</si>
  <si>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</si>
  <si>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</si>
  <si>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</si>
  <si>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</si>
  <si>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</si>
  <si>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</si>
  <si>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</si>
  <si>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</si>
  <si>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</si>
  <si>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</si>
  <si>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</si>
  <si>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</si>
  <si>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</si>
  <si>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</si>
  <si>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</si>
  <si>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</si>
  <si>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</si>
  <si>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</si>
  <si>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</si>
  <si>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</si>
  <si>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</si>
  <si>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</si>
  <si>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</si>
  <si>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</si>
  <si>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</si>
  <si>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</si>
  <si>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</si>
  <si>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</si>
  <si>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</si>
  <si>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</si>
  <si>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</si>
  <si>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</si>
  <si>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</si>
  <si>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</si>
  <si>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</si>
  <si>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</si>
  <si>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</si>
  <si>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</si>
  <si>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</si>
  <si>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</si>
  <si>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</si>
  <si>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</si>
  <si>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</si>
  <si>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</si>
  <si>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</si>
  <si>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</si>
  <si>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</si>
  <si>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</si>
  <si>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</si>
  <si>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</si>
  <si>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</si>
  <si>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</si>
  <si>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</si>
  <si>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</si>
  <si>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</si>
  <si>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</si>
  <si>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</si>
  <si>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</si>
  <si>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</si>
  <si>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</si>
  <si>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</si>
  <si>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</si>
  <si>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</si>
  <si>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</si>
  <si>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</si>
  <si>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</si>
  <si>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</si>
  <si>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</si>
  <si>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</si>
  <si>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</si>
  <si>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</si>
  <si>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</si>
  <si>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</si>
  <si>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</si>
  <si>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</si>
  <si>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</si>
  <si>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</si>
  <si>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</si>
  <si>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</si>
  <si>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</si>
  <si>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</si>
  <si>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</si>
  <si>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</si>
  <si>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</si>
  <si>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</si>
  <si>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</si>
  <si>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</si>
  <si>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</si>
  <si>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</si>
  <si>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</si>
  <si>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</si>
  <si>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</si>
  <si>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</si>
  <si>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</si>
  <si>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</si>
  <si>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</si>
  <si>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</si>
  <si>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</si>
  <si>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</si>
  <si>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</si>
  <si>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</si>
  <si>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</si>
  <si>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</si>
  <si>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</si>
  <si>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</si>
  <si>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</si>
  <si>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</si>
  <si>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</si>
  <si>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</si>
  <si>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</si>
  <si>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</si>
  <si>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</si>
  <si>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</si>
  <si>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</si>
  <si>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</si>
  <si>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</si>
  <si>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</si>
  <si>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</si>
  <si>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</si>
  <si>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</si>
  <si>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</si>
  <si>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</si>
  <si>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</si>
  <si>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</si>
  <si>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</si>
  <si>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</si>
  <si>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</si>
  <si>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</si>
  <si>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</si>
  <si>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</si>
  <si>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</si>
  <si>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</si>
  <si>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</si>
  <si>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</si>
  <si>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</si>
  <si>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</si>
  <si>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</si>
  <si>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</si>
  <si>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</si>
  <si>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</si>
  <si>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</si>
  <si>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</si>
  <si>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</si>
  <si>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</si>
  <si>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</si>
  <si>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</si>
  <si>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</si>
  <si>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</si>
  <si>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</si>
  <si>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</si>
  <si>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</si>
  <si>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</si>
  <si>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</si>
  <si>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</si>
  <si>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</si>
  <si>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</si>
  <si>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</si>
  <si>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</si>
  <si>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</si>
  <si>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</si>
  <si>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</si>
  <si>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</si>
  <si>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</si>
  <si>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</si>
  <si>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</si>
  <si>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</si>
  <si>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</si>
  <si>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</si>
  <si>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</si>
  <si>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</si>
  <si>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</si>
  <si>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</si>
  <si>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</si>
  <si>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</si>
  <si>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</si>
  <si>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</si>
  <si>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</si>
  <si>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</si>
  <si>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</si>
  <si>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</si>
  <si>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</si>
  <si>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</si>
  <si>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</si>
  <si>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</si>
  <si>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</si>
  <si>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</si>
  <si>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</si>
  <si>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</si>
  <si>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</si>
  <si>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</si>
  <si>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</si>
  <si>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</si>
  <si>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</si>
  <si>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</si>
  <si>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</si>
  <si>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</si>
  <si>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</si>
  <si>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</si>
  <si>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</si>
  <si>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</si>
  <si>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</si>
  <si>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</si>
  <si>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</si>
  <si>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</si>
  <si>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</si>
  <si>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</si>
  <si>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</si>
  <si>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</si>
  <si>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</si>
  <si>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</si>
  <si>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</si>
  <si>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</si>
  <si>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</si>
  <si>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</si>
  <si>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</si>
  <si>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</si>
  <si>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</si>
  <si>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</si>
  <si>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</si>
  <si>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</si>
  <si>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</si>
  <si>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</si>
  <si>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</si>
  <si>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</si>
  <si>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</si>
  <si>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</si>
  <si>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</si>
  <si>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</si>
  <si>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</si>
  <si>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</si>
  <si>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</si>
  <si>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</si>
  <si>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</si>
  <si>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</si>
  <si>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</si>
  <si>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</si>
  <si>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</si>
  <si>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</si>
  <si>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</si>
  <si>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</si>
  <si>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</si>
  <si>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</si>
  <si>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</si>
  <si>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</si>
  <si>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</si>
  <si>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</si>
  <si>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</si>
  <si>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</si>
  <si>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</si>
  <si>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</si>
  <si>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</si>
  <si>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</si>
  <si>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</si>
  <si>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</si>
  <si>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</si>
  <si>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</si>
  <si>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</si>
  <si>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</si>
  <si>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</si>
  <si>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</si>
  <si>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</si>
  <si>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</si>
  <si>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</si>
  <si>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</si>
  <si>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</si>
  <si>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</si>
  <si>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</si>
  <si>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</si>
  <si>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</si>
  <si>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</si>
  <si>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</si>
  <si>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</si>
  <si>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</si>
  <si>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</si>
  <si>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</si>
  <si>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</si>
  <si>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</si>
  <si>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</si>
  <si>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</si>
  <si>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</si>
  <si>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</si>
  <si>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</si>
  <si>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</si>
  <si>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</si>
  <si>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</si>
  <si>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</si>
  <si>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</si>
  <si>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</si>
  <si>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</si>
  <si>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</si>
  <si>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</si>
  <si>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</si>
  <si>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</si>
  <si>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</si>
  <si>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</si>
  <si>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</si>
  <si>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</si>
  <si>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</si>
  <si>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</si>
  <si>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</si>
  <si>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</si>
  <si>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</si>
  <si>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</si>
  <si>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</si>
  <si>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</si>
  <si>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</si>
  <si>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</si>
  <si>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</si>
  <si>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</si>
  <si>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</si>
  <si>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</si>
  <si>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</si>
  <si>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</si>
  <si>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</si>
  <si>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</si>
  <si>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</si>
  <si>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</si>
  <si>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</si>
  <si>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</si>
  <si>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</si>
  <si>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</si>
  <si>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</si>
  <si>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</si>
  <si>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</si>
  <si>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</si>
  <si>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</si>
  <si>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</si>
  <si>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</si>
  <si>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</si>
  <si>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</si>
  <si>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</si>
  <si>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</si>
  <si>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</si>
  <si>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</si>
  <si>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</si>
  <si>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</si>
  <si>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</si>
  <si>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</si>
  <si>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</si>
  <si>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</si>
  <si>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</si>
  <si>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</si>
  <si>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</si>
  <si>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</si>
  <si>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</si>
  <si>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</si>
  <si>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</si>
  <si>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</si>
  <si>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</si>
  <si>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</si>
  <si>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</si>
  <si>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</si>
  <si>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</si>
  <si>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</si>
  <si>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</si>
  <si>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</si>
  <si>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</si>
  <si>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</si>
  <si>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</si>
  <si>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</si>
  <si>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</si>
  <si>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</si>
  <si>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</si>
  <si>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</si>
  <si>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</si>
  <si>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</si>
  <si>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</si>
  <si>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</si>
  <si>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</si>
  <si>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</si>
  <si>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</si>
  <si>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</si>
  <si>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</si>
  <si>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</si>
  <si>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</si>
  <si>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</si>
  <si>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</si>
  <si>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</si>
  <si>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</si>
  <si>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</si>
  <si>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</si>
  <si>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</si>
  <si>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</si>
  <si>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</si>
  <si>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</si>
  <si>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</si>
  <si>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</si>
  <si>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</si>
  <si>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</si>
  <si>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</si>
  <si>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</si>
  <si>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</si>
  <si>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</si>
  <si>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</si>
  <si>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</si>
  <si>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</si>
  <si>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</si>
  <si>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</si>
  <si>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</si>
  <si>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</si>
  <si>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</si>
  <si>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</si>
  <si>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</si>
  <si>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</si>
  <si>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</si>
  <si>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</si>
  <si>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</si>
  <si>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</si>
  <si>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</si>
  <si>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</si>
  <si>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</si>
  <si>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</si>
  <si>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</si>
  <si>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</si>
  <si>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</si>
  <si>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</si>
  <si>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</si>
  <si>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</si>
  <si>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</si>
  <si>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</si>
  <si>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</si>
  <si>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</si>
  <si>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</si>
  <si>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</si>
  <si>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</si>
  <si>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</si>
  <si>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</si>
  <si>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</si>
  <si>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</si>
  <si>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</si>
  <si>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</si>
  <si>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</si>
  <si>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</si>
  <si>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</si>
  <si>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</si>
  <si>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</si>
  <si>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</si>
  <si>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</si>
  <si>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</si>
  <si>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</si>
  <si>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</si>
  <si>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</si>
  <si>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</si>
  <si>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</si>
  <si>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</si>
  <si>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</si>
  <si>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</si>
  <si>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</si>
  <si>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</si>
  <si>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</si>
  <si>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</si>
  <si>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</si>
  <si>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</si>
  <si>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</si>
  <si>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</si>
  <si>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</si>
  <si>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</si>
  <si>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</si>
  <si>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</si>
  <si>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</si>
  <si>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</si>
  <si>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</si>
  <si>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</si>
  <si>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</si>
  <si>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</si>
  <si>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</si>
  <si>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</si>
  <si>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</si>
  <si>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</si>
  <si>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</si>
  <si>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</si>
  <si>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</si>
  <si>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</si>
  <si>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</si>
  <si>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</si>
  <si>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</si>
  <si>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</si>
  <si>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</si>
  <si>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</si>
  <si>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</si>
  <si>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</si>
  <si>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</si>
  <si>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</si>
  <si>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</si>
  <si>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</si>
  <si>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</si>
  <si>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</si>
  <si>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</si>
  <si>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</si>
  <si>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</si>
  <si>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</si>
  <si>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</si>
  <si>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</si>
  <si>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</si>
  <si>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</si>
  <si>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</si>
  <si>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</si>
  <si>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</si>
  <si>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</si>
  <si>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</si>
  <si>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</si>
  <si>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</si>
  <si>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</si>
  <si>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</si>
  <si>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</si>
  <si>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</si>
  <si>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</si>
  <si>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</si>
  <si>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</si>
  <si>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</si>
  <si>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</si>
  <si>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</si>
  <si>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</si>
  <si>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</si>
  <si>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</si>
  <si>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</si>
  <si>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</si>
  <si>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</si>
  <si>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</si>
  <si>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</si>
  <si>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</si>
  <si>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</si>
  <si>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</si>
  <si>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</si>
  <si>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</si>
  <si>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</si>
  <si>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</si>
  <si>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</si>
  <si>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</si>
  <si>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</si>
  <si>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</si>
  <si>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</si>
  <si>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</si>
  <si>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</si>
  <si>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</si>
  <si>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</si>
  <si>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</si>
  <si>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</si>
  <si>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</si>
  <si>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</si>
  <si>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</si>
  <si>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</si>
  <si>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</si>
  <si>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</si>
  <si>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</si>
  <si>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</si>
  <si>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</si>
  <si>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</si>
  <si>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</si>
  <si>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</si>
  <si>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</si>
  <si>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</si>
  <si>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</si>
  <si>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</si>
  <si>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</si>
  <si>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</si>
  <si>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</si>
  <si>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</si>
  <si>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</si>
  <si>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</si>
  <si>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</si>
  <si>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</si>
  <si>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</si>
  <si>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</si>
  <si>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</si>
  <si>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</si>
  <si>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</si>
  <si>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</si>
  <si>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</si>
  <si>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</si>
  <si>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</si>
  <si>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</si>
  <si>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</si>
  <si>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</si>
  <si>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</si>
  <si>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</si>
  <si>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</si>
  <si>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</si>
  <si>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</si>
  <si>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</si>
  <si>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</si>
  <si>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</si>
  <si>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</si>
  <si>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</si>
  <si>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</si>
  <si>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</si>
  <si>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</si>
  <si>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</si>
  <si>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</si>
  <si>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</si>
  <si>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</si>
  <si>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</si>
  <si>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</si>
  <si>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</si>
  <si>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</si>
  <si>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</si>
  <si>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</si>
  <si>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</si>
  <si>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</si>
  <si>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</si>
  <si>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</si>
  <si>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</si>
  <si>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</si>
  <si>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</si>
  <si>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</si>
  <si>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</si>
  <si>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</si>
  <si>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</si>
  <si>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</si>
  <si>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</si>
  <si>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</si>
  <si>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</si>
  <si>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</si>
  <si>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</si>
  <si>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</si>
  <si>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</si>
  <si>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</si>
  <si>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</si>
  <si>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</si>
  <si>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</si>
  <si>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</si>
  <si>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</si>
  <si>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</si>
  <si>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</si>
  <si>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</si>
  <si>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</si>
  <si>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</si>
  <si>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</si>
  <si>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</si>
  <si>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</si>
  <si>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</si>
  <si>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</si>
  <si>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</si>
  <si>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</si>
  <si>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</si>
  <si>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</si>
  <si>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</si>
  <si>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</si>
  <si>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</si>
  <si>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</si>
  <si>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</si>
  <si>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</si>
  <si>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</si>
  <si>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</si>
  <si>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</si>
  <si>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</si>
  <si>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</si>
  <si>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</si>
  <si>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</si>
  <si>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</si>
  <si>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</si>
  <si>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</si>
  <si>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</si>
  <si>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</si>
  <si>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</si>
  <si>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</si>
  <si>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</si>
  <si>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</si>
  <si>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</si>
  <si>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</si>
  <si>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</si>
  <si>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</si>
  <si>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</si>
  <si>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</si>
  <si>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</si>
  <si>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</si>
  <si>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</si>
  <si>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</si>
  <si>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</si>
  <si>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</si>
  <si>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</si>
  <si>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</si>
  <si>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</si>
  <si>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</si>
  <si>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</si>
  <si>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</si>
  <si>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</si>
  <si>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</si>
  <si>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</si>
  <si>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</si>
  <si>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</si>
  <si>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</si>
  <si>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</si>
  <si>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</si>
  <si>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</si>
  <si>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</si>
  <si>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</si>
  <si>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</si>
  <si>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</si>
  <si>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</si>
  <si>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</si>
  <si>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</si>
  <si>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</si>
  <si>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</si>
  <si>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</si>
  <si>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</si>
  <si>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</si>
  <si>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</si>
  <si>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</si>
  <si>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</si>
  <si>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</si>
  <si>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</si>
  <si>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</si>
  <si>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</si>
  <si>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</si>
  <si>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</si>
  <si>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</si>
  <si>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</si>
  <si>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</si>
  <si>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</si>
  <si>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</si>
  <si>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</si>
  <si>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</si>
  <si>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</si>
  <si>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</si>
  <si>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</si>
  <si>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</si>
  <si>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</si>
  <si>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</si>
  <si>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</si>
  <si>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</si>
  <si>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</si>
  <si>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</si>
  <si>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</si>
  <si>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</si>
  <si>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</si>
  <si>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</si>
  <si>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</si>
  <si>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</si>
  <si>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</si>
  <si>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</si>
  <si>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</si>
  <si>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</si>
  <si>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</si>
  <si>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</si>
  <si>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</si>
  <si>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</si>
  <si>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</si>
  <si>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</si>
  <si>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</si>
  <si>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</si>
  <si>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</si>
  <si>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</si>
  <si>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</si>
  <si>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</si>
  <si>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</si>
  <si>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</si>
  <si>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</si>
  <si>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</si>
  <si>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</si>
  <si>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</si>
  <si>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</si>
  <si>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</si>
  <si>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</si>
  <si>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</si>
  <si>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</si>
  <si>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</si>
  <si>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</si>
  <si>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</si>
  <si>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</si>
  <si>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</si>
  <si>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</si>
  <si>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</si>
  <si>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</si>
  <si>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</si>
  <si>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</si>
  <si>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</si>
  <si>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</si>
  <si>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</si>
  <si>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</si>
  <si>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</si>
  <si>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</si>
  <si>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</si>
  <si>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</si>
  <si>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</si>
  <si>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</si>
  <si>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</si>
  <si>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</si>
  <si>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</si>
  <si>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</si>
  <si>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</si>
  <si>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</si>
  <si>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</si>
  <si>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</si>
  <si>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</si>
  <si>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</si>
  <si>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</si>
  <si>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</si>
  <si>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</si>
  <si>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</si>
  <si>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</si>
  <si>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</si>
  <si>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</si>
  <si>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</si>
  <si>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</si>
  <si>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</si>
  <si>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</si>
  <si>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</si>
  <si>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</si>
  <si>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</si>
  <si>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</si>
  <si>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</si>
  <si>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</si>
  <si>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</si>
  <si>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</si>
  <si>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</si>
  <si>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</si>
  <si>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</si>
  <si>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</si>
  <si>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</si>
  <si>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</si>
  <si>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</si>
  <si>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</si>
  <si>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</si>
  <si>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</si>
  <si>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</si>
  <si>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</si>
  <si>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</si>
  <si>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</si>
  <si>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</si>
  <si>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</si>
  <si>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</si>
  <si>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</si>
  <si>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</si>
  <si>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</si>
  <si>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</si>
  <si>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</si>
  <si>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</si>
  <si>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</si>
  <si>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</si>
  <si>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</si>
  <si>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</si>
  <si>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</si>
  <si>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</si>
  <si>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</si>
  <si>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</si>
  <si>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</si>
  <si>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</si>
  <si>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</si>
  <si>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</si>
  <si>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</si>
  <si>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</si>
  <si>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</si>
  <si>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</si>
  <si>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</si>
  <si>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</si>
  <si>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</si>
  <si>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</si>
  <si>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</si>
  <si>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</si>
  <si>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</si>
  <si>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</si>
  <si>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</si>
  <si>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</si>
  <si>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</si>
  <si>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</si>
  <si>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</si>
  <si>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</si>
  <si>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</si>
  <si>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</si>
  <si>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</si>
  <si>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</si>
  <si>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</si>
  <si>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</si>
  <si>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</si>
  <si>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</si>
  <si>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</si>
  <si>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</si>
  <si>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</si>
  <si>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</si>
  <si>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</si>
  <si>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</si>
  <si>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</si>
  <si>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</si>
  <si>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</si>
  <si>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</si>
  <si>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</si>
  <si>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</si>
  <si>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</si>
  <si>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</si>
  <si>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</si>
  <si>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</si>
  <si>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</si>
  <si>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</si>
  <si>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</si>
  <si>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</si>
  <si>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</si>
  <si>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</si>
  <si>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</si>
  <si>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</si>
  <si>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</si>
  <si>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</si>
  <si>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</si>
  <si>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</si>
  <si>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</si>
  <si>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</si>
  <si>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</si>
  <si>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</si>
  <si>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</si>
  <si>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</si>
  <si>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</si>
  <si>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</si>
  <si>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</si>
  <si>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</si>
  <si>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</si>
  <si>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</si>
  <si>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</si>
  <si>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</si>
  <si>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</si>
  <si>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</si>
  <si>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</si>
  <si>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</si>
  <si>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</si>
  <si>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</si>
  <si>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</si>
  <si>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</si>
  <si>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</si>
  <si>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</si>
  <si>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</si>
  <si>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</si>
  <si>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</si>
  <si>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</si>
  <si>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</si>
  <si>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</si>
  <si>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</si>
  <si>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</si>
  <si>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</si>
  <si>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</si>
  <si>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</si>
  <si>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</si>
  <si>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</si>
  <si>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</si>
  <si>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</si>
  <si>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</si>
  <si>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</si>
  <si>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</si>
  <si>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</si>
  <si>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</si>
  <si>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</si>
  <si>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</si>
  <si>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</si>
  <si>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</si>
  <si>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</si>
  <si>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</si>
  <si>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</si>
  <si>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</si>
  <si>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</si>
  <si>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</si>
  <si>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</si>
  <si>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</si>
  <si>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</si>
  <si>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</si>
  <si>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</si>
  <si>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</si>
  <si>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</si>
  <si>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</si>
  <si>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</si>
  <si>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</si>
  <si>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</si>
  <si>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</si>
  <si>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</si>
  <si>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</si>
  <si>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</si>
  <si>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</si>
  <si>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</si>
  <si>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</si>
  <si>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</si>
  <si>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</si>
  <si>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</si>
  <si>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</si>
  <si>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</si>
  <si>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</si>
  <si>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</si>
  <si>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</si>
  <si>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</si>
  <si>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</si>
  <si>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</si>
  <si>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</si>
  <si>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</si>
  <si>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</si>
  <si>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</si>
  <si>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</si>
  <si>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</si>
  <si>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</si>
  <si>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</si>
  <si>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</si>
  <si>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</si>
  <si>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</si>
  <si>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</si>
  <si>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</si>
  <si>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</si>
  <si>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</si>
  <si>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</si>
  <si>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</si>
  <si>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</si>
  <si>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</si>
  <si>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</si>
  <si>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</si>
  <si>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</si>
  <si>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</si>
  <si>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</si>
  <si>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</si>
  <si>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</si>
  <si>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</si>
  <si>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</si>
  <si>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</si>
  <si>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</si>
  <si>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</si>
  <si>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</si>
  <si>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</si>
  <si>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</si>
  <si>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</si>
  <si>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</si>
  <si>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</si>
  <si>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</si>
  <si>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</si>
  <si>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</si>
  <si>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</si>
  <si>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</si>
  <si>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</si>
  <si>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</si>
  <si>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</si>
  <si>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</si>
  <si>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</si>
  <si>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</si>
  <si>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</si>
  <si>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</si>
  <si>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</si>
  <si>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</si>
  <si>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</si>
  <si>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</si>
  <si>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</si>
  <si>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</si>
  <si>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</si>
  <si>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</si>
  <si>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</si>
  <si>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</si>
  <si>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</si>
  <si>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</si>
  <si>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</si>
  <si>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</si>
  <si>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</si>
  <si>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</si>
  <si>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</si>
  <si>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</si>
  <si>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</si>
  <si>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</si>
  <si>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</si>
  <si>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</si>
  <si>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</si>
  <si>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</si>
  <si>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</si>
  <si>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</si>
  <si>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</si>
  <si>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</si>
  <si>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</si>
  <si>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</si>
  <si>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</si>
  <si>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</si>
  <si>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</si>
  <si>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</si>
  <si>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</si>
  <si>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</si>
  <si>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</si>
  <si>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</si>
  <si>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</si>
  <si>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</si>
  <si>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</si>
  <si>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</si>
  <si>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</si>
  <si>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</si>
  <si>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</si>
  <si>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</si>
  <si>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</si>
  <si>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</si>
  <si>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</si>
  <si>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</si>
  <si>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</si>
  <si>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</si>
  <si>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</si>
  <si>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</si>
  <si>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</si>
  <si>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</si>
  <si>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</si>
  <si>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</si>
  <si>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</si>
  <si>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</si>
  <si>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</si>
  <si>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</si>
  <si>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</si>
  <si>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</si>
  <si>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</si>
  <si>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</si>
  <si>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</si>
  <si>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</si>
  <si>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</si>
  <si>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</si>
  <si>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</si>
  <si>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</si>
  <si>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</si>
  <si>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</si>
  <si>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</si>
  <si>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</si>
  <si>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</si>
  <si>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</si>
  <si>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</si>
  <si>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</si>
  <si>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</si>
  <si>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</si>
  <si>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</si>
  <si>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</si>
  <si>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</si>
  <si>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</si>
  <si>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</si>
  <si>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</si>
  <si>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</si>
  <si>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</si>
  <si>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</si>
  <si>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</si>
  <si>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</si>
  <si>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</si>
  <si>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</si>
  <si>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</si>
  <si>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</si>
  <si>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</si>
  <si>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</si>
  <si>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</si>
  <si>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</si>
  <si>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</si>
  <si>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</si>
  <si>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</si>
  <si>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</si>
  <si>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</si>
  <si>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</si>
  <si>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</si>
  <si>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</si>
  <si>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</si>
  <si>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</si>
  <si>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</si>
  <si>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</si>
  <si>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</si>
  <si>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</si>
  <si>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</si>
  <si>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</si>
  <si>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</si>
  <si>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</si>
  <si>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</si>
  <si>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</si>
  <si>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</si>
  <si>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</si>
  <si>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</si>
  <si>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</si>
  <si>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</si>
  <si>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</si>
  <si>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</si>
  <si>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</si>
  <si>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</si>
  <si>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</si>
  <si>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</si>
  <si>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</si>
  <si>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</si>
  <si>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</si>
  <si>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</si>
  <si>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</si>
  <si>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</si>
  <si>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</si>
  <si>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</si>
  <si>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</si>
  <si>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</si>
  <si>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</si>
  <si>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</si>
  <si>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</si>
  <si>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</si>
  <si>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</si>
  <si>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</si>
  <si>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</si>
  <si>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</si>
  <si>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</si>
  <si>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</si>
  <si>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</si>
  <si>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</si>
  <si>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</si>
  <si>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</si>
  <si>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</si>
  <si>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</si>
  <si>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</si>
  <si>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</si>
  <si>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</si>
  <si>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</si>
  <si>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</si>
  <si>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</si>
  <si>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</si>
  <si>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</si>
  <si>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</si>
  <si>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</si>
  <si>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</si>
  <si>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</si>
  <si>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</si>
  <si>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</si>
  <si>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</si>
  <si>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</si>
  <si>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</si>
  <si>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</si>
  <si>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</si>
  <si>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</si>
  <si>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</si>
  <si>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</si>
  <si>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</si>
  <si>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</si>
  <si>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</si>
  <si>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</si>
  <si>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</si>
  <si>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</si>
  <si>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</si>
  <si>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</si>
  <si>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</si>
  <si>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</si>
  <si>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</si>
  <si>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</si>
  <si>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</si>
  <si>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</si>
  <si>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</si>
  <si>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</si>
  <si>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</si>
  <si>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</si>
  <si>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</si>
  <si>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</si>
  <si>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</si>
  <si>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</si>
  <si>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</si>
  <si>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</si>
  <si>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</si>
  <si>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</si>
  <si>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</si>
  <si>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</si>
  <si>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</si>
  <si>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</si>
  <si>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</si>
  <si>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</si>
  <si>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</si>
  <si>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</si>
  <si>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</si>
  <si>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</si>
  <si>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</si>
  <si>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</si>
  <si>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</si>
  <si>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</si>
  <si>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</si>
  <si>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</si>
  <si>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</si>
  <si>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</si>
  <si>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</si>
  <si>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</si>
  <si>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</si>
  <si>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</si>
  <si>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</si>
  <si>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</si>
  <si>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</si>
  <si>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</si>
  <si>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</si>
  <si>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</si>
  <si>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</si>
  <si>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</si>
  <si>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</si>
  <si>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</si>
  <si>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</si>
  <si>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</si>
  <si>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</si>
  <si>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</si>
  <si>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</si>
  <si>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</si>
  <si>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</si>
  <si>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</si>
  <si>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</si>
  <si>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</si>
  <si>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</si>
  <si>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</si>
  <si>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</si>
  <si>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</si>
  <si>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</si>
  <si>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</si>
  <si>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</si>
  <si>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</si>
  <si>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</si>
  <si>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</si>
  <si>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</si>
  <si>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</si>
  <si>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</si>
  <si>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</si>
  <si>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</si>
  <si>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</si>
  <si>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</si>
  <si>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</si>
  <si>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</si>
  <si>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</si>
  <si>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</si>
  <si>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</si>
  <si>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</si>
  <si>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</si>
  <si>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</si>
  <si>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</si>
  <si>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</si>
  <si>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</si>
  <si>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</si>
  <si>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</si>
  <si>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</si>
  <si>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</si>
  <si>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</si>
  <si>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</si>
  <si>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</si>
  <si>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</si>
  <si>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</si>
  <si>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</si>
  <si>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</si>
  <si>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</si>
  <si>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</si>
  <si>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</si>
  <si>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</si>
  <si>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</si>
  <si>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</si>
  <si>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</si>
  <si>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</si>
  <si>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</si>
  <si>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</si>
  <si>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</si>
  <si>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</si>
  <si>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</si>
  <si>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</si>
  <si>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</si>
  <si>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</si>
  <si>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</si>
  <si>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</si>
  <si>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</si>
  <si>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</si>
  <si>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</si>
  <si>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</si>
  <si>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</si>
  <si>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</si>
  <si>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</si>
  <si>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</si>
  <si>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</si>
  <si>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</si>
  <si>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</si>
  <si>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</si>
  <si>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</si>
  <si>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</si>
  <si>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</si>
  <si>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</si>
  <si>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</si>
  <si>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</si>
  <si>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</si>
  <si>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</si>
  <si>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</si>
  <si>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</si>
  <si>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</si>
  <si>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</si>
  <si>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</si>
  <si>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</si>
  <si>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</si>
  <si>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</si>
  <si>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</si>
  <si>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</si>
  <si>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</si>
  <si>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</si>
  <si>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</si>
  <si>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</si>
  <si>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</si>
  <si>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</si>
  <si>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</si>
  <si>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</si>
  <si>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</si>
  <si>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</si>
  <si>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</si>
  <si>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</si>
  <si>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</si>
  <si>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</si>
  <si>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</si>
  <si>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</si>
  <si>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</si>
  <si>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</si>
  <si>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</si>
  <si>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</si>
  <si>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</si>
  <si>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</si>
  <si>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</si>
  <si>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</si>
  <si>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</si>
  <si>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</si>
  <si>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</si>
  <si>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</si>
  <si>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</si>
  <si>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</si>
  <si>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</si>
  <si>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</si>
  <si>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</si>
  <si>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</si>
  <si>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</si>
  <si>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</si>
  <si>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</si>
  <si>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</si>
  <si>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</si>
  <si>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</si>
  <si>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</si>
  <si>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</si>
  <si>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</si>
  <si>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</si>
  <si>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</si>
  <si>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</si>
  <si>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</si>
  <si>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</si>
  <si>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</si>
  <si>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</si>
  <si>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</si>
  <si>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</si>
  <si>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</si>
  <si>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</si>
  <si>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</si>
  <si>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</si>
  <si>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</si>
  <si>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</si>
  <si>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</si>
  <si>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</si>
  <si>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</si>
  <si>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</si>
  <si>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</si>
  <si>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</si>
  <si>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</si>
  <si>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</si>
  <si>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</si>
  <si>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</si>
  <si>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</si>
  <si>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</si>
  <si>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</si>
  <si>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</si>
  <si>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</si>
  <si>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</si>
  <si>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</si>
  <si>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</si>
  <si>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</si>
  <si>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</si>
  <si>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</si>
  <si>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</si>
  <si>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</si>
  <si>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</si>
  <si>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</si>
  <si>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</si>
  <si>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</si>
  <si>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</si>
  <si>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</si>
  <si>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</si>
  <si>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</si>
  <si>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</si>
  <si>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</si>
  <si>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</si>
  <si>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</si>
  <si>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</si>
  <si>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</si>
  <si>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</si>
  <si>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</si>
  <si>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</si>
  <si>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</si>
  <si>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</si>
  <si>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</si>
  <si>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</si>
  <si>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</si>
  <si>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</si>
  <si>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</si>
  <si>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</si>
  <si>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</si>
  <si>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</si>
  <si>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</si>
  <si>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</si>
  <si>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</si>
  <si>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</si>
  <si>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</si>
  <si>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</si>
  <si>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</si>
  <si>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</si>
  <si>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</si>
  <si>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</si>
  <si>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</si>
  <si>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</si>
  <si>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</si>
  <si>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</si>
  <si>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</si>
  <si>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</si>
  <si>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</si>
  <si>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</si>
  <si>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</si>
  <si>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</si>
  <si>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</si>
  <si>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</si>
  <si>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</si>
  <si>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</si>
  <si>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</si>
  <si>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</si>
  <si>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</si>
  <si>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</si>
  <si>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</si>
  <si>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</si>
  <si>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</si>
  <si>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</si>
  <si>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</si>
  <si>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</si>
  <si>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</si>
  <si>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</si>
  <si>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</si>
  <si>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</si>
  <si>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</si>
  <si>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</si>
  <si>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</si>
  <si>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</si>
  <si>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</si>
  <si>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</si>
  <si>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</si>
  <si>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</si>
  <si>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</si>
  <si>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</si>
  <si>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</si>
  <si>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</si>
  <si>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</si>
  <si>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</si>
  <si>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</si>
  <si>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</si>
  <si>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</si>
  <si>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</si>
  <si>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</si>
  <si>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</si>
  <si>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</si>
  <si>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</si>
  <si>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</si>
  <si>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</si>
  <si>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</si>
  <si>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</si>
  <si>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</si>
  <si>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</si>
  <si>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</si>
  <si>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</si>
  <si>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</si>
  <si>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</si>
  <si>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</si>
  <si>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</si>
  <si>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</si>
  <si>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</si>
  <si>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</si>
  <si>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</si>
  <si>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</si>
  <si>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</si>
  <si>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</si>
  <si>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</si>
  <si>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</si>
  <si>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</si>
  <si>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</si>
  <si>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</si>
  <si>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</si>
  <si>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</si>
  <si>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</si>
  <si>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</si>
  <si>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</si>
  <si>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</si>
  <si>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</si>
  <si>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</si>
  <si>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</si>
  <si>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</si>
  <si>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</si>
  <si>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</si>
  <si>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</si>
  <si>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</si>
  <si>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</si>
  <si>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</si>
  <si>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</si>
  <si>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</si>
  <si>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</si>
  <si>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</si>
  <si>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</si>
  <si>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</si>
  <si>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</si>
  <si>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</si>
  <si>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</si>
  <si>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</si>
  <si>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</si>
  <si>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</si>
  <si>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</si>
  <si>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</si>
  <si>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</si>
  <si>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</si>
  <si>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</si>
  <si>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</si>
  <si>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</si>
  <si>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</si>
  <si>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</si>
  <si>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</si>
  <si>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</si>
  <si>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</si>
  <si>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</si>
  <si>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</si>
  <si>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</si>
  <si>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</si>
  <si>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</si>
  <si>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</si>
  <si>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</si>
  <si>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</si>
  <si>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</si>
  <si>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</si>
  <si>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</si>
  <si>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</si>
  <si>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</si>
  <si>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</si>
  <si>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</si>
  <si>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</si>
  <si>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</si>
  <si>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</si>
  <si>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</si>
  <si>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</si>
  <si>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</si>
  <si>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</si>
  <si>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</si>
  <si>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</si>
  <si>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</si>
  <si>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</si>
  <si>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</si>
  <si>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</si>
  <si>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</si>
  <si>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</si>
  <si>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</si>
  <si>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</si>
  <si>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</si>
  <si>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</si>
  <si>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</si>
  <si>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</si>
  <si>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</si>
  <si>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</si>
  <si>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</si>
  <si>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</si>
  <si>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</si>
  <si>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</si>
  <si>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</si>
  <si>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</si>
  <si>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</si>
  <si>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</si>
  <si>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</si>
  <si>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</si>
  <si>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</si>
  <si>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</si>
  <si>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</si>
  <si>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</si>
  <si>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</si>
  <si>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</si>
  <si>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</si>
  <si>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</si>
  <si>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</si>
  <si>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</si>
  <si>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</si>
  <si>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</si>
  <si>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</si>
  <si>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</si>
  <si>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</si>
  <si>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</si>
  <si>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</si>
  <si>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</si>
  <si>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</si>
  <si>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</si>
  <si>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</si>
  <si>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</si>
  <si>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</si>
  <si>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</si>
  <si>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</si>
  <si>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</si>
  <si>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</si>
  <si>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</si>
  <si>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</si>
  <si>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</si>
  <si>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</si>
  <si>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</si>
  <si>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</si>
  <si>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</si>
  <si>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</si>
  <si>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</si>
  <si>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</si>
  <si>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</si>
  <si>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</si>
  <si>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</si>
  <si>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</si>
  <si>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</si>
  <si>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</si>
  <si>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</si>
  <si>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</si>
  <si>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</si>
  <si>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</si>
  <si>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</si>
  <si>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</si>
  <si>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</si>
  <si>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</si>
  <si>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</si>
  <si>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</si>
  <si>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</si>
  <si>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</si>
  <si>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</si>
  <si>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</si>
  <si>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</si>
  <si>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</si>
  <si>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</si>
  <si>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</si>
  <si>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</si>
  <si>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</si>
  <si>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</si>
  <si>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</si>
  <si>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</si>
  <si>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</si>
  <si>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</si>
  <si>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</si>
  <si>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</si>
  <si>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</si>
  <si>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</si>
  <si>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</si>
  <si>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</si>
  <si>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</si>
  <si>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</si>
  <si>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</si>
  <si>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</si>
  <si>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</si>
  <si>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</si>
  <si>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</si>
  <si>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</si>
  <si>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</si>
  <si>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</si>
  <si>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</si>
  <si>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</si>
  <si>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</si>
  <si>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</si>
  <si>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</si>
  <si>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</si>
  <si>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</si>
  <si>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</si>
  <si>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</si>
  <si>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</si>
  <si>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</si>
  <si>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</si>
  <si>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</si>
  <si>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</si>
  <si>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</si>
  <si>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</si>
  <si>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</si>
  <si>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</si>
  <si>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</si>
  <si>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</si>
  <si>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</si>
  <si>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</si>
  <si>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</si>
  <si>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</si>
  <si>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</si>
  <si>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</si>
  <si>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</si>
  <si>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</si>
  <si>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</si>
  <si>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</si>
  <si>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</si>
  <si>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</si>
  <si>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</si>
  <si>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</si>
  <si>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</si>
  <si>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</si>
  <si>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</si>
  <si>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</si>
  <si>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</si>
  <si>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</si>
  <si>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</si>
  <si>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</si>
  <si>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</si>
  <si>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</si>
  <si>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</si>
  <si>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</si>
  <si>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</si>
  <si>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</si>
  <si>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</si>
  <si>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</si>
  <si>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</si>
  <si>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</si>
  <si>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</si>
  <si>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</si>
  <si>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</si>
  <si>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</si>
  <si>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</si>
  <si>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</si>
  <si>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</si>
  <si>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</si>
  <si>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</si>
  <si>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</si>
  <si>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</si>
  <si>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</si>
  <si>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</si>
  <si>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</si>
  <si>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</si>
  <si>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</si>
  <si>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</si>
  <si>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</si>
  <si>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</si>
  <si>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</si>
  <si>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</si>
  <si>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</si>
  <si>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</si>
  <si>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</si>
  <si>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</si>
  <si>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</si>
  <si>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</si>
  <si>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</si>
  <si>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</si>
  <si>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</si>
  <si>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</si>
  <si>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</si>
  <si>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</si>
  <si>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</si>
  <si>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</si>
  <si>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</si>
  <si>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</si>
  <si>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</si>
  <si>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</si>
  <si>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</si>
  <si>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</si>
  <si>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</si>
  <si>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</si>
  <si>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</si>
  <si>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</si>
  <si>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</si>
  <si>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</si>
  <si>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</si>
  <si>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</si>
  <si>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</si>
  <si>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</si>
  <si>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</si>
  <si>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</si>
  <si>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</si>
  <si>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</si>
  <si>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</si>
  <si>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</si>
  <si>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</si>
  <si>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</si>
  <si>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</si>
  <si>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</si>
  <si>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</si>
  <si>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</si>
  <si>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</si>
  <si>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</si>
  <si>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</si>
  <si>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</si>
  <si>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</si>
  <si>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</si>
  <si>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</si>
  <si>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</si>
  <si>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</si>
  <si>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</si>
  <si>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</si>
  <si>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</si>
  <si>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</si>
  <si>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</si>
  <si>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</si>
  <si>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</si>
  <si>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</si>
  <si>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</si>
  <si>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</si>
  <si>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</si>
  <si>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</si>
  <si>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</si>
  <si>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</si>
  <si>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</si>
  <si>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</si>
  <si>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</si>
  <si>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</si>
  <si>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</si>
  <si>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</si>
  <si>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</si>
  <si>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</si>
  <si>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</si>
  <si>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</si>
  <si>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</si>
  <si>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</si>
  <si>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</si>
  <si>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</si>
  <si>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</si>
  <si>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</si>
  <si>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</si>
  <si>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</si>
  <si>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</si>
  <si>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</si>
  <si>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</si>
  <si>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</si>
  <si>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</si>
  <si>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</si>
  <si>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</si>
  <si>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</si>
  <si>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</si>
  <si>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</si>
  <si>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</si>
  <si>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</si>
  <si>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</si>
  <si>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</si>
  <si>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</si>
  <si>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</si>
  <si>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</si>
  <si>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</si>
  <si>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</si>
  <si>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</si>
  <si>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</si>
  <si>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</si>
  <si>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</si>
  <si>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</si>
  <si>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</si>
  <si>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</si>
  <si>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</si>
  <si>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</si>
  <si>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</si>
  <si>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</si>
  <si>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</si>
  <si>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</si>
  <si>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</si>
  <si>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</si>
  <si>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</si>
  <si>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</si>
  <si>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</si>
  <si>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</si>
  <si>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</si>
  <si>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</si>
  <si>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</si>
  <si>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</si>
  <si>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</si>
  <si>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</si>
  <si>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</si>
  <si>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</si>
  <si>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</si>
  <si>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</si>
  <si>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</si>
  <si>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</si>
  <si>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</si>
  <si>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</si>
  <si>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</si>
  <si>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</si>
  <si>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</si>
  <si>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</si>
  <si>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</si>
  <si>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</si>
  <si>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</si>
  <si>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</si>
  <si>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</si>
  <si>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</si>
  <si>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</si>
  <si>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</si>
  <si>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</si>
  <si>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</si>
  <si>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</si>
  <si>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</si>
  <si>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</si>
  <si>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</si>
  <si>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</si>
  <si>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</si>
  <si>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</si>
  <si>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</si>
  <si>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</si>
  <si>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</si>
  <si>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</si>
  <si>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</si>
  <si>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</si>
  <si>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</si>
  <si>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</si>
  <si>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</si>
  <si>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</si>
  <si>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</si>
  <si>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</si>
  <si>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</si>
  <si>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</si>
  <si>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</si>
  <si>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</si>
  <si>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</si>
  <si>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</si>
  <si>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</si>
  <si>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</si>
  <si>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</si>
  <si>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</si>
  <si>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</si>
  <si>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</si>
  <si>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</si>
  <si>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</si>
  <si>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</si>
  <si>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</si>
  <si>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</si>
  <si>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</si>
  <si>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</si>
  <si>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</si>
  <si>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</si>
  <si>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</si>
  <si>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</si>
  <si>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</si>
  <si>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</si>
  <si>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</si>
  <si>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</si>
  <si>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</si>
  <si>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</si>
  <si>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</si>
  <si>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</si>
  <si>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</si>
  <si>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</si>
  <si>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</si>
  <si>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</si>
  <si>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</si>
  <si>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</si>
  <si>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</si>
  <si>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</si>
  <si>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</si>
  <si>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</si>
  <si>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</si>
  <si>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</si>
  <si>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</si>
  <si>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</si>
  <si>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</si>
  <si>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</si>
  <si>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</si>
  <si>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</si>
  <si>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</si>
  <si>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</si>
  <si>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</si>
  <si>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</si>
  <si>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</si>
  <si>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</si>
  <si>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</si>
  <si>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</si>
  <si>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</si>
  <si>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</si>
  <si>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</si>
  <si>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</si>
  <si>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</si>
  <si>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</si>
  <si>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</si>
  <si>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</si>
  <si>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</si>
  <si>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</si>
  <si>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</si>
  <si>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</si>
  <si>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</si>
  <si>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</si>
  <si>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</si>
  <si>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</si>
  <si>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</si>
  <si>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</si>
  <si>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</si>
  <si>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</si>
  <si>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</si>
  <si>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</si>
  <si>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</si>
  <si>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</si>
  <si>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</si>
  <si>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</si>
  <si>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</si>
  <si>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</si>
  <si>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</si>
  <si>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</si>
  <si>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</si>
  <si>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</si>
  <si>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</si>
  <si>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</si>
  <si>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</si>
  <si>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</si>
  <si>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</si>
  <si>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</si>
  <si>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</si>
  <si>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</si>
  <si>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</si>
  <si>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</si>
  <si>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</si>
  <si>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</si>
  <si>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</si>
  <si>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</si>
  <si>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</si>
  <si>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</si>
  <si>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</si>
  <si>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</si>
  <si>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</si>
  <si>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</si>
  <si>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</si>
  <si>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</si>
  <si>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</si>
  <si>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</si>
  <si>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</si>
  <si>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</si>
  <si>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</si>
  <si>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</si>
  <si>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</si>
  <si>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</si>
  <si>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</si>
  <si>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</si>
  <si>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</si>
  <si>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</si>
  <si>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</si>
  <si>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</si>
  <si>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</si>
  <si>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</si>
  <si>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</si>
  <si>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</si>
  <si>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</si>
  <si>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</si>
  <si>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</si>
  <si>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</si>
  <si>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</si>
  <si>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</si>
  <si>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</si>
  <si>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</si>
  <si>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</si>
  <si>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</si>
  <si>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</si>
  <si>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</si>
  <si>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</si>
  <si>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</si>
  <si>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</si>
  <si>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</si>
  <si>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</si>
  <si>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</si>
  <si>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</si>
  <si>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</si>
  <si>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</si>
  <si>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</si>
  <si>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</si>
  <si>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</si>
  <si>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</si>
  <si>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</si>
  <si>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</si>
  <si>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</si>
  <si>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</si>
  <si>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</si>
  <si>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</si>
  <si>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</si>
  <si>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</si>
  <si>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</si>
  <si>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</si>
  <si>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</si>
  <si>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</si>
  <si>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</si>
  <si>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</si>
  <si>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</si>
  <si>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</si>
  <si>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</si>
  <si>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</si>
  <si>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</si>
  <si>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</si>
  <si>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</si>
  <si>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</si>
  <si>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</si>
  <si>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</si>
  <si>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</si>
  <si>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</si>
  <si>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</si>
  <si>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</si>
  <si>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</si>
  <si>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</si>
  <si>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</si>
  <si>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</si>
  <si>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</si>
  <si>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</si>
  <si>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</si>
  <si>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</si>
  <si>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</si>
  <si>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</si>
  <si>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</si>
  <si>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</si>
  <si>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</si>
  <si>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</si>
  <si>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</si>
  <si>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</si>
  <si>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</si>
  <si>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</si>
  <si>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</si>
  <si>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</si>
  <si>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</si>
  <si>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</si>
  <si>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</si>
  <si>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</si>
  <si>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</si>
  <si>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</si>
  <si>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</si>
  <si>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</si>
  <si>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</si>
  <si>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</si>
  <si>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</si>
  <si>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</si>
  <si>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</si>
  <si>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</si>
  <si>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</si>
  <si>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</si>
  <si>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</si>
  <si>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</si>
  <si>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</si>
  <si>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</si>
  <si>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</si>
  <si>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</si>
  <si>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</si>
  <si>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</si>
  <si>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</si>
  <si>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</si>
  <si>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</si>
  <si>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</si>
  <si>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</si>
  <si>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</si>
  <si>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</si>
  <si>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</si>
  <si>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</si>
  <si>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</si>
  <si>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</si>
  <si>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</si>
  <si>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</si>
  <si>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</si>
  <si>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</si>
  <si>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</si>
  <si>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</si>
  <si>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</si>
  <si>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</si>
  <si>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</si>
  <si>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</si>
  <si>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</si>
  <si>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</si>
  <si>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</si>
  <si>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</si>
  <si>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</si>
  <si>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</si>
  <si>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</si>
  <si>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</si>
  <si>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</si>
  <si>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</si>
  <si>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</si>
  <si>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</si>
  <si>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</si>
  <si>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</si>
  <si>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</si>
  <si>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</si>
  <si>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</si>
  <si>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</si>
  <si>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</si>
  <si>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</si>
  <si>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</si>
  <si>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</si>
  <si>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</si>
  <si>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</si>
  <si>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</si>
  <si>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</si>
  <si>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</si>
  <si>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</si>
  <si>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</si>
  <si>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</si>
  <si>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</si>
  <si>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</si>
  <si>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</si>
  <si>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</si>
  <si>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</si>
  <si>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</si>
  <si>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</si>
  <si>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</si>
  <si>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</si>
  <si>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</si>
  <si>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</si>
  <si>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</si>
  <si>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</si>
  <si>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</si>
  <si>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</si>
  <si>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</si>
  <si>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</si>
  <si>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</si>
  <si>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</si>
  <si>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</si>
  <si>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</si>
  <si>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</si>
  <si>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</si>
  <si>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</si>
  <si>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</si>
  <si>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</si>
  <si>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</si>
  <si>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</si>
  <si>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</si>
  <si>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</si>
  <si>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</si>
  <si>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</si>
  <si>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</si>
  <si>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</si>
  <si>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</si>
  <si>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</si>
  <si>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</si>
  <si>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</si>
  <si>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</si>
  <si>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</si>
  <si>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</si>
  <si>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</si>
  <si>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</si>
  <si>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</si>
  <si>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</si>
  <si>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</si>
  <si>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</si>
  <si>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</si>
  <si>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</si>
  <si>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</si>
  <si>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</si>
  <si>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</si>
  <si>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</si>
  <si>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</si>
  <si>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</si>
  <si>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</si>
  <si>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</si>
  <si>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</si>
  <si>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</si>
  <si>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</si>
  <si>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</si>
  <si>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</si>
  <si>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</si>
  <si>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</si>
  <si>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</si>
  <si>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</si>
  <si>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</si>
  <si>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</si>
  <si>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</si>
  <si>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</si>
  <si>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</si>
  <si>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</si>
  <si>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</si>
  <si>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</si>
  <si>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</si>
  <si>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</si>
  <si>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</si>
  <si>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</si>
  <si>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</si>
  <si>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</si>
  <si>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</si>
  <si>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</si>
  <si>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</si>
  <si>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</si>
  <si>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</si>
  <si>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</si>
  <si>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</si>
  <si>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</si>
  <si>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</si>
  <si>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</si>
  <si>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</si>
  <si>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</si>
  <si>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</si>
  <si>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</si>
  <si>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</si>
  <si>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</si>
  <si>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</si>
  <si>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</si>
  <si>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</si>
  <si>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</si>
  <si>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</si>
  <si>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</si>
  <si>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</si>
  <si>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</si>
  <si>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</si>
  <si>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</si>
  <si>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</si>
  <si>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</si>
  <si>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</si>
  <si>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</si>
  <si>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</si>
  <si>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</si>
  <si>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</si>
  <si>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</si>
  <si>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</si>
  <si>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</si>
  <si>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</si>
  <si>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</si>
  <si>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</si>
  <si>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</si>
  <si>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</si>
  <si>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</si>
  <si>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</si>
  <si>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</si>
  <si>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</si>
  <si>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</si>
  <si>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</si>
  <si>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</si>
  <si>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</si>
  <si>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</si>
  <si>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</si>
  <si>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</si>
  <si>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</si>
  <si>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</si>
  <si>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</si>
  <si>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</si>
  <si>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</si>
  <si>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</si>
  <si>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</si>
  <si>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</si>
  <si>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</si>
  <si>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</si>
  <si>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</si>
  <si>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</si>
  <si>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</si>
  <si>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</si>
  <si>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</si>
  <si>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</si>
  <si>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</si>
  <si>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</si>
  <si>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</si>
  <si>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</si>
  <si>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</si>
  <si>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</si>
  <si>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</si>
  <si>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</si>
  <si>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</si>
  <si>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</si>
  <si>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</si>
  <si>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</si>
  <si>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</si>
  <si>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</si>
  <si>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</si>
  <si>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</si>
  <si>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</si>
  <si>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</si>
  <si>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</si>
  <si>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</si>
  <si>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</si>
  <si>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</si>
  <si>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</si>
  <si>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</si>
  <si>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</si>
  <si>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</si>
  <si>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</si>
  <si>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</si>
  <si>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</si>
  <si>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</si>
  <si>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</si>
  <si>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</si>
  <si>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</si>
  <si>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</si>
  <si>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</si>
  <si>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</si>
  <si>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</si>
  <si>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</si>
  <si>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</si>
  <si>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</si>
  <si>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</si>
  <si>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</si>
  <si>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</si>
  <si>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</si>
  <si>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</si>
  <si>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</si>
  <si>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</si>
  <si>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</si>
  <si>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</si>
  <si>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</si>
  <si>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</si>
  <si>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</si>
  <si>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</si>
  <si>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</si>
  <si>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</si>
  <si>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</si>
  <si>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</si>
  <si>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</si>
  <si>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</si>
  <si>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</si>
  <si>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</si>
  <si>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</si>
  <si>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</si>
  <si>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</si>
  <si>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</si>
  <si>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</si>
  <si>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</si>
  <si>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</si>
  <si>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</si>
  <si>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</si>
  <si>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</si>
  <si>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</si>
  <si>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</si>
  <si>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</si>
  <si>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</si>
  <si>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</si>
  <si>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</si>
  <si>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</si>
  <si>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</si>
  <si>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</si>
  <si>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</si>
  <si>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</si>
  <si>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</si>
  <si>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</si>
  <si>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</si>
  <si>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</si>
  <si>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</si>
  <si>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</si>
  <si>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</si>
  <si>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</si>
  <si>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</si>
  <si>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</si>
  <si>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</si>
  <si>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</si>
  <si>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</si>
  <si>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</si>
  <si>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</si>
  <si>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</si>
  <si>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</si>
  <si>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</si>
  <si>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</si>
  <si>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</si>
  <si>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</si>
  <si>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</si>
  <si>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</si>
  <si>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</si>
  <si>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</si>
  <si>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</si>
  <si>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</si>
  <si>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</si>
  <si>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</si>
  <si>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</si>
  <si>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</si>
  <si>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</si>
  <si>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</si>
  <si>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</si>
  <si>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</si>
  <si>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</si>
  <si>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</si>
  <si>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</si>
  <si>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</si>
  <si>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</si>
  <si>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</si>
  <si>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</si>
  <si>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</si>
  <si>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</si>
  <si>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</si>
  <si>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</si>
  <si>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</si>
  <si>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</si>
  <si>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</si>
  <si>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</si>
  <si>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</si>
  <si>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</si>
  <si>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</si>
  <si>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</si>
  <si>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</si>
  <si>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</si>
  <si>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</si>
  <si>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</si>
  <si>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</si>
  <si>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</si>
  <si>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</si>
  <si>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</si>
  <si>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</si>
  <si>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</si>
  <si>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</si>
  <si>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</si>
  <si>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</si>
  <si>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</si>
  <si>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</si>
  <si>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</si>
  <si>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</si>
  <si>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</si>
  <si>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</si>
  <si>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</si>
  <si>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</si>
  <si>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</si>
  <si>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</si>
  <si>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</si>
  <si>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</si>
  <si>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</si>
  <si>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</si>
  <si>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</si>
  <si>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</si>
  <si>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</si>
  <si>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</si>
  <si>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</si>
  <si>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</si>
  <si>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</si>
  <si>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</si>
  <si>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</si>
  <si>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</si>
  <si>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</si>
  <si>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</si>
  <si>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</si>
  <si>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</si>
  <si>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</si>
  <si>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</si>
  <si>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</si>
  <si>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</si>
  <si>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</si>
  <si>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</si>
  <si>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</si>
  <si>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</si>
  <si>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</si>
  <si>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</si>
  <si>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</si>
  <si>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</si>
  <si>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</si>
  <si>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</si>
  <si>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</si>
  <si>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</si>
  <si>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</si>
  <si>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</si>
  <si>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</si>
  <si>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</si>
  <si>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</si>
  <si>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</si>
  <si>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</si>
  <si>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</si>
  <si>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</si>
  <si>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</si>
  <si>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</si>
  <si>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</si>
  <si>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</si>
  <si>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</si>
  <si>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</si>
  <si>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</si>
  <si>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</si>
  <si>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</si>
  <si>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</si>
  <si>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</si>
  <si>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</si>
  <si>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</si>
  <si>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</si>
  <si>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</si>
  <si>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</si>
  <si>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</si>
  <si>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</si>
  <si>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</si>
  <si>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</si>
  <si>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</si>
  <si>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</si>
  <si>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</si>
  <si>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</si>
  <si>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</si>
  <si>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</si>
  <si>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</si>
  <si>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</si>
  <si>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</si>
  <si>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</si>
  <si>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</si>
  <si>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</si>
  <si>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</si>
  <si>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</si>
  <si>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</si>
  <si>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</si>
  <si>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</si>
  <si>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</si>
  <si>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</si>
  <si>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</si>
  <si>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</si>
  <si>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</si>
  <si>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</si>
  <si>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</si>
  <si>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</si>
  <si>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</si>
  <si>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</si>
  <si>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</si>
  <si>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</si>
  <si>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</si>
  <si>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</si>
  <si>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</si>
  <si>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</si>
  <si>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</si>
  <si>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</si>
  <si>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</si>
  <si>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</si>
  <si>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</si>
  <si>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</si>
  <si>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</si>
  <si>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</si>
  <si>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</si>
  <si>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</si>
  <si>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</si>
  <si>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</si>
  <si>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</si>
  <si>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</si>
  <si>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</si>
  <si>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</si>
  <si>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</si>
  <si>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</si>
  <si>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</si>
  <si>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</si>
  <si>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</si>
  <si>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</si>
  <si>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</si>
  <si>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</si>
  <si>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</si>
  <si>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</si>
  <si>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</si>
  <si>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</si>
  <si>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</si>
  <si>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</si>
  <si>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</si>
  <si>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</si>
  <si>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</si>
  <si>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</si>
  <si>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</si>
  <si>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</si>
  <si>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</si>
  <si>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</si>
  <si>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</si>
  <si>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</si>
  <si>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</si>
  <si>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</si>
  <si>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</si>
  <si>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</si>
  <si>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</si>
  <si>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</si>
  <si>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</si>
  <si>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</si>
  <si>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</si>
  <si>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</si>
  <si>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</si>
  <si>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</si>
  <si>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</si>
  <si>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</si>
  <si>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</si>
  <si>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</si>
  <si>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</si>
  <si>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</si>
  <si>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</si>
  <si>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</si>
  <si>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</si>
  <si>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</si>
  <si>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</si>
  <si>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</si>
  <si>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</si>
  <si>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</si>
  <si>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</si>
  <si>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</si>
  <si>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</si>
  <si>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</si>
  <si>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</si>
  <si>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</si>
  <si>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</si>
  <si>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</si>
  <si>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</si>
  <si>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</si>
  <si>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</si>
  <si>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</si>
  <si>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</si>
  <si>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</si>
  <si>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</si>
  <si>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</si>
  <si>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</si>
  <si>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</si>
  <si>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</si>
  <si>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</si>
  <si>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</si>
  <si>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</si>
  <si>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</si>
  <si>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</si>
  <si>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</si>
  <si>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</si>
  <si>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</si>
  <si>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</si>
  <si>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</si>
  <si>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</si>
  <si>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</si>
  <si>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</si>
  <si>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</si>
  <si>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</si>
  <si>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</si>
  <si>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</si>
  <si>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</si>
  <si>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</si>
  <si>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</si>
  <si>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</si>
  <si>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</si>
  <si>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</si>
  <si>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</si>
  <si>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</si>
  <si>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</si>
  <si>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</si>
  <si>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</si>
  <si>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</si>
  <si>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</si>
  <si>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</si>
  <si>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</si>
  <si>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</si>
  <si>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</si>
  <si>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</si>
  <si>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</si>
  <si>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</si>
  <si>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</si>
  <si>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</si>
  <si>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</si>
  <si>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</si>
  <si>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</si>
  <si>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</si>
  <si>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</si>
  <si>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</si>
  <si>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</si>
  <si>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</si>
  <si>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</si>
  <si>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</si>
  <si>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</si>
  <si>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</si>
  <si>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</si>
  <si>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</si>
  <si>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</si>
  <si>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</si>
  <si>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</si>
  <si>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</si>
  <si>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</si>
  <si>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</si>
  <si>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</si>
  <si>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</si>
  <si>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</si>
  <si>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</si>
  <si>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</si>
  <si>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</si>
  <si>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</si>
  <si>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</si>
  <si>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</si>
  <si>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</si>
  <si>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</si>
  <si>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</si>
  <si>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</si>
  <si>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</si>
  <si>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</si>
  <si>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</si>
  <si>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</si>
  <si>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</si>
  <si>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</si>
  <si>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</si>
  <si>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</si>
  <si>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</si>
  <si>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</si>
  <si>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</si>
  <si>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</si>
  <si>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</si>
  <si>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</si>
  <si>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</si>
  <si>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</si>
  <si>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</si>
  <si>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</si>
  <si>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</si>
  <si>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</si>
  <si>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</si>
  <si>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</si>
  <si>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</si>
  <si>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</si>
  <si>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</si>
  <si>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</si>
  <si>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</si>
  <si>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</si>
  <si>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</si>
  <si>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</si>
  <si>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</si>
  <si>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</si>
  <si>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</si>
  <si>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</si>
  <si>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</si>
  <si>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</si>
  <si>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</si>
  <si>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</si>
  <si>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</si>
  <si>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</si>
  <si>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</si>
  <si>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</si>
  <si>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</si>
  <si>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</si>
  <si>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</si>
  <si>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</si>
  <si>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</si>
  <si>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</si>
  <si>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</si>
  <si>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</si>
  <si>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</si>
  <si>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</si>
  <si>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</si>
  <si>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</si>
  <si>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</si>
  <si>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</si>
  <si>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</si>
  <si>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</si>
  <si>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</si>
  <si>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</si>
  <si>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</si>
  <si>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</si>
  <si>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</si>
  <si>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</si>
  <si>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</si>
  <si>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</si>
  <si>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</si>
  <si>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</si>
  <si>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</si>
  <si>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</si>
  <si>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</si>
  <si>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</si>
  <si>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</si>
  <si>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</si>
  <si>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</si>
  <si>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</si>
  <si>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</si>
  <si>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</si>
  <si>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</si>
  <si>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</si>
  <si>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</si>
  <si>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</si>
  <si>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</si>
  <si>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</si>
  <si>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</si>
  <si>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</si>
  <si>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</si>
  <si>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</si>
  <si>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</si>
  <si>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</si>
  <si>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</si>
  <si>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</si>
  <si>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</si>
  <si>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</si>
  <si>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</si>
  <si>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</si>
  <si>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</si>
  <si>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</si>
  <si>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</si>
  <si>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</si>
  <si>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</si>
  <si>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</si>
  <si>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</si>
  <si>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</si>
  <si>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</si>
  <si>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</si>
  <si>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</si>
  <si>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</si>
  <si>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</si>
  <si>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</si>
  <si>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</si>
  <si>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</si>
  <si>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</si>
  <si>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</si>
  <si>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</si>
  <si>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</si>
  <si>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</si>
  <si>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</si>
  <si>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</si>
  <si>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</si>
  <si>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</si>
  <si>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</si>
  <si>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</si>
  <si>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</si>
  <si>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</si>
  <si>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</si>
  <si>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</si>
  <si>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</si>
  <si>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</si>
  <si>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</si>
  <si>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</si>
  <si>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</si>
  <si>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</si>
  <si>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</si>
  <si>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</si>
  <si>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</si>
  <si>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</si>
  <si>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</si>
  <si>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</si>
  <si>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</si>
  <si>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</si>
  <si>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</si>
  <si>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</si>
  <si>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</si>
  <si>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</si>
  <si>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</si>
  <si>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</si>
  <si>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</si>
  <si>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</si>
  <si>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</si>
  <si>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</si>
  <si>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</si>
  <si>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</si>
  <si>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</si>
  <si>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</si>
  <si>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</si>
  <si>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</si>
  <si>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</si>
  <si>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</si>
  <si>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</si>
  <si>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</si>
  <si>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</si>
  <si>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</si>
  <si>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</si>
  <si>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</si>
  <si>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</si>
  <si>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</si>
  <si>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</si>
  <si>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</si>
  <si>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</si>
  <si>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</si>
  <si>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</si>
  <si>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</si>
  <si>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</si>
  <si>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</si>
  <si>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</si>
  <si>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</si>
  <si>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</si>
  <si>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</si>
  <si>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</si>
  <si>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</si>
  <si>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</si>
  <si>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</si>
  <si>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</si>
  <si>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</si>
  <si>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</si>
  <si>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</si>
  <si>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</si>
  <si>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</si>
  <si>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</si>
  <si>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</si>
  <si>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</si>
  <si>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</si>
  <si>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</si>
  <si>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</si>
  <si>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</si>
  <si>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</si>
  <si>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</si>
  <si>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</si>
  <si>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</si>
  <si>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</si>
  <si>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</si>
  <si>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</si>
  <si>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</si>
  <si>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</si>
  <si>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</si>
  <si>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</si>
  <si>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</si>
  <si>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</si>
  <si>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</si>
  <si>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</si>
  <si>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</si>
  <si>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</si>
  <si>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</si>
  <si>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</si>
  <si>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</si>
  <si>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</si>
  <si>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</si>
  <si>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</si>
  <si>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</si>
  <si>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</si>
  <si>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</si>
  <si>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</si>
  <si>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</si>
  <si>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</si>
  <si>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</si>
  <si>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</si>
  <si>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</si>
  <si>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</si>
  <si>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</si>
  <si>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</si>
  <si>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</si>
  <si>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</si>
  <si>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</si>
  <si>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</si>
  <si>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</si>
  <si>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</si>
  <si>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</si>
  <si>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</si>
  <si>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</si>
  <si>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</si>
  <si>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</si>
  <si>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</si>
  <si>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</si>
  <si>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</si>
  <si>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</si>
  <si>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</si>
  <si>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</si>
  <si>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</si>
  <si>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</si>
  <si>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</si>
  <si>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</si>
  <si>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</si>
  <si>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</si>
  <si>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</si>
  <si>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</si>
  <si>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</si>
  <si>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</si>
  <si>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</si>
  <si>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</si>
  <si>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</si>
  <si>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</si>
  <si>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</si>
  <si>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</si>
  <si>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</si>
  <si>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</si>
  <si>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</si>
  <si>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</si>
  <si>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</si>
  <si>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</si>
  <si>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</si>
  <si>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</si>
  <si>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</si>
  <si>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</si>
  <si>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</si>
  <si>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</si>
  <si>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</si>
  <si>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</si>
  <si>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</si>
  <si>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</si>
  <si>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</si>
  <si>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</si>
  <si>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</si>
  <si>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</si>
  <si>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</si>
  <si>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</si>
  <si>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</si>
  <si>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</si>
  <si>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</si>
  <si>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</si>
  <si>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</si>
  <si>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</si>
  <si>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</si>
  <si>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</si>
  <si>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</si>
  <si>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</si>
  <si>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</si>
  <si>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</si>
  <si>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</si>
  <si>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</si>
  <si>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</si>
  <si>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</si>
  <si>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</si>
  <si>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</si>
  <si>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</si>
  <si>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</si>
  <si>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</si>
  <si>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</si>
  <si>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</si>
  <si>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</si>
  <si>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</si>
  <si>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</si>
  <si>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</si>
  <si>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</si>
  <si>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</si>
  <si>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</si>
  <si>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</si>
  <si>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</si>
  <si>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</si>
  <si>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</si>
  <si>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</si>
  <si>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</si>
  <si>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</si>
  <si>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</si>
  <si>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</si>
  <si>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</si>
  <si>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</si>
  <si>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</si>
  <si>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</si>
  <si>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</si>
  <si>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</si>
  <si>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</si>
  <si>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</si>
  <si>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</si>
  <si>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</si>
  <si>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</si>
  <si>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</si>
  <si>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</si>
  <si>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</si>
  <si>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</si>
  <si>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</si>
  <si>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</si>
  <si>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</si>
  <si>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</si>
  <si>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</si>
  <si>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</si>
  <si>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</si>
  <si>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</si>
  <si>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</si>
  <si>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</si>
  <si>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</si>
  <si>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</si>
  <si>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</si>
  <si>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</si>
  <si>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</si>
  <si>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</si>
  <si>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</si>
  <si>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</si>
  <si>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</si>
  <si>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</si>
  <si>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</si>
  <si>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</si>
  <si>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</si>
  <si>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</si>
  <si>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</si>
  <si>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</si>
  <si>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</si>
  <si>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</si>
  <si>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</si>
  <si>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</si>
  <si>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</si>
  <si>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</si>
  <si>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</si>
  <si>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</si>
  <si>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</si>
  <si>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</si>
  <si>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</si>
  <si>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</si>
  <si>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</si>
  <si>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</si>
  <si>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</si>
  <si>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</si>
  <si>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</si>
  <si>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</si>
  <si>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</si>
  <si>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</si>
  <si>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</si>
  <si>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</si>
  <si>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</si>
  <si>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</si>
  <si>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</si>
  <si>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</si>
  <si>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</si>
  <si>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</si>
  <si>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</si>
  <si>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</si>
  <si>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</si>
  <si>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</si>
  <si>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</si>
  <si>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</si>
  <si>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</si>
  <si>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</si>
  <si>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</si>
  <si>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</si>
  <si>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</si>
  <si>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</si>
  <si>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</si>
  <si>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</si>
  <si>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</si>
  <si>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</si>
  <si>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</si>
  <si>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</si>
  <si>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</si>
  <si>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</si>
  <si>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</si>
  <si>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</si>
  <si>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</si>
  <si>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</si>
  <si>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</si>
  <si>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</si>
  <si>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</si>
  <si>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</si>
  <si>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</si>
  <si>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</si>
  <si>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</si>
  <si>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</si>
  <si>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</si>
  <si>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</si>
  <si>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</si>
  <si>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</si>
  <si>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</si>
  <si>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</si>
  <si>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</si>
  <si>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</si>
  <si>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</si>
  <si>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</si>
  <si>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</si>
  <si>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</si>
  <si>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</si>
  <si>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</si>
  <si>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</si>
  <si>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</si>
  <si>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</si>
  <si>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</si>
  <si>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</si>
  <si>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</si>
  <si>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</si>
  <si>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</si>
  <si>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</si>
  <si>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</si>
  <si>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</si>
  <si>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</si>
  <si>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</si>
  <si>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</si>
  <si>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</si>
  <si>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</si>
  <si>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</si>
  <si>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</si>
  <si>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</si>
  <si>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</si>
  <si>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</si>
  <si>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</si>
  <si>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</si>
  <si>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</si>
  <si>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</si>
  <si>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</si>
  <si>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</si>
  <si>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</si>
  <si>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</si>
  <si>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</si>
  <si>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</si>
  <si>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</si>
  <si>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</si>
  <si>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</si>
  <si>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</si>
  <si>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</si>
  <si>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</si>
  <si>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</si>
  <si>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</si>
  <si>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</si>
  <si>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</si>
  <si>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</si>
  <si>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</si>
  <si>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</si>
  <si>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</si>
  <si>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</si>
  <si>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</si>
  <si>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</si>
  <si>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</si>
  <si>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</si>
  <si>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</si>
  <si>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房地产市场价值</t>
  </si>
  <si>
    <t>北京市</t>
  </si>
  <si>
    <t>企业</t>
  </si>
  <si>
    <t>核定资产</t>
  </si>
  <si>
    <r>
      <rPr>
        <sz val="11"/>
        <color indexed="8"/>
        <rFont val="宋体"/>
        <family val="3"/>
        <charset val="134"/>
      </rPr>
      <t>基本内容</t>
    </r>
  </si>
  <si>
    <r>
      <rPr>
        <sz val="11"/>
        <color indexed="8"/>
        <rFont val="宋体"/>
        <family val="3"/>
        <charset val="134"/>
      </rPr>
      <t>备注</t>
    </r>
  </si>
  <si>
    <r>
      <rPr>
        <sz val="11"/>
        <color indexed="8"/>
        <rFont val="宋体"/>
        <family val="3"/>
        <charset val="134"/>
      </rPr>
      <t>评估基准日</t>
    </r>
  </si>
  <si>
    <r>
      <rPr>
        <sz val="11"/>
        <color indexed="8"/>
        <rFont val="宋体"/>
        <family val="3"/>
        <charset val="134"/>
      </rPr>
      <t>土地使用权到期日</t>
    </r>
  </si>
  <si>
    <r>
      <rPr>
        <sz val="11"/>
        <color indexed="8"/>
        <rFont val="宋体"/>
        <family val="3"/>
        <charset val="134"/>
      </rPr>
      <t>根据土地证登记的日期填写</t>
    </r>
  </si>
  <si>
    <r>
      <rPr>
        <sz val="11"/>
        <color indexed="8"/>
        <rFont val="宋体"/>
        <family val="3"/>
        <charset val="134"/>
      </rPr>
      <t>房地产收益年限</t>
    </r>
  </si>
  <si>
    <r>
      <rPr>
        <sz val="11"/>
        <color indexed="8"/>
        <rFont val="宋体"/>
        <family val="3"/>
        <charset val="134"/>
      </rPr>
      <t>房屋建成竣工日</t>
    </r>
  </si>
  <si>
    <r>
      <rPr>
        <sz val="11"/>
        <color indexed="8"/>
        <rFont val="宋体"/>
        <family val="3"/>
        <charset val="134"/>
      </rPr>
      <t>根据相关证件或企业申报等核实填写</t>
    </r>
  </si>
  <si>
    <r>
      <rPr>
        <sz val="11"/>
        <color indexed="8"/>
        <rFont val="宋体"/>
        <family val="3"/>
        <charset val="134"/>
      </rPr>
      <t>房屋结构</t>
    </r>
  </si>
  <si>
    <r>
      <rPr>
        <sz val="11"/>
        <color indexed="8"/>
        <rFont val="宋体"/>
        <family val="3"/>
        <charset val="134"/>
      </rPr>
      <t>钢混</t>
    </r>
  </si>
  <si>
    <r>
      <rPr>
        <sz val="11"/>
        <color indexed="8"/>
        <rFont val="宋体"/>
        <family val="3"/>
        <charset val="134"/>
      </rPr>
      <t>房屋经济寿命年限</t>
    </r>
  </si>
  <si>
    <r>
      <rPr>
        <sz val="11"/>
        <color indexed="8"/>
        <rFont val="宋体"/>
        <family val="3"/>
        <charset val="134"/>
      </rPr>
      <t>土地使用权到期后房屋剩余可使用年限</t>
    </r>
  </si>
  <si>
    <r>
      <rPr>
        <sz val="11"/>
        <color indexed="8"/>
        <rFont val="宋体"/>
        <family val="3"/>
        <charset val="134"/>
      </rPr>
      <t>建筑面积（㎡）</t>
    </r>
  </si>
  <si>
    <r>
      <rPr>
        <sz val="11"/>
        <color indexed="8"/>
        <rFont val="宋体"/>
        <family val="3"/>
        <charset val="134"/>
      </rPr>
      <t>按产权证登记或其他佐证确认</t>
    </r>
  </si>
  <si>
    <r>
      <rPr>
        <sz val="10"/>
        <rFont val="宋体"/>
        <family val="3"/>
        <charset val="134"/>
      </rPr>
      <t>可出租面积（㎡）</t>
    </r>
  </si>
  <si>
    <r>
      <rPr>
        <sz val="11"/>
        <color indexed="8"/>
        <rFont val="宋体"/>
        <family val="3"/>
        <charset val="134"/>
      </rPr>
      <t>按企业统计数据确认</t>
    </r>
  </si>
  <si>
    <r>
      <rPr>
        <sz val="11"/>
        <color indexed="8"/>
        <rFont val="宋体"/>
        <family val="3"/>
        <charset val="134"/>
      </rPr>
      <t>年最大租金收入（元）</t>
    </r>
  </si>
  <si>
    <r>
      <rPr>
        <sz val="10"/>
        <rFont val="宋体"/>
        <family val="3"/>
        <charset val="134"/>
      </rPr>
      <t>空置率</t>
    </r>
  </si>
  <si>
    <r>
      <rPr>
        <sz val="10"/>
        <rFont val="宋体"/>
        <family val="3"/>
        <charset val="134"/>
      </rPr>
      <t>根据企业实际情况和房产周边实际情况，空置率酌情取</t>
    </r>
    <r>
      <rPr>
        <sz val="10"/>
        <rFont val="Times New Roman"/>
        <family val="1"/>
      </rPr>
      <t>2-10%</t>
    </r>
  </si>
  <si>
    <r>
      <t>1</t>
    </r>
    <r>
      <rPr>
        <sz val="11"/>
        <color indexed="8"/>
        <rFont val="宋体"/>
        <family val="3"/>
        <charset val="134"/>
      </rPr>
      <t>、年总收益（元）</t>
    </r>
  </si>
  <si>
    <r>
      <rPr>
        <sz val="11"/>
        <color indexed="8"/>
        <rFont val="宋体"/>
        <family val="3"/>
        <charset val="134"/>
      </rPr>
      <t>本次估值统一不考虑押金利息收益</t>
    </r>
  </si>
  <si>
    <r>
      <t>2</t>
    </r>
    <r>
      <rPr>
        <sz val="11"/>
        <color indexed="8"/>
        <rFont val="宋体"/>
        <family val="3"/>
        <charset val="134"/>
      </rPr>
      <t>、年总运营费用（元）</t>
    </r>
  </si>
  <si>
    <r>
      <rPr>
        <sz val="11"/>
        <color indexed="8"/>
        <rFont val="宋体"/>
        <family val="3"/>
        <charset val="134"/>
      </rPr>
      <t>维修费</t>
    </r>
    <r>
      <rPr>
        <sz val="11"/>
        <color indexed="8"/>
        <rFont val="Times New Roman"/>
        <family val="1"/>
      </rPr>
      <t>+</t>
    </r>
    <r>
      <rPr>
        <sz val="11"/>
        <color indexed="8"/>
        <rFont val="宋体"/>
        <family val="3"/>
        <charset val="134"/>
      </rPr>
      <t>管理费</t>
    </r>
    <r>
      <rPr>
        <sz val="11"/>
        <color indexed="8"/>
        <rFont val="Times New Roman"/>
        <family val="1"/>
      </rPr>
      <t>+</t>
    </r>
    <r>
      <rPr>
        <sz val="11"/>
        <color indexed="8"/>
        <rFont val="宋体"/>
        <family val="3"/>
        <charset val="134"/>
      </rPr>
      <t>保险费</t>
    </r>
    <r>
      <rPr>
        <sz val="11"/>
        <color indexed="8"/>
        <rFont val="Times New Roman"/>
        <family val="1"/>
      </rPr>
      <t>+</t>
    </r>
    <r>
      <rPr>
        <sz val="11"/>
        <color indexed="8"/>
        <rFont val="宋体"/>
        <family val="3"/>
        <charset val="134"/>
      </rPr>
      <t>税费</t>
    </r>
  </si>
  <si>
    <r>
      <rPr>
        <sz val="10"/>
        <rFont val="宋体"/>
        <family val="3"/>
        <charset val="134"/>
      </rPr>
      <t>账面原值</t>
    </r>
    <r>
      <rPr>
        <sz val="10"/>
        <rFont val="Times New Roman"/>
        <family val="1"/>
      </rPr>
      <t>(</t>
    </r>
    <r>
      <rPr>
        <sz val="10"/>
        <rFont val="宋体"/>
        <family val="3"/>
        <charset val="134"/>
      </rPr>
      <t>元）</t>
    </r>
  </si>
  <si>
    <r>
      <rPr>
        <sz val="10"/>
        <rFont val="宋体"/>
        <family val="3"/>
        <charset val="134"/>
      </rPr>
      <t>账面净值</t>
    </r>
    <r>
      <rPr>
        <sz val="10"/>
        <rFont val="Times New Roman"/>
        <family val="1"/>
      </rPr>
      <t>(</t>
    </r>
    <r>
      <rPr>
        <sz val="10"/>
        <rFont val="宋体"/>
        <family val="3"/>
        <charset val="134"/>
      </rPr>
      <t>元）</t>
    </r>
  </si>
  <si>
    <r>
      <rPr>
        <sz val="10"/>
        <rFont val="宋体"/>
        <family val="3"/>
        <charset val="134"/>
      </rPr>
      <t>重置价（元）</t>
    </r>
  </si>
  <si>
    <r>
      <rPr>
        <sz val="11"/>
        <color indexed="8"/>
        <rFont val="宋体"/>
        <family val="3"/>
        <charset val="134"/>
      </rPr>
      <t>重置单价按照结构、装修等实际情况自行估算</t>
    </r>
  </si>
  <si>
    <r>
      <rPr>
        <sz val="10"/>
        <rFont val="Arial"/>
        <family val="2"/>
      </rPr>
      <t>年维修费（元）</t>
    </r>
  </si>
  <si>
    <r>
      <rPr>
        <sz val="10"/>
        <rFont val="宋体"/>
        <family val="3"/>
        <charset val="134"/>
      </rPr>
      <t>维修费取重置价的</t>
    </r>
    <r>
      <rPr>
        <sz val="10"/>
        <rFont val="Times New Roman"/>
        <family val="1"/>
      </rPr>
      <t>1%-2%</t>
    </r>
  </si>
  <si>
    <r>
      <rPr>
        <sz val="10"/>
        <rFont val="Arial"/>
        <family val="2"/>
      </rPr>
      <t>年管理费（元）</t>
    </r>
  </si>
  <si>
    <r>
      <rPr>
        <sz val="10"/>
        <rFont val="宋体"/>
        <family val="3"/>
        <charset val="134"/>
      </rPr>
      <t>管理费取租金收入的</t>
    </r>
    <r>
      <rPr>
        <sz val="10"/>
        <rFont val="Times New Roman"/>
        <family val="1"/>
      </rPr>
      <t>2-3%</t>
    </r>
  </si>
  <si>
    <r>
      <rPr>
        <sz val="10"/>
        <rFont val="Arial"/>
        <family val="2"/>
      </rPr>
      <t>年保险费（元）</t>
    </r>
  </si>
  <si>
    <r>
      <rPr>
        <sz val="10"/>
        <rFont val="宋体"/>
        <family val="3"/>
        <charset val="134"/>
      </rPr>
      <t>保险费取重置价的</t>
    </r>
    <r>
      <rPr>
        <sz val="10"/>
        <rFont val="Times New Roman"/>
        <family val="1"/>
      </rPr>
      <t>0.1%</t>
    </r>
  </si>
  <si>
    <r>
      <rPr>
        <sz val="11"/>
        <color indexed="8"/>
        <rFont val="宋体"/>
        <family val="3"/>
        <charset val="134"/>
      </rPr>
      <t>年税费小计（元）</t>
    </r>
  </si>
  <si>
    <r>
      <rPr>
        <sz val="10"/>
        <rFont val="宋体"/>
        <family val="3"/>
        <charset val="134"/>
      </rPr>
      <t>年房产税（元）</t>
    </r>
  </si>
  <si>
    <r>
      <rPr>
        <sz val="11"/>
        <color indexed="8"/>
        <rFont val="宋体"/>
        <family val="3"/>
        <charset val="134"/>
      </rPr>
      <t>年增值税（元）</t>
    </r>
  </si>
  <si>
    <r>
      <rPr>
        <sz val="11"/>
        <color indexed="8"/>
        <rFont val="宋体"/>
        <family val="3"/>
        <charset val="134"/>
      </rPr>
      <t>年城建税（元）</t>
    </r>
  </si>
  <si>
    <r>
      <rPr>
        <sz val="11"/>
        <color indexed="8"/>
        <rFont val="宋体"/>
        <family val="3"/>
        <charset val="134"/>
      </rPr>
      <t>年教育费附加（元）</t>
    </r>
  </si>
  <si>
    <r>
      <rPr>
        <sz val="11"/>
        <color indexed="8"/>
        <rFont val="宋体"/>
        <family val="3"/>
        <charset val="134"/>
      </rPr>
      <t>年地方教育附加（元）</t>
    </r>
  </si>
  <si>
    <r>
      <rPr>
        <sz val="11"/>
        <color indexed="8"/>
        <rFont val="宋体"/>
        <family val="3"/>
        <charset val="134"/>
      </rPr>
      <t>年其他税费</t>
    </r>
  </si>
  <si>
    <r>
      <rPr>
        <sz val="10"/>
        <rFont val="Times New Roman"/>
        <family val="1"/>
      </rPr>
      <t>3</t>
    </r>
    <r>
      <rPr>
        <sz val="10"/>
        <rFont val="宋体"/>
        <family val="3"/>
        <charset val="134"/>
      </rPr>
      <t>、年纯收益</t>
    </r>
  </si>
  <si>
    <r>
      <t>4</t>
    </r>
    <r>
      <rPr>
        <sz val="11"/>
        <color indexed="8"/>
        <rFont val="宋体"/>
        <family val="3"/>
        <charset val="134"/>
      </rPr>
      <t>、预计年纯收益增长率</t>
    </r>
  </si>
  <si>
    <r>
      <t>5</t>
    </r>
    <r>
      <rPr>
        <sz val="11"/>
        <color indexed="8"/>
        <rFont val="宋体"/>
        <family val="3"/>
        <charset val="134"/>
      </rPr>
      <t>、房地产报酬率</t>
    </r>
    <r>
      <rPr>
        <sz val="11"/>
        <color indexed="8"/>
        <rFont val="Times New Roman"/>
        <family val="1"/>
      </rPr>
      <t>n</t>
    </r>
  </si>
  <si>
    <r>
      <rPr>
        <sz val="11"/>
        <color indexed="8"/>
        <rFont val="宋体"/>
        <family val="3"/>
        <charset val="134"/>
      </rPr>
      <t>房地产收益年期（年）</t>
    </r>
  </si>
  <si>
    <r>
      <rPr>
        <sz val="10"/>
        <rFont val="Arial"/>
        <family val="2"/>
      </rPr>
      <t>贴现系数</t>
    </r>
  </si>
  <si>
    <r>
      <t>6</t>
    </r>
    <r>
      <rPr>
        <sz val="11"/>
        <color indexed="8"/>
        <rFont val="宋体"/>
        <family val="3"/>
        <charset val="134"/>
      </rPr>
      <t>、贴现价值（元）</t>
    </r>
  </si>
  <si>
    <r>
      <rPr>
        <sz val="11"/>
        <color indexed="8"/>
        <rFont val="宋体"/>
        <family val="3"/>
        <charset val="134"/>
      </rPr>
      <t>房屋残值</t>
    </r>
  </si>
  <si>
    <r>
      <rPr>
        <sz val="10"/>
        <rFont val="宋体"/>
        <family val="3"/>
        <charset val="134"/>
      </rPr>
      <t>房屋折现率</t>
    </r>
    <r>
      <rPr>
        <sz val="10"/>
        <rFont val="Times New Roman"/>
        <family val="1"/>
      </rPr>
      <t>n</t>
    </r>
    <r>
      <rPr>
        <vertAlign val="subscript"/>
        <sz val="10"/>
        <rFont val="宋体"/>
        <family val="3"/>
        <charset val="134"/>
      </rPr>
      <t>房</t>
    </r>
  </si>
  <si>
    <r>
      <t>7</t>
    </r>
    <r>
      <rPr>
        <sz val="11"/>
        <color indexed="8"/>
        <rFont val="宋体"/>
        <family val="3"/>
        <charset val="134"/>
      </rPr>
      <t>、房屋残值现值</t>
    </r>
  </si>
  <si>
    <r>
      <t>8</t>
    </r>
    <r>
      <rPr>
        <sz val="11"/>
        <color indexed="8"/>
        <rFont val="宋体"/>
        <family val="3"/>
        <charset val="134"/>
      </rPr>
      <t>、评估总值（元）</t>
    </r>
  </si>
  <si>
    <r>
      <rPr>
        <b/>
        <sz val="10"/>
        <rFont val="Times New Roman"/>
        <family val="1"/>
      </rPr>
      <t>9</t>
    </r>
    <r>
      <rPr>
        <b/>
        <sz val="10"/>
        <rFont val="宋体"/>
        <family val="3"/>
        <charset val="134"/>
      </rPr>
      <t>、评估单价（元</t>
    </r>
    <r>
      <rPr>
        <b/>
        <sz val="10"/>
        <rFont val="Times New Roman"/>
        <family val="1"/>
      </rPr>
      <t>/</t>
    </r>
    <r>
      <rPr>
        <b/>
        <sz val="10"/>
        <rFont val="宋体"/>
        <family val="3"/>
        <charset val="134"/>
      </rPr>
      <t>平方米）</t>
    </r>
  </si>
  <si>
    <r>
      <t xml:space="preserve">          </t>
    </r>
    <r>
      <rPr>
        <sz val="9"/>
        <color theme="1"/>
        <rFont val="华文细黑"/>
        <family val="3"/>
        <charset val="134"/>
      </rPr>
      <t>分层租金明细</t>
    </r>
  </si>
  <si>
    <t>楼层</t>
  </si>
  <si>
    <t>设定用途</t>
  </si>
  <si>
    <t>建筑面积</t>
  </si>
  <si>
    <t>平均租金单价</t>
  </si>
  <si>
    <t>咨询对象</t>
  </si>
  <si>
    <r>
      <t>北京市海淀区中关村东路</t>
    </r>
    <r>
      <rPr>
        <sz val="9"/>
        <color theme="1"/>
        <rFont val="Arial"/>
        <family val="2"/>
      </rPr>
      <t>1</t>
    </r>
    <r>
      <rPr>
        <sz val="9"/>
        <color theme="1"/>
        <rFont val="华文细黑"/>
        <family val="3"/>
        <charset val="134"/>
      </rPr>
      <t>号院</t>
    </r>
    <r>
      <rPr>
        <sz val="9"/>
        <color theme="1"/>
        <rFont val="Arial"/>
        <family val="2"/>
      </rPr>
      <t>8</t>
    </r>
    <r>
      <rPr>
        <sz val="9"/>
        <color theme="1"/>
        <rFont val="华文细黑"/>
        <family val="3"/>
        <charset val="134"/>
      </rPr>
      <t>号楼</t>
    </r>
    <r>
      <rPr>
        <sz val="9"/>
        <color theme="1"/>
        <rFont val="Arial"/>
        <family val="2"/>
      </rPr>
      <t>D</t>
    </r>
    <r>
      <rPr>
        <sz val="9"/>
        <color theme="1"/>
        <rFont val="华文细黑"/>
        <family val="3"/>
        <charset val="134"/>
      </rPr>
      <t>座</t>
    </r>
  </si>
  <si>
    <t>B1</t>
  </si>
  <si>
    <t>G</t>
  </si>
  <si>
    <r>
      <t>3-15</t>
    </r>
    <r>
      <rPr>
        <sz val="9"/>
        <color theme="1"/>
        <rFont val="华文细黑"/>
        <family val="3"/>
        <charset val="134"/>
      </rPr>
      <t>（低区）</t>
    </r>
    <phoneticPr fontId="134" type="noConversion"/>
  </si>
  <si>
    <r>
      <t>16-25</t>
    </r>
    <r>
      <rPr>
        <sz val="9"/>
        <color theme="1"/>
        <rFont val="华文细黑"/>
        <family val="3"/>
        <charset val="134"/>
      </rPr>
      <t>（高区）</t>
    </r>
    <phoneticPr fontId="134" type="noConversion"/>
  </si>
  <si>
    <t>合计</t>
  </si>
  <si>
    <t>-</t>
  </si>
  <si>
    <t>D</t>
    <phoneticPr fontId="134" type="noConversion"/>
  </si>
  <si>
    <t>D座1G</t>
    <phoneticPr fontId="3" type="noConversion"/>
  </si>
  <si>
    <t>登记楼层</t>
    <phoneticPr fontId="134" type="noConversion"/>
  </si>
  <si>
    <t>楼层</t>
    <phoneticPr fontId="134" type="noConversion"/>
  </si>
  <si>
    <t>建筑面积</t>
    <phoneticPr fontId="134" type="noConversion"/>
  </si>
  <si>
    <t>实际楼层</t>
    <phoneticPr fontId="3" type="noConversion"/>
  </si>
  <si>
    <t>名义楼层</t>
    <phoneticPr fontId="3" type="noConversion"/>
  </si>
  <si>
    <t>楼层</t>
    <phoneticPr fontId="3" type="noConversion"/>
  </si>
  <si>
    <t>房屋建筑面积</t>
    <phoneticPr fontId="3" type="noConversion"/>
  </si>
  <si>
    <t>楼层建筑面积</t>
    <phoneticPr fontId="3" type="noConversion"/>
  </si>
  <si>
    <t>电梯楼层</t>
    <phoneticPr fontId="134" type="noConversion"/>
  </si>
  <si>
    <t>层次</t>
    <phoneticPr fontId="3" type="noConversion"/>
  </si>
  <si>
    <t>租赁面积</t>
    <phoneticPr fontId="134" type="noConversion"/>
  </si>
  <si>
    <t>DG01</t>
    <phoneticPr fontId="3" type="noConversion"/>
  </si>
  <si>
    <t>D座1G层</t>
    <phoneticPr fontId="3" type="noConversion"/>
  </si>
  <si>
    <t>D座01</t>
    <phoneticPr fontId="3" type="noConversion"/>
  </si>
  <si>
    <t>G</t>
    <phoneticPr fontId="134" type="noConversion"/>
  </si>
  <si>
    <r>
      <t>B</t>
    </r>
    <r>
      <rPr>
        <sz val="11"/>
        <color theme="1"/>
        <rFont val="宋体"/>
        <family val="3"/>
        <charset val="134"/>
        <scheme val="minor"/>
      </rPr>
      <t>1</t>
    </r>
    <phoneticPr fontId="134" type="noConversion"/>
  </si>
  <si>
    <t>DG02</t>
    <phoneticPr fontId="3" type="noConversion"/>
  </si>
  <si>
    <t>D座01层</t>
    <phoneticPr fontId="3" type="noConversion"/>
  </si>
  <si>
    <t>1夹层</t>
    <phoneticPr fontId="3" type="noConversion"/>
  </si>
  <si>
    <t>DG03</t>
  </si>
  <si>
    <t>D座02层</t>
  </si>
  <si>
    <t>D座02</t>
    <phoneticPr fontId="3" type="noConversion"/>
  </si>
  <si>
    <t>DG05</t>
    <phoneticPr fontId="3" type="noConversion"/>
  </si>
  <si>
    <t>D座03层</t>
  </si>
  <si>
    <t>D座03</t>
    <phoneticPr fontId="3" type="noConversion"/>
  </si>
  <si>
    <t>D座05层</t>
  </si>
  <si>
    <t>D座05层</t>
    <phoneticPr fontId="3" type="noConversion"/>
  </si>
  <si>
    <t>D座05</t>
    <phoneticPr fontId="3" type="noConversion"/>
  </si>
  <si>
    <t>D101</t>
    <phoneticPr fontId="3" type="noConversion"/>
  </si>
  <si>
    <t>D座06层</t>
  </si>
  <si>
    <t>D座06层</t>
    <phoneticPr fontId="3" type="noConversion"/>
  </si>
  <si>
    <t>D座06</t>
    <phoneticPr fontId="3" type="noConversion"/>
  </si>
  <si>
    <t>D102</t>
  </si>
  <si>
    <t>D座07层</t>
  </si>
  <si>
    <t>D座07层</t>
    <phoneticPr fontId="3" type="noConversion"/>
  </si>
  <si>
    <t>D座07</t>
  </si>
  <si>
    <t>D座08层</t>
  </si>
  <si>
    <t>D座08层</t>
    <phoneticPr fontId="3" type="noConversion"/>
  </si>
  <si>
    <t>D座08</t>
  </si>
  <si>
    <t>D201</t>
    <phoneticPr fontId="3" type="noConversion"/>
  </si>
  <si>
    <t>D座09层</t>
  </si>
  <si>
    <t>D座09层</t>
    <phoneticPr fontId="3" type="noConversion"/>
  </si>
  <si>
    <t>D座09</t>
  </si>
  <si>
    <t>D座10层</t>
  </si>
  <si>
    <t>D座10层</t>
    <phoneticPr fontId="3" type="noConversion"/>
  </si>
  <si>
    <t>D座10</t>
  </si>
  <si>
    <t>D301</t>
    <phoneticPr fontId="3" type="noConversion"/>
  </si>
  <si>
    <t>D座11层</t>
  </si>
  <si>
    <t>D座11层</t>
    <phoneticPr fontId="3" type="noConversion"/>
  </si>
  <si>
    <t>D座11</t>
  </si>
  <si>
    <t>D座12层</t>
  </si>
  <si>
    <t>D座12层</t>
    <phoneticPr fontId="3" type="noConversion"/>
  </si>
  <si>
    <t>D座12</t>
  </si>
  <si>
    <t>D501</t>
    <phoneticPr fontId="3" type="noConversion"/>
  </si>
  <si>
    <t>D座15层</t>
  </si>
  <si>
    <t>D座15层</t>
    <phoneticPr fontId="3" type="noConversion"/>
  </si>
  <si>
    <t>D座15</t>
    <phoneticPr fontId="3" type="noConversion"/>
  </si>
  <si>
    <t>D座16层</t>
  </si>
  <si>
    <t>D座16层</t>
    <phoneticPr fontId="3" type="noConversion"/>
  </si>
  <si>
    <t>D座16</t>
    <phoneticPr fontId="3" type="noConversion"/>
  </si>
  <si>
    <t>D601</t>
    <phoneticPr fontId="3" type="noConversion"/>
  </si>
  <si>
    <t>D座17层</t>
  </si>
  <si>
    <t>D座17层</t>
    <phoneticPr fontId="3" type="noConversion"/>
  </si>
  <si>
    <t>D座17</t>
  </si>
  <si>
    <t>D座07</t>
    <phoneticPr fontId="3" type="noConversion"/>
  </si>
  <si>
    <t>D座18层</t>
  </si>
  <si>
    <t>D座18</t>
  </si>
  <si>
    <t>D701</t>
    <phoneticPr fontId="3" type="noConversion"/>
  </si>
  <si>
    <t>D座19层</t>
  </si>
  <si>
    <t>D座19</t>
  </si>
  <si>
    <t>D座08</t>
    <phoneticPr fontId="3" type="noConversion"/>
  </si>
  <si>
    <t>D座20层</t>
  </si>
  <si>
    <t>D座20</t>
  </si>
  <si>
    <t>D801</t>
    <phoneticPr fontId="3" type="noConversion"/>
  </si>
  <si>
    <t>D座21层</t>
  </si>
  <si>
    <t>D座21</t>
  </si>
  <si>
    <t>D座09</t>
    <phoneticPr fontId="3" type="noConversion"/>
  </si>
  <si>
    <t>D座22层</t>
  </si>
  <si>
    <t>D座22</t>
  </si>
  <si>
    <t>D901</t>
    <phoneticPr fontId="3" type="noConversion"/>
  </si>
  <si>
    <t>D座23层</t>
  </si>
  <si>
    <t>D座23</t>
  </si>
  <si>
    <t>D座10</t>
    <phoneticPr fontId="3" type="noConversion"/>
  </si>
  <si>
    <t>D座25层</t>
  </si>
  <si>
    <t>D座25层</t>
    <phoneticPr fontId="3" type="noConversion"/>
  </si>
  <si>
    <t>D座25</t>
    <phoneticPr fontId="3" type="noConversion"/>
  </si>
  <si>
    <t>D1001</t>
    <phoneticPr fontId="3" type="noConversion"/>
  </si>
  <si>
    <t>D座26层</t>
  </si>
  <si>
    <t>D座26层</t>
    <phoneticPr fontId="3" type="noConversion"/>
  </si>
  <si>
    <t>D座26</t>
    <phoneticPr fontId="3" type="noConversion"/>
  </si>
  <si>
    <t>D座11</t>
    <phoneticPr fontId="3" type="noConversion"/>
  </si>
  <si>
    <t>D座27层</t>
  </si>
  <si>
    <t>D座27</t>
  </si>
  <si>
    <t>D1101</t>
    <phoneticPr fontId="3" type="noConversion"/>
  </si>
  <si>
    <t>D座28层</t>
  </si>
  <si>
    <t>其他01层</t>
    <phoneticPr fontId="3" type="noConversion"/>
  </si>
  <si>
    <t>D座28</t>
  </si>
  <si>
    <t>D座12</t>
    <phoneticPr fontId="3" type="noConversion"/>
  </si>
  <si>
    <t>D座机房1层</t>
    <phoneticPr fontId="3" type="noConversion"/>
  </si>
  <si>
    <t>汇总</t>
    <phoneticPr fontId="3" type="noConversion"/>
  </si>
  <si>
    <t>D1201</t>
    <phoneticPr fontId="3" type="noConversion"/>
  </si>
  <si>
    <t>D座机房2层</t>
  </si>
  <si>
    <t>地下3层D座停车库</t>
    <phoneticPr fontId="3" type="noConversion"/>
  </si>
  <si>
    <t>地上机房</t>
    <phoneticPr fontId="3" type="noConversion"/>
  </si>
  <si>
    <t>地下</t>
    <phoneticPr fontId="134" type="noConversion"/>
  </si>
  <si>
    <t>其它1G</t>
    <phoneticPr fontId="3" type="noConversion"/>
  </si>
  <si>
    <t>地下3层库房</t>
    <phoneticPr fontId="3" type="noConversion"/>
  </si>
  <si>
    <t>地上部分总计</t>
    <phoneticPr fontId="3" type="noConversion"/>
  </si>
  <si>
    <t>其它1G是指:大台阶下的设备用房,C、D一层（实际层）南北侧走廊等部位</t>
    <phoneticPr fontId="3" type="noConversion"/>
  </si>
  <si>
    <t>D1501</t>
    <phoneticPr fontId="3" type="noConversion"/>
  </si>
  <si>
    <t>其它01层</t>
    <phoneticPr fontId="3" type="noConversion"/>
  </si>
  <si>
    <t>地下2层D座停车库</t>
    <phoneticPr fontId="3" type="noConversion"/>
  </si>
  <si>
    <t>地下部分总计</t>
    <phoneticPr fontId="3" type="noConversion"/>
  </si>
  <si>
    <t>其它01层是指：二层（实际层）的西门厅等部位。</t>
    <phoneticPr fontId="3" type="noConversion"/>
  </si>
  <si>
    <t>地下2层D座库房</t>
    <phoneticPr fontId="3" type="noConversion"/>
  </si>
  <si>
    <t>总建筑面积</t>
    <phoneticPr fontId="3" type="noConversion"/>
  </si>
  <si>
    <t>地下一层</t>
    <phoneticPr fontId="134" type="noConversion"/>
  </si>
  <si>
    <t>D1601</t>
    <phoneticPr fontId="3" type="noConversion"/>
  </si>
  <si>
    <t>地下2层DB201-203</t>
    <phoneticPr fontId="3" type="noConversion"/>
  </si>
  <si>
    <t>DB101</t>
    <phoneticPr fontId="3" type="noConversion"/>
  </si>
  <si>
    <t>D座17</t>
    <phoneticPr fontId="3" type="noConversion"/>
  </si>
  <si>
    <t>地下1层停车库</t>
    <phoneticPr fontId="3" type="noConversion"/>
  </si>
  <si>
    <t>DB102</t>
  </si>
  <si>
    <t>D1701</t>
    <phoneticPr fontId="3" type="noConversion"/>
  </si>
  <si>
    <t>地下1层DB101-116</t>
    <phoneticPr fontId="3" type="noConversion"/>
  </si>
  <si>
    <t>DB103</t>
  </si>
  <si>
    <t>D座18</t>
    <phoneticPr fontId="3" type="noConversion"/>
  </si>
  <si>
    <t>DB105</t>
  </si>
  <si>
    <t>D1801</t>
    <phoneticPr fontId="3" type="noConversion"/>
  </si>
  <si>
    <t>DB106</t>
  </si>
  <si>
    <t>D座19</t>
    <phoneticPr fontId="3" type="noConversion"/>
  </si>
  <si>
    <t>DB107</t>
  </si>
  <si>
    <t>D1901</t>
    <phoneticPr fontId="3" type="noConversion"/>
  </si>
  <si>
    <t>DB108</t>
  </si>
  <si>
    <t>D座20</t>
    <phoneticPr fontId="3" type="noConversion"/>
  </si>
  <si>
    <t>DB109</t>
  </si>
  <si>
    <t>D2001</t>
    <phoneticPr fontId="3" type="noConversion"/>
  </si>
  <si>
    <t>DB110</t>
  </si>
  <si>
    <t>D座21</t>
    <phoneticPr fontId="3" type="noConversion"/>
  </si>
  <si>
    <t>DB111</t>
  </si>
  <si>
    <t>D2101</t>
    <phoneticPr fontId="3" type="noConversion"/>
  </si>
  <si>
    <t>DB112</t>
  </si>
  <si>
    <t>D座22</t>
    <phoneticPr fontId="3" type="noConversion"/>
  </si>
  <si>
    <t>DB115</t>
  </si>
  <si>
    <t>D2201</t>
    <phoneticPr fontId="3" type="noConversion"/>
  </si>
  <si>
    <t>DB116</t>
  </si>
  <si>
    <t>D座23</t>
    <phoneticPr fontId="3" type="noConversion"/>
  </si>
  <si>
    <t>D2301</t>
    <phoneticPr fontId="3" type="noConversion"/>
  </si>
  <si>
    <t>D2501</t>
    <phoneticPr fontId="3" type="noConversion"/>
  </si>
  <si>
    <t>D2601</t>
    <phoneticPr fontId="3" type="noConversion"/>
  </si>
  <si>
    <t>D座27</t>
    <phoneticPr fontId="3" type="noConversion"/>
  </si>
  <si>
    <t>D2701</t>
    <phoneticPr fontId="3" type="noConversion"/>
  </si>
  <si>
    <t>D座28</t>
    <phoneticPr fontId="3" type="noConversion"/>
  </si>
  <si>
    <t>D2801</t>
    <phoneticPr fontId="3" type="noConversion"/>
  </si>
  <si>
    <t>D座机房1</t>
    <phoneticPr fontId="3" type="noConversion"/>
  </si>
  <si>
    <t>库房</t>
    <phoneticPr fontId="3" type="noConversion"/>
  </si>
  <si>
    <t>D座机房2</t>
    <phoneticPr fontId="3" type="noConversion"/>
  </si>
  <si>
    <t>地上</t>
    <phoneticPr fontId="134" type="noConversion"/>
  </si>
  <si>
    <t>部位</t>
  </si>
  <si>
    <t>实际楼层</t>
  </si>
  <si>
    <t>名义楼层</t>
  </si>
  <si>
    <t>登记用途</t>
  </si>
  <si>
    <t>楼层建筑面积（㎡）</t>
  </si>
  <si>
    <t>地下</t>
  </si>
  <si>
    <t>D座B1</t>
  </si>
  <si>
    <t>地上</t>
  </si>
  <si>
    <t>D座01</t>
  </si>
  <si>
    <t>D座1G</t>
  </si>
  <si>
    <t>D座02</t>
  </si>
  <si>
    <t>D座03</t>
  </si>
  <si>
    <t>小计</t>
  </si>
  <si>
    <t>北京市海淀区中关村东路1号院8号楼D座</t>
  </si>
  <si>
    <t>3-15（低区）</t>
  </si>
  <si>
    <t>16-25（高区）</t>
    <phoneticPr fontId="134" type="noConversion"/>
  </si>
  <si>
    <r>
      <rPr>
        <b/>
        <sz val="10"/>
        <color indexed="8"/>
        <rFont val="微软雅黑"/>
        <family val="2"/>
        <charset val="134"/>
      </rPr>
      <t>承租单元信息</t>
    </r>
  </si>
  <si>
    <r>
      <rPr>
        <b/>
        <sz val="10"/>
        <color indexed="8"/>
        <rFont val="微软雅黑"/>
        <family val="2"/>
        <charset val="134"/>
      </rPr>
      <t>租赁期限</t>
    </r>
  </si>
  <si>
    <r>
      <rPr>
        <b/>
        <sz val="10"/>
        <color indexed="8"/>
        <rFont val="微软雅黑"/>
        <family val="2"/>
        <charset val="134"/>
      </rPr>
      <t>房屋租金（元</t>
    </r>
    <r>
      <rPr>
        <b/>
        <sz val="10"/>
        <color indexed="8"/>
        <rFont val="Arial"/>
        <family val="2"/>
      </rPr>
      <t>.</t>
    </r>
    <r>
      <rPr>
        <b/>
        <sz val="10"/>
        <color indexed="8"/>
        <rFont val="微软雅黑"/>
        <family val="2"/>
        <charset val="134"/>
      </rPr>
      <t>租赁面积）</t>
    </r>
  </si>
  <si>
    <t>原测绘面积
（套内）</t>
  </si>
  <si>
    <t>商业基于测绘反算、写字楼基于租赁面积的空置建筑面积</t>
  </si>
  <si>
    <r>
      <rPr>
        <b/>
        <sz val="10"/>
        <color indexed="8"/>
        <rFont val="微软雅黑"/>
        <family val="2"/>
        <charset val="134"/>
      </rPr>
      <t>公司名称</t>
    </r>
  </si>
  <si>
    <r>
      <rPr>
        <b/>
        <sz val="10"/>
        <color indexed="8"/>
        <rFont val="微软雅黑"/>
        <family val="2"/>
        <charset val="134"/>
      </rPr>
      <t>用途</t>
    </r>
  </si>
  <si>
    <r>
      <rPr>
        <b/>
        <sz val="10"/>
        <color indexed="8"/>
        <rFont val="微软雅黑"/>
        <family val="2"/>
        <charset val="134"/>
      </rPr>
      <t>承租楼层</t>
    </r>
  </si>
  <si>
    <r>
      <rPr>
        <b/>
        <sz val="10"/>
        <color indexed="8"/>
        <rFont val="微软雅黑"/>
        <family val="2"/>
        <charset val="134"/>
      </rPr>
      <t>单元号</t>
    </r>
  </si>
  <si>
    <r>
      <rPr>
        <b/>
        <sz val="10"/>
        <color indexed="8"/>
        <rFont val="微软雅黑"/>
        <family val="2"/>
        <charset val="134"/>
      </rPr>
      <t>租赁面积</t>
    </r>
  </si>
  <si>
    <r>
      <rPr>
        <b/>
        <sz val="10"/>
        <color indexed="8"/>
        <rFont val="微软雅黑"/>
        <family val="2"/>
        <charset val="134"/>
      </rPr>
      <t>套内建筑面积</t>
    </r>
  </si>
  <si>
    <r>
      <rPr>
        <b/>
        <sz val="10"/>
        <color indexed="8"/>
        <rFont val="微软雅黑"/>
        <family val="2"/>
        <charset val="134"/>
      </rPr>
      <t>自</t>
    </r>
  </si>
  <si>
    <r>
      <rPr>
        <b/>
        <sz val="10"/>
        <color indexed="8"/>
        <rFont val="微软雅黑"/>
        <family val="2"/>
        <charset val="134"/>
      </rPr>
      <t>止</t>
    </r>
  </si>
  <si>
    <r>
      <rPr>
        <b/>
        <sz val="10"/>
        <color indexed="8"/>
        <rFont val="微软雅黑"/>
        <family val="2"/>
        <charset val="134"/>
      </rPr>
      <t>月数（个）含免租装修期</t>
    </r>
  </si>
  <si>
    <r>
      <rPr>
        <b/>
        <sz val="10"/>
        <color indexed="8"/>
        <rFont val="微软雅黑"/>
        <family val="2"/>
        <charset val="134"/>
      </rPr>
      <t>免租装修期起始</t>
    </r>
  </si>
  <si>
    <r>
      <rPr>
        <b/>
        <sz val="10"/>
        <color indexed="8"/>
        <rFont val="微软雅黑"/>
        <family val="2"/>
        <charset val="134"/>
      </rPr>
      <t>标准（天</t>
    </r>
    <r>
      <rPr>
        <b/>
        <sz val="10"/>
        <color indexed="8"/>
        <rFont val="Arial"/>
        <family val="2"/>
      </rPr>
      <t>/m</t>
    </r>
    <r>
      <rPr>
        <b/>
        <vertAlign val="superscript"/>
        <sz val="10"/>
        <color indexed="8"/>
        <rFont val="Arial"/>
        <family val="2"/>
      </rPr>
      <t>2</t>
    </r>
    <r>
      <rPr>
        <b/>
        <sz val="10"/>
        <color indexed="8"/>
        <rFont val="微软雅黑"/>
        <family val="2"/>
        <charset val="134"/>
      </rPr>
      <t>）</t>
    </r>
  </si>
  <si>
    <t>深圳虾皮信息科技有限公司</t>
  </si>
  <si>
    <r>
      <rPr>
        <b/>
        <sz val="10"/>
        <color indexed="8"/>
        <rFont val="微软雅黑"/>
        <family val="2"/>
        <charset val="134"/>
      </rPr>
      <t>整层</t>
    </r>
  </si>
  <si>
    <r>
      <rPr>
        <sz val="10"/>
        <color indexed="8"/>
        <rFont val="Arial"/>
        <family val="2"/>
      </rPr>
      <t>2021/7/1-2021/8/31</t>
    </r>
    <r>
      <rPr>
        <sz val="10"/>
        <color indexed="8"/>
        <rFont val="宋体"/>
        <family val="3"/>
        <charset val="134"/>
      </rPr>
      <t>；</t>
    </r>
    <r>
      <rPr>
        <sz val="10"/>
        <color indexed="8"/>
        <rFont val="Arial"/>
        <family val="2"/>
      </rPr>
      <t>2026/9/1-2026/9/30</t>
    </r>
  </si>
  <si>
    <r>
      <rPr>
        <sz val="10"/>
        <color indexed="8"/>
        <rFont val="Arial"/>
        <family val="2"/>
      </rPr>
      <t>2021/8/1-2021/9/30</t>
    </r>
    <r>
      <rPr>
        <sz val="10"/>
        <color indexed="8"/>
        <rFont val="宋体"/>
        <family val="3"/>
        <charset val="134"/>
      </rPr>
      <t>；</t>
    </r>
    <r>
      <rPr>
        <sz val="10"/>
        <color indexed="8"/>
        <rFont val="Arial"/>
        <family val="2"/>
      </rPr>
      <t>2022/10/1-2022/10/31</t>
    </r>
    <r>
      <rPr>
        <sz val="10"/>
        <color indexed="8"/>
        <rFont val="宋体"/>
        <family val="3"/>
        <charset val="134"/>
      </rPr>
      <t>；</t>
    </r>
    <r>
      <rPr>
        <sz val="10"/>
        <color indexed="8"/>
        <rFont val="Arial"/>
        <family val="2"/>
      </rPr>
      <t>2026/9/1-2026/9/30</t>
    </r>
  </si>
  <si>
    <t>机器人谷（北京）投资有限公司</t>
  </si>
  <si>
    <r>
      <rPr>
        <sz val="10"/>
        <color indexed="8"/>
        <rFont val="Arial"/>
        <family val="2"/>
      </rPr>
      <t>2021/4/9-2021/7/8</t>
    </r>
    <r>
      <rPr>
        <sz val="10"/>
        <color indexed="8"/>
        <rFont val="宋体"/>
        <family val="3"/>
        <charset val="134"/>
      </rPr>
      <t>；</t>
    </r>
    <r>
      <rPr>
        <sz val="10"/>
        <color indexed="8"/>
        <rFont val="Arial"/>
        <family val="2"/>
      </rPr>
      <t>2022/4/9-2022/7/8</t>
    </r>
  </si>
  <si>
    <t>国汽智控（北京）科技有限公司</t>
  </si>
  <si>
    <r>
      <rPr>
        <b/>
        <sz val="10"/>
        <color indexed="8"/>
        <rFont val="Arial"/>
        <family val="2"/>
      </rPr>
      <t>01</t>
    </r>
    <r>
      <rPr>
        <b/>
        <sz val="10"/>
        <color indexed="8"/>
        <rFont val="微软雅黑"/>
        <family val="2"/>
        <charset val="134"/>
      </rPr>
      <t>、</t>
    </r>
    <r>
      <rPr>
        <b/>
        <sz val="10"/>
        <color indexed="8"/>
        <rFont val="Arial"/>
        <family val="2"/>
      </rPr>
      <t>02</t>
    </r>
  </si>
  <si>
    <r>
      <rPr>
        <sz val="10"/>
        <color indexed="8"/>
        <rFont val="Arial"/>
        <family val="2"/>
      </rPr>
      <t>2020</t>
    </r>
    <r>
      <rPr>
        <sz val="10"/>
        <color indexed="8"/>
        <rFont val="宋体"/>
        <family val="3"/>
        <charset val="134"/>
      </rPr>
      <t>年</t>
    </r>
    <r>
      <rPr>
        <sz val="10"/>
        <color indexed="8"/>
        <rFont val="Arial"/>
        <family val="2"/>
      </rPr>
      <t>10</t>
    </r>
    <r>
      <rPr>
        <sz val="10"/>
        <color indexed="8"/>
        <rFont val="宋体"/>
        <family val="3"/>
        <charset val="134"/>
      </rPr>
      <t>月</t>
    </r>
    <r>
      <rPr>
        <sz val="10"/>
        <color indexed="8"/>
        <rFont val="Arial"/>
        <family val="2"/>
      </rPr>
      <t>9</t>
    </r>
    <r>
      <rPr>
        <sz val="10"/>
        <color indexed="8"/>
        <rFont val="宋体"/>
        <family val="3"/>
        <charset val="134"/>
      </rPr>
      <t>日</t>
    </r>
    <r>
      <rPr>
        <sz val="10"/>
        <color indexed="8"/>
        <rFont val="Arial"/>
        <family val="2"/>
      </rPr>
      <t>-2020</t>
    </r>
    <r>
      <rPr>
        <sz val="10"/>
        <color indexed="8"/>
        <rFont val="宋体"/>
        <family val="3"/>
        <charset val="134"/>
      </rPr>
      <t>年</t>
    </r>
    <r>
      <rPr>
        <sz val="10"/>
        <color indexed="8"/>
        <rFont val="Arial"/>
        <family val="2"/>
      </rPr>
      <t>12</t>
    </r>
    <r>
      <rPr>
        <sz val="10"/>
        <color indexed="8"/>
        <rFont val="宋体"/>
        <family val="3"/>
        <charset val="134"/>
      </rPr>
      <t>月</t>
    </r>
    <r>
      <rPr>
        <sz val="10"/>
        <color indexed="8"/>
        <rFont val="Arial"/>
        <family val="2"/>
      </rPr>
      <t>31</t>
    </r>
    <r>
      <rPr>
        <sz val="10"/>
        <color indexed="8"/>
        <rFont val="宋体"/>
        <family val="3"/>
        <charset val="134"/>
      </rPr>
      <t>日，</t>
    </r>
    <r>
      <rPr>
        <sz val="10"/>
        <color indexed="8"/>
        <rFont val="Arial"/>
        <family val="2"/>
      </rPr>
      <t>2021</t>
    </r>
    <r>
      <rPr>
        <sz val="10"/>
        <color indexed="8"/>
        <rFont val="宋体"/>
        <family val="3"/>
        <charset val="134"/>
      </rPr>
      <t>年</t>
    </r>
    <r>
      <rPr>
        <sz val="10"/>
        <color indexed="8"/>
        <rFont val="Arial"/>
        <family val="2"/>
      </rPr>
      <t>7</t>
    </r>
    <r>
      <rPr>
        <sz val="10"/>
        <color indexed="8"/>
        <rFont val="宋体"/>
        <family val="3"/>
        <charset val="134"/>
      </rPr>
      <t>月</t>
    </r>
    <r>
      <rPr>
        <sz val="10"/>
        <color indexed="8"/>
        <rFont val="Arial"/>
        <family val="2"/>
      </rPr>
      <t>1</t>
    </r>
    <r>
      <rPr>
        <sz val="10"/>
        <color indexed="8"/>
        <rFont val="宋体"/>
        <family val="3"/>
        <charset val="134"/>
      </rPr>
      <t>日</t>
    </r>
    <r>
      <rPr>
        <sz val="10"/>
        <color indexed="8"/>
        <rFont val="Arial"/>
        <family val="2"/>
      </rPr>
      <t>-2021</t>
    </r>
    <r>
      <rPr>
        <sz val="10"/>
        <color indexed="8"/>
        <rFont val="宋体"/>
        <family val="3"/>
        <charset val="134"/>
      </rPr>
      <t>年</t>
    </r>
    <r>
      <rPr>
        <sz val="10"/>
        <color indexed="8"/>
        <rFont val="Arial"/>
        <family val="2"/>
      </rPr>
      <t>10</t>
    </r>
    <r>
      <rPr>
        <sz val="10"/>
        <color indexed="8"/>
        <rFont val="宋体"/>
        <family val="3"/>
        <charset val="134"/>
      </rPr>
      <t>月</t>
    </r>
    <r>
      <rPr>
        <sz val="10"/>
        <color indexed="8"/>
        <rFont val="Arial"/>
        <family val="2"/>
      </rPr>
      <t>8</t>
    </r>
    <r>
      <rPr>
        <sz val="10"/>
        <color indexed="8"/>
        <rFont val="宋体"/>
        <family val="3"/>
        <charset val="134"/>
      </rPr>
      <t>日，优惠期租金合计为</t>
    </r>
    <r>
      <rPr>
        <sz val="10"/>
        <color indexed="8"/>
        <rFont val="Arial"/>
        <family val="2"/>
      </rPr>
      <t>2115248.97</t>
    </r>
    <r>
      <rPr>
        <sz val="10"/>
        <color indexed="8"/>
        <rFont val="宋体"/>
        <family val="3"/>
        <charset val="134"/>
      </rPr>
      <t>元</t>
    </r>
  </si>
  <si>
    <t>北京搜狗科技发展有限公司</t>
  </si>
  <si>
    <t>无免租</t>
  </si>
  <si>
    <t>易安信信息技术研发（北京）有限公司</t>
  </si>
  <si>
    <t>北京裹智动力科技有限公司</t>
  </si>
  <si>
    <r>
      <rPr>
        <b/>
        <sz val="10"/>
        <rFont val="微软雅黑"/>
        <family val="2"/>
        <charset val="134"/>
      </rPr>
      <t>整层</t>
    </r>
  </si>
  <si>
    <t>启迪环境科技发展股份有限公司</t>
  </si>
  <si>
    <t>中关村海华信息技术前沿研究院</t>
  </si>
  <si>
    <t>无时间</t>
  </si>
  <si>
    <t>宁波平方和投资管理合伙企业（有限合伙）
北京阿法兔科技有限公司</t>
  </si>
  <si>
    <t>D1201</t>
  </si>
  <si>
    <r>
      <rPr>
        <sz val="10"/>
        <rFont val="Arial"/>
        <family val="2"/>
      </rPr>
      <t>2021/11/1-2021/12/31</t>
    </r>
    <r>
      <rPr>
        <sz val="10"/>
        <rFont val="宋体"/>
        <family val="3"/>
        <charset val="134"/>
      </rPr>
      <t>；</t>
    </r>
    <r>
      <rPr>
        <sz val="10"/>
        <rFont val="Arial"/>
        <family val="2"/>
      </rPr>
      <t>2022/11/1-2022/12/31</t>
    </r>
    <r>
      <rPr>
        <sz val="10"/>
        <rFont val="宋体"/>
        <family val="3"/>
        <charset val="134"/>
      </rPr>
      <t>；</t>
    </r>
    <r>
      <rPr>
        <sz val="10"/>
        <rFont val="Arial"/>
        <family val="2"/>
      </rPr>
      <t>2023/11/1-2023/12/31</t>
    </r>
  </si>
  <si>
    <t>2022/1/1-2022/2/28
2023/3/1-2023/3/31
2026/8/16-2026/9/30</t>
  </si>
  <si>
    <t>戴尔（中国）有限公司</t>
  </si>
  <si>
    <t>2022/1/1-2022/2/28
2023/3/1-2023/3/31
2026/9/1-2026/9/30</t>
  </si>
  <si>
    <r>
      <rPr>
        <b/>
        <sz val="10"/>
        <rFont val="Arial"/>
        <family val="2"/>
      </rPr>
      <t>601</t>
    </r>
    <r>
      <rPr>
        <b/>
        <sz val="10"/>
        <rFont val="微软雅黑"/>
        <family val="2"/>
        <charset val="134"/>
      </rPr>
      <t>、</t>
    </r>
    <r>
      <rPr>
        <b/>
        <sz val="10"/>
        <rFont val="Arial"/>
        <family val="2"/>
      </rPr>
      <t>602</t>
    </r>
  </si>
  <si>
    <r>
      <rPr>
        <sz val="10"/>
        <color indexed="8"/>
        <rFont val="Arial"/>
        <family val="2"/>
      </rPr>
      <t>2021/8/1-2021/9/30</t>
    </r>
    <r>
      <rPr>
        <sz val="10"/>
        <color indexed="8"/>
        <rFont val="宋体"/>
        <family val="3"/>
        <charset val="134"/>
      </rPr>
      <t xml:space="preserve">
</t>
    </r>
    <r>
      <rPr>
        <sz val="10"/>
        <color indexed="8"/>
        <rFont val="Arial"/>
        <family val="2"/>
      </rPr>
      <t>2022/10/1-2022/10/31</t>
    </r>
    <r>
      <rPr>
        <sz val="10"/>
        <color indexed="8"/>
        <rFont val="宋体"/>
        <family val="3"/>
        <charset val="134"/>
      </rPr>
      <t xml:space="preserve">
</t>
    </r>
    <r>
      <rPr>
        <sz val="10"/>
        <color indexed="8"/>
        <rFont val="Arial"/>
        <family val="2"/>
      </rPr>
      <t>2026/9/1-2026/9/30</t>
    </r>
  </si>
  <si>
    <t>（空置）</t>
  </si>
  <si>
    <t>北京水木意菲文化发展有限公司</t>
  </si>
  <si>
    <r>
      <rPr>
        <sz val="10"/>
        <color indexed="8"/>
        <rFont val="微软雅黑"/>
        <family val="2"/>
        <charset val="134"/>
      </rPr>
      <t>西餐、咖啡</t>
    </r>
  </si>
  <si>
    <r>
      <rPr>
        <b/>
        <sz val="10"/>
        <color indexed="8"/>
        <rFont val="微软雅黑"/>
        <family val="2"/>
        <charset val="134"/>
      </rPr>
      <t>北清智库等</t>
    </r>
    <r>
      <rPr>
        <b/>
        <sz val="10"/>
        <color indexed="8"/>
        <rFont val="Arial"/>
        <family val="2"/>
      </rPr>
      <t>6</t>
    </r>
    <r>
      <rPr>
        <b/>
        <sz val="10"/>
        <color indexed="8"/>
        <rFont val="微软雅黑"/>
        <family val="2"/>
        <charset val="134"/>
      </rPr>
      <t>家</t>
    </r>
  </si>
  <si>
    <t>D101</t>
  </si>
  <si>
    <t>北清智库（北京）教育科技有限公司</t>
  </si>
  <si>
    <t>DG05</t>
  </si>
  <si>
    <r>
      <rPr>
        <sz val="10"/>
        <rFont val="Arial"/>
        <family val="2"/>
      </rPr>
      <t>2021</t>
    </r>
    <r>
      <rPr>
        <sz val="10"/>
        <rFont val="微软雅黑"/>
        <family val="2"/>
        <charset val="134"/>
      </rPr>
      <t>年</t>
    </r>
    <r>
      <rPr>
        <sz val="10"/>
        <rFont val="Arial"/>
        <family val="2"/>
      </rPr>
      <t>7</t>
    </r>
    <r>
      <rPr>
        <sz val="10"/>
        <rFont val="微软雅黑"/>
        <family val="2"/>
        <charset val="134"/>
      </rPr>
      <t>月</t>
    </r>
    <r>
      <rPr>
        <sz val="10"/>
        <rFont val="Arial"/>
        <family val="2"/>
      </rPr>
      <t>20</t>
    </r>
    <r>
      <rPr>
        <sz val="10"/>
        <rFont val="微软雅黑"/>
        <family val="2"/>
        <charset val="134"/>
      </rPr>
      <t>日至</t>
    </r>
    <r>
      <rPr>
        <sz val="10"/>
        <rFont val="Arial"/>
        <family val="2"/>
      </rPr>
      <t>2023</t>
    </r>
    <r>
      <rPr>
        <sz val="10"/>
        <rFont val="微软雅黑"/>
        <family val="2"/>
        <charset val="134"/>
      </rPr>
      <t>年</t>
    </r>
    <r>
      <rPr>
        <sz val="10"/>
        <rFont val="Arial"/>
        <family val="2"/>
      </rPr>
      <t>7</t>
    </r>
    <r>
      <rPr>
        <sz val="10"/>
        <rFont val="微软雅黑"/>
        <family val="2"/>
        <charset val="134"/>
      </rPr>
      <t>月</t>
    </r>
    <r>
      <rPr>
        <sz val="10"/>
        <rFont val="Arial"/>
        <family val="2"/>
      </rPr>
      <t>19</t>
    </r>
    <r>
      <rPr>
        <sz val="10"/>
        <rFont val="微软雅黑"/>
        <family val="2"/>
        <charset val="134"/>
      </rPr>
      <t>日，</t>
    </r>
    <r>
      <rPr>
        <sz val="10"/>
        <rFont val="Arial"/>
        <family val="2"/>
      </rPr>
      <t>10.5</t>
    </r>
    <r>
      <rPr>
        <sz val="10"/>
        <rFont val="微软雅黑"/>
        <family val="2"/>
        <charset val="134"/>
      </rPr>
      <t>元</t>
    </r>
    <r>
      <rPr>
        <sz val="10"/>
        <rFont val="Arial"/>
        <family val="2"/>
      </rPr>
      <t>/</t>
    </r>
    <r>
      <rPr>
        <sz val="10"/>
        <rFont val="微软雅黑"/>
        <family val="2"/>
        <charset val="134"/>
      </rPr>
      <t>平方米</t>
    </r>
    <r>
      <rPr>
        <sz val="10"/>
        <rFont val="Arial"/>
        <family val="2"/>
      </rPr>
      <t>/</t>
    </r>
    <r>
      <rPr>
        <sz val="10"/>
        <rFont val="微软雅黑"/>
        <family val="2"/>
        <charset val="134"/>
      </rPr>
      <t xml:space="preserve">天；
</t>
    </r>
    <r>
      <rPr>
        <sz val="10"/>
        <rFont val="Arial"/>
        <family val="2"/>
      </rPr>
      <t>2023</t>
    </r>
    <r>
      <rPr>
        <sz val="10"/>
        <rFont val="微软雅黑"/>
        <family val="2"/>
        <charset val="134"/>
      </rPr>
      <t>年</t>
    </r>
    <r>
      <rPr>
        <sz val="10"/>
        <rFont val="Arial"/>
        <family val="2"/>
      </rPr>
      <t>7</t>
    </r>
    <r>
      <rPr>
        <sz val="10"/>
        <rFont val="微软雅黑"/>
        <family val="2"/>
        <charset val="134"/>
      </rPr>
      <t>月</t>
    </r>
    <r>
      <rPr>
        <sz val="10"/>
        <rFont val="Arial"/>
        <family val="2"/>
      </rPr>
      <t>20</t>
    </r>
    <r>
      <rPr>
        <sz val="10"/>
        <rFont val="微软雅黑"/>
        <family val="2"/>
        <charset val="134"/>
      </rPr>
      <t>日至</t>
    </r>
    <r>
      <rPr>
        <sz val="10"/>
        <rFont val="Arial"/>
        <family val="2"/>
      </rPr>
      <t>2024</t>
    </r>
    <r>
      <rPr>
        <sz val="10"/>
        <rFont val="微软雅黑"/>
        <family val="2"/>
        <charset val="134"/>
      </rPr>
      <t>年</t>
    </r>
    <r>
      <rPr>
        <sz val="10"/>
        <rFont val="Arial"/>
        <family val="2"/>
      </rPr>
      <t>7</t>
    </r>
    <r>
      <rPr>
        <sz val="10"/>
        <rFont val="微软雅黑"/>
        <family val="2"/>
        <charset val="134"/>
      </rPr>
      <t>月</t>
    </r>
    <r>
      <rPr>
        <sz val="10"/>
        <rFont val="Arial"/>
        <family val="2"/>
      </rPr>
      <t>19</t>
    </r>
    <r>
      <rPr>
        <sz val="10"/>
        <rFont val="微软雅黑"/>
        <family val="2"/>
        <charset val="134"/>
      </rPr>
      <t>日，</t>
    </r>
    <r>
      <rPr>
        <sz val="10"/>
        <rFont val="Arial"/>
        <family val="2"/>
      </rPr>
      <t>11</t>
    </r>
    <r>
      <rPr>
        <sz val="10"/>
        <rFont val="微软雅黑"/>
        <family val="2"/>
        <charset val="134"/>
      </rPr>
      <t>元</t>
    </r>
    <r>
      <rPr>
        <sz val="10"/>
        <rFont val="Arial"/>
        <family val="2"/>
      </rPr>
      <t>/</t>
    </r>
    <r>
      <rPr>
        <sz val="10"/>
        <rFont val="微软雅黑"/>
        <family val="2"/>
        <charset val="134"/>
      </rPr>
      <t>平方米</t>
    </r>
    <r>
      <rPr>
        <sz val="10"/>
        <rFont val="Arial"/>
        <family val="2"/>
      </rPr>
      <t>/</t>
    </r>
    <r>
      <rPr>
        <sz val="10"/>
        <rFont val="微软雅黑"/>
        <family val="2"/>
        <charset val="134"/>
      </rPr>
      <t>天</t>
    </r>
  </si>
  <si>
    <r>
      <rPr>
        <b/>
        <sz val="10"/>
        <color indexed="8"/>
        <rFont val="微软雅黑"/>
        <family val="2"/>
        <charset val="134"/>
      </rPr>
      <t>王涛</t>
    </r>
    <r>
      <rPr>
        <b/>
        <sz val="10"/>
        <color indexed="8"/>
        <rFont val="Arial"/>
        <family val="2"/>
      </rPr>
      <t>/</t>
    </r>
    <r>
      <rPr>
        <b/>
        <sz val="10"/>
        <color indexed="8"/>
        <rFont val="微软雅黑"/>
        <family val="2"/>
        <charset val="134"/>
      </rPr>
      <t>北京青萍韵餐饮有限公司</t>
    </r>
  </si>
  <si>
    <r>
      <rPr>
        <sz val="10"/>
        <color indexed="8"/>
        <rFont val="微软雅黑"/>
        <family val="2"/>
        <charset val="134"/>
      </rPr>
      <t>餐饮（禁止燃气、用电）</t>
    </r>
  </si>
  <si>
    <t>DG02</t>
  </si>
  <si>
    <r>
      <rPr>
        <b/>
        <sz val="10"/>
        <color indexed="8"/>
        <rFont val="微软雅黑"/>
        <family val="2"/>
        <charset val="134"/>
      </rPr>
      <t>北京聚瑞祥美国加州牛肉面餐饮连锁有限公司</t>
    </r>
    <r>
      <rPr>
        <b/>
        <sz val="10"/>
        <rFont val="微软雅黑"/>
        <family val="2"/>
        <charset val="134"/>
      </rPr>
      <t>（目前正在进行</t>
    </r>
    <r>
      <rPr>
        <b/>
        <sz val="10"/>
        <rFont val="Arial"/>
        <family val="2"/>
      </rPr>
      <t>3-7</t>
    </r>
    <r>
      <rPr>
        <b/>
        <sz val="10"/>
        <rFont val="微软雅黑"/>
        <family val="2"/>
        <charset val="134"/>
      </rPr>
      <t>月的续租）</t>
    </r>
  </si>
  <si>
    <t>餐饮（頭壹號餐厅）</t>
  </si>
  <si>
    <t>DG01</t>
  </si>
  <si>
    <t>大堂吧</t>
  </si>
  <si>
    <t>北京阿目科技有限公司</t>
  </si>
  <si>
    <r>
      <rPr>
        <sz val="10"/>
        <color indexed="8"/>
        <rFont val="微软雅黑"/>
        <family val="2"/>
        <charset val="134"/>
      </rPr>
      <t>眼镜销售</t>
    </r>
  </si>
  <si>
    <r>
      <rPr>
        <sz val="10"/>
        <color indexed="8"/>
        <rFont val="Arial"/>
        <family val="2"/>
      </rPr>
      <t>2021</t>
    </r>
    <r>
      <rPr>
        <sz val="10"/>
        <color indexed="8"/>
        <rFont val="微软雅黑"/>
        <family val="2"/>
        <charset val="134"/>
      </rPr>
      <t>年</t>
    </r>
    <r>
      <rPr>
        <sz val="10"/>
        <color indexed="8"/>
        <rFont val="Arial"/>
        <family val="2"/>
      </rPr>
      <t>11</t>
    </r>
    <r>
      <rPr>
        <sz val="10"/>
        <color indexed="8"/>
        <rFont val="微软雅黑"/>
        <family val="2"/>
        <charset val="134"/>
      </rPr>
      <t>年</t>
    </r>
    <r>
      <rPr>
        <sz val="10"/>
        <color indexed="8"/>
        <rFont val="Arial"/>
        <family val="2"/>
      </rPr>
      <t>19</t>
    </r>
    <r>
      <rPr>
        <sz val="10"/>
        <color indexed="8"/>
        <rFont val="微软雅黑"/>
        <family val="2"/>
        <charset val="134"/>
      </rPr>
      <t>日</t>
    </r>
  </si>
  <si>
    <t>北京新晟伊鲜网络技术有限公司</t>
  </si>
  <si>
    <r>
      <rPr>
        <sz val="10"/>
        <color indexed="8"/>
        <rFont val="微软雅黑"/>
        <family val="2"/>
        <charset val="134"/>
      </rPr>
      <t>商业</t>
    </r>
  </si>
  <si>
    <r>
      <rPr>
        <b/>
        <sz val="10"/>
        <color indexed="8"/>
        <rFont val="Arial"/>
        <family val="2"/>
      </rPr>
      <t>DB107</t>
    </r>
    <r>
      <rPr>
        <b/>
        <sz val="10"/>
        <color indexed="8"/>
        <rFont val="微软雅黑"/>
        <family val="2"/>
        <charset val="134"/>
      </rPr>
      <t>、</t>
    </r>
    <r>
      <rPr>
        <b/>
        <sz val="10"/>
        <color indexed="8"/>
        <rFont val="Arial"/>
        <family val="2"/>
      </rPr>
      <t>DB108</t>
    </r>
  </si>
  <si>
    <r>
      <rPr>
        <b/>
        <sz val="10"/>
        <color indexed="8"/>
        <rFont val="Arial"/>
        <family val="2"/>
      </rPr>
      <t>DB105</t>
    </r>
    <r>
      <rPr>
        <b/>
        <sz val="10"/>
        <color indexed="8"/>
        <rFont val="微软雅黑"/>
        <family val="2"/>
        <charset val="134"/>
      </rPr>
      <t>、</t>
    </r>
    <r>
      <rPr>
        <b/>
        <sz val="10"/>
        <color indexed="8"/>
        <rFont val="Arial"/>
        <family val="2"/>
      </rPr>
      <t>DB106</t>
    </r>
  </si>
  <si>
    <r>
      <rPr>
        <b/>
        <sz val="10"/>
        <color indexed="8"/>
        <rFont val="Arial"/>
        <family val="2"/>
      </rPr>
      <t>DB101</t>
    </r>
    <r>
      <rPr>
        <b/>
        <sz val="10"/>
        <color indexed="8"/>
        <rFont val="宋体"/>
        <family val="3"/>
        <charset val="134"/>
      </rPr>
      <t>（</t>
    </r>
    <r>
      <rPr>
        <b/>
        <sz val="10"/>
        <color indexed="8"/>
        <rFont val="Arial"/>
        <family val="2"/>
      </rPr>
      <t>1</t>
    </r>
    <r>
      <rPr>
        <b/>
        <sz val="10"/>
        <color indexed="8"/>
        <rFont val="宋体"/>
        <family val="3"/>
        <charset val="134"/>
      </rPr>
      <t>、</t>
    </r>
    <r>
      <rPr>
        <b/>
        <sz val="10"/>
        <color indexed="8"/>
        <rFont val="Arial"/>
        <family val="2"/>
      </rPr>
      <t>3</t>
    </r>
    <r>
      <rPr>
        <b/>
        <sz val="10"/>
        <color indexed="8"/>
        <rFont val="宋体"/>
        <family val="3"/>
        <charset val="134"/>
      </rPr>
      <t>）</t>
    </r>
  </si>
  <si>
    <t>是</t>
  </si>
  <si>
    <t>成新度</t>
  </si>
  <si>
    <t>押一</t>
  </si>
  <si>
    <t>钢混</t>
  </si>
  <si>
    <t>非生产用房</t>
  </si>
  <si>
    <t>D座汽车库</t>
    <phoneticPr fontId="3" type="noConversion"/>
  </si>
  <si>
    <t>D座库房</t>
    <phoneticPr fontId="3" type="noConversion"/>
  </si>
  <si>
    <t>DB301</t>
    <phoneticPr fontId="3" type="noConversion"/>
  </si>
  <si>
    <t>DB302</t>
    <phoneticPr fontId="3" type="noConversion"/>
  </si>
  <si>
    <t>DB201</t>
    <phoneticPr fontId="3" type="noConversion"/>
  </si>
  <si>
    <t>DB202</t>
  </si>
  <si>
    <t>DB203</t>
  </si>
  <si>
    <t>已出租</t>
    <phoneticPr fontId="134" type="noConversion"/>
  </si>
  <si>
    <t>未出租</t>
    <phoneticPr fontId="134" type="noConversion"/>
  </si>
  <si>
    <t>办公-已出租</t>
  </si>
  <si>
    <t>办公-已出租</t>
    <phoneticPr fontId="7" type="noConversion"/>
  </si>
  <si>
    <t>办公-未出租</t>
  </si>
  <si>
    <t>办公-未出租</t>
    <phoneticPr fontId="7" type="noConversion"/>
  </si>
  <si>
    <t>收益法-已出租</t>
  </si>
  <si>
    <t>收益法-已出租</t>
    <phoneticPr fontId="16" type="noConversion"/>
  </si>
  <si>
    <t>收益法-未出租</t>
  </si>
  <si>
    <t>收益法-未出租</t>
    <phoneticPr fontId="16" type="noConversion"/>
  </si>
  <si>
    <t>收益法-车库</t>
  </si>
  <si>
    <t>收益法-车库</t>
    <phoneticPr fontId="16" type="noConversion"/>
  </si>
  <si>
    <t>Ⅳ-01</t>
  </si>
  <si>
    <t>自定义容积率</t>
  </si>
  <si>
    <t>与级别开发程度一致</t>
  </si>
  <si>
    <t>较好</t>
  </si>
  <si>
    <t>好</t>
  </si>
  <si>
    <t>全部缴纳</t>
  </si>
  <si>
    <t>已包含在土地取得成本中</t>
  </si>
  <si>
    <t>未包含在土地购买价格中</t>
  </si>
  <si>
    <t>收益法（汇总）</t>
  </si>
  <si>
    <t>成本法</t>
  </si>
  <si>
    <r>
      <rPr>
        <b/>
        <sz val="16"/>
        <rFont val="宋体"/>
        <family val="3"/>
        <charset val="134"/>
      </rPr>
      <t>办公</t>
    </r>
    <phoneticPr fontId="3" type="noConversion"/>
  </si>
  <si>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</si>
  <si>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</si>
  <si>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建筑面积</t>
    </r>
    <phoneticPr fontId="3" type="noConversion"/>
  </si>
  <si>
    <t>启迪科技大厦</t>
    <phoneticPr fontId="3" type="noConversion"/>
  </si>
  <si>
    <t>正常</t>
  </si>
  <si>
    <r>
      <rPr>
        <sz val="11"/>
        <color indexed="8"/>
        <rFont val="宋体"/>
        <family val="3"/>
        <charset val="134"/>
      </rPr>
      <t>基础设施水平</t>
    </r>
    <phoneticPr fontId="3" type="noConversion"/>
  </si>
  <si>
    <t>七通</t>
  </si>
  <si>
    <t>城市主干道-成府路</t>
  </si>
  <si>
    <t>城市主干道-中关村东路</t>
  </si>
  <si>
    <r>
      <rPr>
        <sz val="11"/>
        <rFont val="宋体"/>
        <family val="3"/>
        <charset val="134"/>
      </rPr>
      <t>中楼层</t>
    </r>
    <r>
      <rPr>
        <sz val="11"/>
        <rFont val="Arial"/>
        <family val="2"/>
      </rPr>
      <t>/28</t>
    </r>
    <phoneticPr fontId="3" type="noConversion"/>
  </si>
  <si>
    <t>精装修</t>
  </si>
  <si>
    <t>甲级</t>
  </si>
  <si>
    <t>专业</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</si>
  <si>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</si>
  <si>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</si>
  <si>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</si>
  <si>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</si>
  <si>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</si>
  <si>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</si>
  <si>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</si>
  <si>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城市主干道</t>
    </r>
    <r>
      <rPr>
        <sz val="11"/>
        <color indexed="8"/>
        <rFont val="Arial"/>
        <family val="2"/>
      </rPr>
      <t>-</t>
    </r>
    <r>
      <rPr>
        <sz val="11"/>
        <color indexed="8"/>
        <rFont val="宋体"/>
        <family val="3"/>
        <charset val="134"/>
      </rPr>
      <t>中关村东路</t>
    </r>
    <phoneticPr fontId="3" type="noConversion"/>
  </si>
  <si>
    <r>
      <rPr>
        <sz val="11"/>
        <color indexed="8"/>
        <rFont val="宋体"/>
        <family val="3"/>
        <charset val="134"/>
      </rPr>
      <t>城市主干道</t>
    </r>
    <r>
      <rPr>
        <sz val="11"/>
        <color indexed="8"/>
        <rFont val="Arial"/>
        <family val="2"/>
      </rPr>
      <t>-</t>
    </r>
    <r>
      <rPr>
        <sz val="11"/>
        <color indexed="8"/>
        <rFont val="宋体"/>
        <family val="3"/>
        <charset val="134"/>
      </rPr>
      <t>成府路</t>
    </r>
    <phoneticPr fontId="3" type="noConversion"/>
  </si>
  <si>
    <t>钢混</t>
    <phoneticPr fontId="3" type="noConversion"/>
  </si>
  <si>
    <t>精装修</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</si>
  <si>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</si>
  <si>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</si>
  <si>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</si>
  <si>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</si>
  <si>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</si>
  <si>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市调</t>
    <phoneticPr fontId="134" type="noConversion"/>
  </si>
  <si>
    <t>启迪科技大厦</t>
    <phoneticPr fontId="134" type="noConversion"/>
  </si>
  <si>
    <t>A|B座不对外出租</t>
    <phoneticPr fontId="134" type="noConversion"/>
  </si>
  <si>
    <t>C主要为小业主</t>
    <phoneticPr fontId="134" type="noConversion"/>
  </si>
  <si>
    <t>D刚装修改造</t>
    <phoneticPr fontId="134" type="noConversion"/>
  </si>
  <si>
    <r>
      <t>7</t>
    </r>
    <r>
      <rPr>
        <sz val="11"/>
        <color theme="1"/>
        <rFont val="宋体"/>
        <family val="3"/>
        <charset val="134"/>
        <scheme val="minor"/>
      </rPr>
      <t>-8元净租金</t>
    </r>
    <phoneticPr fontId="134" type="noConversion"/>
  </si>
  <si>
    <r>
      <t>含物业费及发票1</t>
    </r>
    <r>
      <rPr>
        <sz val="11"/>
        <color theme="1"/>
        <rFont val="宋体"/>
        <family val="3"/>
        <charset val="134"/>
        <scheme val="minor"/>
      </rPr>
      <t>0元左右</t>
    </r>
    <phoneticPr fontId="134" type="noConversion"/>
  </si>
  <si>
    <t>同类</t>
    <phoneticPr fontId="134" type="noConversion"/>
  </si>
  <si>
    <t>威盛大厦</t>
    <phoneticPr fontId="134" type="noConversion"/>
  </si>
  <si>
    <t>11-12元净租金</t>
    <phoneticPr fontId="134" type="noConversion"/>
  </si>
  <si>
    <t>价格可谈</t>
    <phoneticPr fontId="134" type="noConversion"/>
  </si>
  <si>
    <t>主要价格差以品牌知名度为主</t>
    <phoneticPr fontId="134" type="noConversion"/>
  </si>
  <si>
    <t>搜狐大厦</t>
    <phoneticPr fontId="134" type="noConversion"/>
  </si>
  <si>
    <t>搜狐网络大厦</t>
    <phoneticPr fontId="134" type="noConversion"/>
  </si>
  <si>
    <t>五道口嘉园</t>
    <phoneticPr fontId="3" type="noConversion"/>
  </si>
  <si>
    <t>东源大厦</t>
    <phoneticPr fontId="3" type="noConversion"/>
  </si>
  <si>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</si>
  <si>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</si>
  <si>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phoneticPr fontId="3" type="noConversion"/>
  </si>
  <si>
    <t>一般</t>
    <phoneticPr fontId="3" type="noConversion"/>
  </si>
  <si>
    <t>较好</t>
    <phoneticPr fontId="3" type="noConversion"/>
  </si>
  <si>
    <r>
      <rPr>
        <sz val="11"/>
        <color indexed="8"/>
        <rFont val="宋体"/>
        <family val="3"/>
        <charset val="134"/>
      </rPr>
      <t>人流量</t>
    </r>
    <phoneticPr fontId="3" type="noConversion"/>
  </si>
  <si>
    <t>1层</t>
  </si>
  <si>
    <t>写字楼底商</t>
  </si>
  <si>
    <t>住宅底商</t>
  </si>
  <si>
    <t>五通</t>
  </si>
  <si>
    <t>标准层高</t>
  </si>
  <si>
    <t>双面临界</t>
    <phoneticPr fontId="3" type="noConversion"/>
  </si>
  <si>
    <t>单面临街</t>
    <phoneticPr fontId="3" type="noConversion"/>
  </si>
  <si>
    <t>不临街</t>
    <phoneticPr fontId="3" type="noConversion"/>
  </si>
  <si>
    <t>好</t>
    <phoneticPr fontId="3" type="noConversion"/>
  </si>
  <si>
    <t>较差</t>
    <phoneticPr fontId="3" type="noConversion"/>
  </si>
  <si>
    <t>差</t>
    <phoneticPr fontId="3" type="noConversion"/>
  </si>
  <si>
    <r>
      <t>1</t>
    </r>
    <r>
      <rPr>
        <sz val="11"/>
        <color indexed="8"/>
        <rFont val="宋体"/>
        <family val="3"/>
        <charset val="134"/>
      </rPr>
      <t>层</t>
    </r>
    <phoneticPr fontId="3" type="noConversion"/>
  </si>
  <si>
    <t>综合体</t>
    <phoneticPr fontId="134" type="noConversion"/>
  </si>
  <si>
    <t>商业街商铺</t>
    <phoneticPr fontId="134" type="noConversion"/>
  </si>
  <si>
    <t>写字楼底商</t>
    <phoneticPr fontId="134" type="noConversion"/>
  </si>
  <si>
    <t>住宅底商</t>
    <phoneticPr fontId="134" type="noConversion"/>
  </si>
  <si>
    <t>非餐饮</t>
    <phoneticPr fontId="3" type="noConversion"/>
  </si>
  <si>
    <t>标准层高</t>
    <phoneticPr fontId="3" type="noConversion"/>
  </si>
  <si>
    <t>正常</t>
    <phoneticPr fontId="3" type="noConversion"/>
  </si>
  <si>
    <t>启迪科技</t>
    <phoneticPr fontId="134" type="noConversion"/>
  </si>
  <si>
    <t>中/20</t>
    <phoneticPr fontId="134" type="noConversion"/>
  </si>
  <si>
    <t>中/12</t>
    <phoneticPr fontId="134" type="noConversion"/>
  </si>
  <si>
    <t>中/25</t>
    <phoneticPr fontId="134" type="noConversion"/>
  </si>
  <si>
    <t>已出租部分市场租金</t>
    <phoneticPr fontId="134" type="noConversion"/>
  </si>
  <si>
    <t>到期后市场租金</t>
    <phoneticPr fontId="134" type="noConversion"/>
  </si>
  <si>
    <t>剩余租约期</t>
    <phoneticPr fontId="134" type="noConversion"/>
  </si>
  <si>
    <t>清华科技园创业大厦</t>
    <phoneticPr fontId="134" type="noConversion"/>
  </si>
  <si>
    <r>
      <rPr>
        <sz val="11"/>
        <color indexed="8"/>
        <rFont val="宋体"/>
        <family val="3"/>
        <charset val="134"/>
      </rPr>
      <t>中楼层</t>
    </r>
    <r>
      <rPr>
        <sz val="11"/>
        <color indexed="8"/>
        <rFont val="Arial"/>
        <family val="2"/>
      </rPr>
      <t>/28</t>
    </r>
    <phoneticPr fontId="3" type="noConversion"/>
  </si>
  <si>
    <r>
      <rPr>
        <sz val="11"/>
        <color indexed="8"/>
        <rFont val="宋体"/>
        <family val="3"/>
        <charset val="134"/>
      </rPr>
      <t>高楼层</t>
    </r>
    <r>
      <rPr>
        <sz val="11"/>
        <color indexed="8"/>
        <rFont val="Arial"/>
        <family val="2"/>
      </rPr>
      <t>/20</t>
    </r>
    <phoneticPr fontId="3" type="noConversion"/>
  </si>
  <si>
    <r>
      <rPr>
        <sz val="11"/>
        <color indexed="8"/>
        <rFont val="宋体"/>
        <family val="3"/>
        <charset val="134"/>
      </rPr>
      <t>低楼层</t>
    </r>
    <r>
      <rPr>
        <sz val="11"/>
        <color indexed="8"/>
        <rFont val="Arial"/>
        <family val="2"/>
      </rPr>
      <t>/28</t>
    </r>
    <phoneticPr fontId="3" type="noConversion"/>
  </si>
  <si>
    <t>建成年份</t>
    <phoneticPr fontId="134" type="noConversion"/>
  </si>
  <si>
    <t>售价</t>
  </si>
  <si>
    <t>项目模式</t>
  </si>
  <si>
    <t xml:space="preserve">售价比较法-办公 </t>
    <phoneticPr fontId="16" type="noConversion"/>
  </si>
  <si>
    <t>中楼层</t>
    <phoneticPr fontId="134" type="noConversion"/>
  </si>
  <si>
    <t>中楼层</t>
    <phoneticPr fontId="3" type="noConversion"/>
  </si>
  <si>
    <t>高楼层</t>
    <phoneticPr fontId="134" type="noConversion"/>
  </si>
  <si>
    <t>低楼层</t>
    <phoneticPr fontId="134" type="noConversion"/>
  </si>
  <si>
    <t>房屋建筑面积</t>
  </si>
  <si>
    <t>楼层建筑面积</t>
  </si>
  <si>
    <t>1夹层</t>
  </si>
  <si>
    <t>D座G层</t>
  </si>
  <si>
    <t>D座05</t>
  </si>
  <si>
    <t>D座06</t>
  </si>
  <si>
    <t>D座15</t>
  </si>
  <si>
    <t>D座16</t>
  </si>
  <si>
    <t>D座25</t>
  </si>
  <si>
    <t>D座26</t>
  </si>
  <si>
    <t>其他01层</t>
  </si>
  <si>
    <t>汇总</t>
  </si>
  <si>
    <t>地下3层D座停车库</t>
  </si>
  <si>
    <t>地上机房</t>
  </si>
  <si>
    <t>地下3层库房</t>
  </si>
  <si>
    <t>地上部分总计</t>
  </si>
  <si>
    <t>库房</t>
  </si>
  <si>
    <t>地下2层D座停车库</t>
  </si>
  <si>
    <t>地下部分总计</t>
  </si>
  <si>
    <t>地下2层D座库房</t>
  </si>
  <si>
    <t>总建筑面积</t>
  </si>
  <si>
    <t>地下2层DB201-203</t>
  </si>
  <si>
    <t>地下1层停车库</t>
  </si>
  <si>
    <t>地下1层DB101-116</t>
  </si>
  <si>
    <r>
      <t>B</t>
    </r>
    <r>
      <rPr>
        <sz val="11"/>
        <color theme="1"/>
        <rFont val="宋体"/>
        <family val="3"/>
        <charset val="134"/>
        <scheme val="minor"/>
      </rPr>
      <t>1商业</t>
    </r>
    <phoneticPr fontId="134" type="noConversion"/>
  </si>
  <si>
    <t>G层商业</t>
    <phoneticPr fontId="134" type="noConversion"/>
  </si>
  <si>
    <t>1层商业</t>
    <phoneticPr fontId="134" type="noConversion"/>
  </si>
  <si>
    <r>
      <t>D座2</t>
    </r>
    <r>
      <rPr>
        <sz val="11"/>
        <color theme="1"/>
        <rFont val="宋体"/>
        <family val="3"/>
        <charset val="134"/>
        <scheme val="minor"/>
      </rPr>
      <t>8</t>
    </r>
    <r>
      <rPr>
        <sz val="11"/>
        <color theme="1"/>
        <rFont val="宋体"/>
        <family val="3"/>
        <charset val="134"/>
        <scheme val="minor"/>
      </rPr>
      <t>层</t>
    </r>
    <phoneticPr fontId="134" type="noConversion"/>
  </si>
  <si>
    <t>名义楼层</t>
    <phoneticPr fontId="134" type="noConversion"/>
  </si>
  <si>
    <t>建筑面积</t>
    <phoneticPr fontId="134" type="noConversion"/>
  </si>
  <si>
    <t>地下车库</t>
    <phoneticPr fontId="134" type="noConversion"/>
  </si>
  <si>
    <t>地下库房</t>
    <phoneticPr fontId="134" type="noConversion"/>
  </si>
  <si>
    <r>
      <rPr>
        <sz val="11"/>
        <color indexed="8"/>
        <rFont val="宋体"/>
        <family val="3"/>
        <charset val="134"/>
      </rPr>
      <t>车库</t>
    </r>
    <phoneticPr fontId="134" type="noConversion"/>
  </si>
  <si>
    <r>
      <rPr>
        <sz val="11"/>
        <color indexed="8"/>
        <rFont val="宋体"/>
        <family val="3"/>
        <charset val="134"/>
      </rPr>
      <t>库房</t>
    </r>
    <phoneticPr fontId="134" type="noConversion"/>
  </si>
  <si>
    <t>车库</t>
    <phoneticPr fontId="7" type="noConversion"/>
  </si>
  <si>
    <t>库房</t>
    <phoneticPr fontId="7" type="noConversion"/>
  </si>
  <si>
    <t>收益法-库房</t>
  </si>
  <si>
    <t>收益法-库房</t>
    <phoneticPr fontId="16" type="noConversion"/>
  </si>
  <si>
    <t>中关村</t>
    <phoneticPr fontId="3" type="noConversion"/>
  </si>
  <si>
    <t>附属用房</t>
    <phoneticPr fontId="134" type="noConversion"/>
  </si>
  <si>
    <t>深圳虾皮信息科技有限公司</t>
    <phoneticPr fontId="134" type="noConversion"/>
  </si>
  <si>
    <t>商务金融用地</t>
  </si>
  <si>
    <r>
      <rPr>
        <sz val="11"/>
        <color indexed="10"/>
        <rFont val="宋体"/>
        <family val="3"/>
        <charset val="134"/>
      </rPr>
      <t>分割出租，每间约</t>
    </r>
    <r>
      <rPr>
        <sz val="11"/>
        <color indexed="10"/>
        <rFont val="Arial"/>
        <family val="2"/>
      </rPr>
      <t>180</t>
    </r>
    <phoneticPr fontId="134" type="noConversion"/>
  </si>
  <si>
    <t>清华科技园</t>
    <phoneticPr fontId="134" type="noConversion"/>
  </si>
  <si>
    <t>威盛大厦</t>
    <phoneticPr fontId="134" type="noConversion"/>
  </si>
  <si>
    <t>低楼层</t>
    <phoneticPr fontId="134" type="noConversion"/>
  </si>
  <si>
    <t>中楼层</t>
    <phoneticPr fontId="134" type="noConversion"/>
  </si>
  <si>
    <t>高楼层</t>
    <phoneticPr fontId="134" type="noConversion"/>
  </si>
  <si>
    <t>挂牌</t>
  </si>
  <si>
    <t>挂牌</t>
    <phoneticPr fontId="134" type="noConversion"/>
  </si>
  <si>
    <t>挂牌</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</si>
</sst>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_(* \(#,##0.00\);_(* &quot;-&quot;??_);_(@_)"/>
    <numFmt numFmtId="197" formatCode="_ * #,##0.0000_ ;_ * \-#,##0.0000_ ;_ * &quot;-&quot;????_ ;_ @_ "/>
    <numFmt numFmtId="198" formatCode="0.000000"/>
    <numFmt numFmtId="199" formatCode="_ * #,##0.000_ ;_ * \-#,##0.000_ ;_ * &quot;-&quot;???_ ;_ @_ "/>
    <numFmt numFmtId="200" formatCode="0.0"/>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indexed="8"/>
      <name val="Times New Roman"/>
      <family val="1"/>
    </font>
    <font>
      <sz val="10"/>
      <name val="Times New Roman"/>
      <family val="1"/>
    </font>
    <font>
      <sz val="10"/>
      <color indexed="8"/>
      <name val="Times New Roman"/>
      <family val="1"/>
    </font>
    <font>
      <vertAlign val="subscript"/>
      <sz val="10"/>
      <name val="宋体"/>
      <family val="3"/>
      <charset val="134"/>
    </font>
    <font>
      <b/>
      <sz val="10"/>
      <name val="Times New Roman"/>
      <family val="1"/>
    </font>
    <font>
      <sz val="9"/>
      <color theme="1"/>
      <name val="Arial"/>
      <family val="2"/>
    </font>
    <font>
      <sz val="10"/>
      <name val="微软雅黑"/>
      <family val="2"/>
      <charset val="134"/>
    </font>
    <font>
      <b/>
      <sz val="9"/>
      <name val="微软雅黑"/>
      <family val="2"/>
      <charset val="134"/>
    </font>
    <font>
      <sz val="9"/>
      <name val="微软雅黑"/>
      <family val="2"/>
      <charset val="134"/>
    </font>
    <font>
      <sz val="9"/>
      <color rgb="FFFF0000"/>
      <name val="微软雅黑"/>
      <family val="2"/>
      <charset val="134"/>
    </font>
    <font>
      <sz val="11"/>
      <color indexed="8"/>
      <name val="等线"/>
      <family val="3"/>
      <charset val="134"/>
    </font>
    <font>
      <b/>
      <sz val="10"/>
      <color indexed="8"/>
      <name val="微软雅黑"/>
      <family val="2"/>
      <charset val="134"/>
    </font>
    <font>
      <b/>
      <sz val="10"/>
      <color indexed="14"/>
      <name val="微软雅黑"/>
      <family val="2"/>
      <charset val="134"/>
    </font>
    <font>
      <b/>
      <sz val="10"/>
      <color indexed="60"/>
      <name val="微软雅黑"/>
      <family val="2"/>
      <charset val="134"/>
    </font>
    <font>
      <b/>
      <vertAlign val="superscript"/>
      <sz val="10"/>
      <color indexed="8"/>
      <name val="Arial"/>
      <family val="2"/>
    </font>
    <font>
      <b/>
      <sz val="10"/>
      <color indexed="14"/>
      <name val="Arial"/>
      <family val="2"/>
    </font>
    <font>
      <b/>
      <sz val="10"/>
      <color indexed="60"/>
      <name val="Arial"/>
      <family val="2"/>
    </font>
    <font>
      <sz val="10"/>
      <color indexed="14"/>
      <name val="Arial"/>
      <family val="2"/>
    </font>
    <font>
      <sz val="10"/>
      <color indexed="60"/>
      <name val="Arial"/>
      <family val="2"/>
    </font>
    <font>
      <b/>
      <sz val="10"/>
      <name val="微软雅黑"/>
      <family val="2"/>
      <charset val="134"/>
    </font>
    <font>
      <sz val="10"/>
      <color indexed="11"/>
      <name val="Arial"/>
      <family val="2"/>
    </font>
    <font>
      <b/>
      <sz val="10"/>
      <color indexed="11"/>
      <name val="微软雅黑"/>
      <family val="2"/>
      <charset val="134"/>
    </font>
    <font>
      <sz val="10"/>
      <color indexed="8"/>
      <name val="微软雅黑"/>
      <family val="2"/>
      <charset val="134"/>
    </font>
    <font>
      <b/>
      <sz val="10"/>
      <color indexed="12"/>
      <name val="Arial"/>
      <family val="2"/>
    </font>
    <font>
      <sz val="11"/>
      <color indexed="10"/>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indexed="22"/>
        <bgColor indexed="64"/>
      </patternFill>
    </fill>
    <fill>
      <patternFill patternType="solid">
        <fgColor theme="9" tint="0.79998168889431442"/>
        <bgColor indexed="64"/>
      </patternFill>
    </fill>
  </fills>
  <borders count="18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dotted">
        <color indexed="64"/>
      </left>
      <right style="dotted">
        <color indexed="64"/>
      </right>
      <top style="double">
        <color indexed="64"/>
      </top>
      <bottom/>
      <diagonal style="thin">
        <color indexed="64"/>
      </diagonal>
    </border>
    <border>
      <left style="dotted">
        <color indexed="64"/>
      </left>
      <right style="dotted">
        <color indexed="64"/>
      </right>
      <top style="double">
        <color indexed="64"/>
      </top>
      <bottom/>
      <diagonal/>
    </border>
    <border diagonalDown="1">
      <left style="dotted">
        <color indexed="64"/>
      </left>
      <right style="dotted">
        <color indexed="64"/>
      </right>
      <top/>
      <bottom style="dotted">
        <color indexed="64"/>
      </bottom>
      <diagonal style="thin">
        <color indexed="64"/>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right style="dotted">
        <color indexed="64"/>
      </right>
      <top/>
      <bottom style="dotted">
        <color indexed="64"/>
      </bottom>
      <diagonal/>
    </border>
    <border>
      <left style="dotted">
        <color indexed="64"/>
      </left>
      <right style="dotted">
        <color indexed="64"/>
      </right>
      <top/>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style="double">
        <color indexed="64"/>
      </bottom>
      <diagonal/>
    </border>
    <border>
      <left/>
      <right style="thin">
        <color indexed="64"/>
      </right>
      <top style="double">
        <color indexed="64"/>
      </top>
      <bottom style="thin">
        <color indexed="64"/>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28" fillId="0" borderId="0">
      <alignment vertical="center"/>
    </xf>
    <xf numFmtId="0" fontId="36" fillId="0" borderId="0">
      <alignment vertical="center"/>
    </xf>
    <xf numFmtId="196" fontId="95" fillId="0" borderId="0" applyFont="0" applyFill="0" applyBorder="0" applyAlignment="0" applyProtection="0">
      <alignment vertical="center"/>
    </xf>
    <xf numFmtId="0" fontId="280" fillId="0" borderId="0">
      <alignment vertical="center"/>
    </xf>
  </cellStyleXfs>
  <cellXfs count="41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19" applyFont="1">
      <alignment vertical="center"/>
    </xf>
    <xf numFmtId="0" fontId="270" fillId="0" borderId="1" xfId="19" applyFont="1" applyBorder="1">
      <alignment vertical="center"/>
    </xf>
    <xf numFmtId="14" fontId="271" fillId="0" borderId="1" xfId="20" applyNumberFormat="1" applyFont="1" applyBorder="1">
      <alignment vertical="center"/>
    </xf>
    <xf numFmtId="14" fontId="271" fillId="5" borderId="1" xfId="20" applyNumberFormat="1" applyFont="1" applyFill="1" applyBorder="1">
      <alignment vertical="center"/>
    </xf>
    <xf numFmtId="179" fontId="270" fillId="0" borderId="0" xfId="19" applyNumberFormat="1" applyFont="1">
      <alignment vertical="center"/>
    </xf>
    <xf numFmtId="0" fontId="270" fillId="5" borderId="1" xfId="19" applyFont="1" applyFill="1" applyBorder="1" applyAlignment="1">
      <alignment horizontal="right" vertical="center"/>
    </xf>
    <xf numFmtId="0" fontId="270" fillId="5" borderId="1" xfId="19" applyFont="1" applyFill="1" applyBorder="1">
      <alignment vertical="center"/>
    </xf>
    <xf numFmtId="196" fontId="272" fillId="0" borderId="1" xfId="21" applyFont="1" applyBorder="1">
      <alignment vertical="center"/>
    </xf>
    <xf numFmtId="9" fontId="270" fillId="0" borderId="1" xfId="19" applyNumberFormat="1" applyFont="1" applyBorder="1">
      <alignment vertical="center"/>
    </xf>
    <xf numFmtId="196" fontId="271" fillId="2" borderId="1" xfId="20" applyNumberFormat="1" applyFont="1" applyFill="1" applyBorder="1">
      <alignment vertical="center"/>
    </xf>
    <xf numFmtId="197" fontId="271" fillId="2" borderId="1" xfId="20" applyNumberFormat="1" applyFont="1" applyFill="1" applyBorder="1">
      <alignment vertical="center"/>
    </xf>
    <xf numFmtId="198" fontId="270" fillId="0" borderId="1" xfId="19" applyNumberFormat="1" applyFont="1" applyBorder="1">
      <alignment vertical="center"/>
    </xf>
    <xf numFmtId="199" fontId="271" fillId="2" borderId="1" xfId="20" applyNumberFormat="1" applyFont="1" applyFill="1" applyBorder="1">
      <alignment vertical="center"/>
    </xf>
    <xf numFmtId="0" fontId="271" fillId="0" borderId="0" xfId="19" applyFont="1">
      <alignment vertical="center"/>
    </xf>
    <xf numFmtId="196" fontId="271" fillId="9" borderId="1" xfId="20" applyNumberFormat="1" applyFont="1" applyFill="1" applyBorder="1">
      <alignment vertical="center"/>
    </xf>
    <xf numFmtId="196" fontId="270" fillId="0" borderId="0" xfId="19" applyNumberFormat="1" applyFont="1">
      <alignment vertical="center"/>
    </xf>
    <xf numFmtId="181" fontId="270" fillId="0" borderId="1" xfId="17" applyNumberFormat="1" applyFont="1" applyBorder="1">
      <alignment vertical="center"/>
    </xf>
    <xf numFmtId="0" fontId="275" fillId="0" borderId="176" xfId="0" applyFont="1" applyBorder="1" applyAlignment="1">
      <alignment horizontal="center" vertical="center" wrapText="1"/>
    </xf>
    <xf numFmtId="0" fontId="265" fillId="0" borderId="178" xfId="0" applyFont="1" applyBorder="1" applyAlignment="1">
      <alignment vertical="center" wrapText="1"/>
    </xf>
    <xf numFmtId="0" fontId="275" fillId="0" borderId="181" xfId="0" applyFont="1" applyBorder="1" applyAlignment="1">
      <alignment horizontal="center" vertical="center" wrapText="1"/>
    </xf>
    <xf numFmtId="0" fontId="265" fillId="0" borderId="181" xfId="0" applyFont="1" applyBorder="1" applyAlignment="1">
      <alignment horizontal="center" vertical="center" wrapText="1"/>
    </xf>
    <xf numFmtId="0" fontId="275" fillId="0" borderId="186" xfId="0" applyFont="1" applyBorder="1" applyAlignment="1">
      <alignment horizontal="center" vertical="center" wrapText="1"/>
    </xf>
    <xf numFmtId="0" fontId="95" fillId="0" borderId="0" xfId="10">
      <alignment vertical="center"/>
    </xf>
    <xf numFmtId="0" fontId="95" fillId="0" borderId="0" xfId="10" applyAlignment="1">
      <alignment horizontal="center" vertical="center"/>
    </xf>
    <xf numFmtId="0" fontId="276" fillId="0" borderId="1" xfId="10" applyFont="1" applyBorder="1" applyAlignment="1">
      <alignment horizontal="left" vertical="center"/>
    </xf>
    <xf numFmtId="0" fontId="276" fillId="0" borderId="1" xfId="10" applyFont="1" applyBorder="1">
      <alignment vertical="center"/>
    </xf>
    <xf numFmtId="0" fontId="277" fillId="6" borderId="187" xfId="10" applyFont="1" applyFill="1" applyBorder="1" applyAlignment="1">
      <alignment horizontal="left" vertical="center" wrapText="1"/>
    </xf>
    <xf numFmtId="0" fontId="277" fillId="6" borderId="44" xfId="10" applyFont="1" applyFill="1" applyBorder="1" applyAlignment="1">
      <alignment horizontal="left" vertical="center" wrapText="1"/>
    </xf>
    <xf numFmtId="0" fontId="277" fillId="6" borderId="150" xfId="10" applyFont="1" applyFill="1" applyBorder="1" applyAlignment="1">
      <alignment horizontal="left" vertical="center" wrapText="1"/>
    </xf>
    <xf numFmtId="0" fontId="277" fillId="5" borderId="150" xfId="10" applyFont="1" applyFill="1" applyBorder="1" applyAlignment="1">
      <alignment horizontal="left" vertical="center" wrapText="1"/>
    </xf>
    <xf numFmtId="0" fontId="276" fillId="7" borderId="1" xfId="10" applyFont="1" applyFill="1" applyBorder="1" applyAlignment="1">
      <alignment horizontal="left" vertical="center"/>
    </xf>
    <xf numFmtId="0" fontId="276" fillId="5" borderId="1" xfId="10" applyFont="1" applyFill="1" applyBorder="1">
      <alignment vertical="center"/>
    </xf>
    <xf numFmtId="0" fontId="278" fillId="0" borderId="1" xfId="10" applyFont="1" applyBorder="1">
      <alignment vertical="center"/>
    </xf>
    <xf numFmtId="0" fontId="278" fillId="0" borderId="3" xfId="10" applyFont="1" applyBorder="1" applyAlignment="1">
      <alignment horizontal="left" vertical="center" wrapText="1"/>
    </xf>
    <xf numFmtId="0" fontId="278" fillId="0" borderId="1" xfId="10" applyFont="1" applyBorder="1" applyAlignment="1">
      <alignment horizontal="left" vertical="center" wrapText="1"/>
    </xf>
    <xf numFmtId="0" fontId="95" fillId="5" borderId="0" xfId="10" applyFill="1" applyAlignment="1">
      <alignment horizontal="center" vertical="center"/>
    </xf>
    <xf numFmtId="0" fontId="278" fillId="7" borderId="1" xfId="10" applyFont="1" applyFill="1" applyBorder="1" applyAlignment="1">
      <alignment horizontal="right" vertical="center"/>
    </xf>
    <xf numFmtId="0" fontId="278" fillId="0" borderId="78" xfId="10" applyFont="1" applyBorder="1">
      <alignment vertical="center"/>
    </xf>
    <xf numFmtId="0" fontId="279" fillId="0" borderId="118" xfId="10" applyFont="1" applyBorder="1" applyAlignment="1">
      <alignment horizontal="left" vertical="center" wrapText="1"/>
    </xf>
    <xf numFmtId="0" fontId="278" fillId="0" borderId="78" xfId="10" applyFont="1" applyBorder="1" applyAlignment="1">
      <alignment horizontal="left" vertical="center" wrapText="1"/>
    </xf>
    <xf numFmtId="0" fontId="278" fillId="0" borderId="0" xfId="10" applyFont="1">
      <alignment vertical="center"/>
    </xf>
    <xf numFmtId="0" fontId="278" fillId="0" borderId="0" xfId="10" applyFont="1" applyAlignment="1">
      <alignment horizontal="left" vertical="center" wrapText="1"/>
    </xf>
    <xf numFmtId="0" fontId="278" fillId="6" borderId="187" xfId="10" applyFont="1" applyFill="1" applyBorder="1" applyAlignment="1">
      <alignment horizontal="left" vertical="center" wrapText="1"/>
    </xf>
    <xf numFmtId="0" fontId="278" fillId="0" borderId="150" xfId="10" applyFont="1" applyBorder="1">
      <alignment vertical="center"/>
    </xf>
    <xf numFmtId="0" fontId="278" fillId="6" borderId="3" xfId="10" applyFont="1" applyFill="1" applyBorder="1" applyAlignment="1">
      <alignment horizontal="left" vertical="center" wrapText="1"/>
    </xf>
    <xf numFmtId="0" fontId="278" fillId="0" borderId="5" xfId="10" applyFont="1" applyBorder="1">
      <alignment vertical="center"/>
    </xf>
    <xf numFmtId="0" fontId="19" fillId="0" borderId="35" xfId="10" applyFont="1" applyBorder="1">
      <alignment vertical="center"/>
    </xf>
    <xf numFmtId="0" fontId="278" fillId="22" borderId="3" xfId="10" applyFont="1" applyFill="1" applyBorder="1" applyAlignment="1">
      <alignment horizontal="left" vertical="center" wrapText="1"/>
    </xf>
    <xf numFmtId="0" fontId="278" fillId="6" borderId="118" xfId="10" applyFont="1" applyFill="1" applyBorder="1" applyAlignment="1">
      <alignment horizontal="left" vertical="center" wrapText="1"/>
    </xf>
    <xf numFmtId="0" fontId="278" fillId="0" borderId="85" xfId="10" applyFont="1" applyBorder="1">
      <alignment vertical="center"/>
    </xf>
    <xf numFmtId="0" fontId="276" fillId="5" borderId="1" xfId="10" applyFont="1" applyFill="1" applyBorder="1" applyAlignment="1">
      <alignment horizontal="left" vertical="center"/>
    </xf>
    <xf numFmtId="0" fontId="95" fillId="0" borderId="60" xfId="10" applyBorder="1" applyAlignment="1">
      <alignment horizontal="center" vertical="center"/>
    </xf>
    <xf numFmtId="0" fontId="128" fillId="0" borderId="1" xfId="19" applyBorder="1">
      <alignment vertical="center"/>
    </xf>
    <xf numFmtId="0" fontId="270" fillId="0" borderId="0" xfId="19" applyFont="1" applyAlignment="1">
      <alignment horizontal="left" vertical="center"/>
    </xf>
    <xf numFmtId="14" fontId="270" fillId="0" borderId="0" xfId="19" applyNumberFormat="1" applyFont="1">
      <alignment vertical="center"/>
    </xf>
    <xf numFmtId="0" fontId="52" fillId="23" borderId="1" xfId="22" applyFont="1" applyFill="1" applyBorder="1" applyAlignment="1" applyProtection="1">
      <alignment horizontal="center" vertical="center" wrapText="1"/>
      <protection locked="0"/>
    </xf>
    <xf numFmtId="0" fontId="47" fillId="0" borderId="0" xfId="22" applyFont="1" applyAlignment="1" applyProtection="1">
      <alignment vertical="center" wrapText="1"/>
      <protection locked="0"/>
    </xf>
    <xf numFmtId="0" fontId="52" fillId="23" borderId="22" xfId="22" applyFont="1" applyFill="1" applyBorder="1" applyAlignment="1" applyProtection="1">
      <alignment horizontal="center" vertical="center" wrapText="1"/>
      <protection locked="0"/>
    </xf>
    <xf numFmtId="0" fontId="52" fillId="23" borderId="13" xfId="22" applyFont="1" applyFill="1" applyBorder="1" applyAlignment="1" applyProtection="1">
      <alignment horizontal="center" vertical="center" wrapText="1"/>
      <protection locked="0"/>
    </xf>
    <xf numFmtId="183" fontId="52" fillId="23" borderId="13" xfId="22" applyNumberFormat="1" applyFont="1" applyFill="1" applyBorder="1" applyAlignment="1" applyProtection="1">
      <alignment horizontal="center" vertical="center" wrapText="1"/>
      <protection locked="0"/>
    </xf>
    <xf numFmtId="0" fontId="47" fillId="0" borderId="0" xfId="22" applyFont="1" applyAlignment="1">
      <alignment vertical="center" wrapText="1"/>
    </xf>
    <xf numFmtId="0" fontId="47" fillId="0" borderId="1" xfId="22" applyFont="1" applyBorder="1" applyAlignment="1">
      <alignment horizontal="center" vertical="center" wrapText="1"/>
    </xf>
    <xf numFmtId="0" fontId="52" fillId="0" borderId="1" xfId="22" applyFont="1" applyBorder="1" applyAlignment="1">
      <alignment horizontal="center" vertical="center" wrapText="1"/>
    </xf>
    <xf numFmtId="0" fontId="52" fillId="0" borderId="3" xfId="22" applyFont="1" applyBorder="1" applyAlignment="1">
      <alignment horizontal="center" vertical="center" wrapText="1"/>
    </xf>
    <xf numFmtId="183" fontId="47" fillId="0" borderId="1" xfId="22" applyNumberFormat="1" applyFont="1" applyBorder="1" applyAlignment="1">
      <alignment horizontal="center" vertical="center" wrapText="1"/>
    </xf>
    <xf numFmtId="0" fontId="281" fillId="0" borderId="1" xfId="22" applyFont="1" applyBorder="1" applyAlignment="1">
      <alignment horizontal="center" vertical="center" wrapText="1"/>
    </xf>
    <xf numFmtId="0" fontId="290" fillId="0" borderId="0" xfId="22" applyFont="1" applyAlignment="1">
      <alignment vertical="center" wrapText="1"/>
    </xf>
    <xf numFmtId="0" fontId="53" fillId="0" borderId="1" xfId="22" applyFont="1" applyBorder="1" applyAlignment="1">
      <alignment horizontal="center" vertical="center" wrapText="1"/>
    </xf>
    <xf numFmtId="0" fontId="54" fillId="0" borderId="1" xfId="22" applyFont="1" applyBorder="1" applyAlignment="1">
      <alignment horizontal="center" vertical="center" wrapText="1"/>
    </xf>
    <xf numFmtId="0" fontId="54" fillId="0" borderId="3" xfId="22" applyFont="1" applyBorder="1" applyAlignment="1">
      <alignment horizontal="center" vertical="center" wrapText="1"/>
    </xf>
    <xf numFmtId="183" fontId="53" fillId="0" borderId="1" xfId="22" applyNumberFormat="1" applyFont="1" applyBorder="1" applyAlignment="1">
      <alignment horizontal="center" vertical="center" wrapText="1"/>
    </xf>
    <xf numFmtId="0" fontId="287" fillId="0" borderId="1" xfId="22" applyFont="1" applyBorder="1" applyAlignment="1">
      <alignment horizontal="center" vertical="center" wrapText="1"/>
    </xf>
    <xf numFmtId="0" fontId="291" fillId="0" borderId="1" xfId="22" applyFont="1" applyBorder="1" applyAlignment="1">
      <alignment horizontal="center" vertical="center" wrapText="1"/>
    </xf>
    <xf numFmtId="0" fontId="290" fillId="0" borderId="1" xfId="22" applyFont="1" applyBorder="1" applyAlignment="1">
      <alignment horizontal="center" vertical="center" wrapText="1"/>
    </xf>
    <xf numFmtId="200" fontId="53" fillId="0" borderId="1" xfId="22" applyNumberFormat="1" applyFont="1" applyBorder="1" applyAlignment="1">
      <alignment horizontal="center" vertical="center" wrapText="1"/>
    </xf>
    <xf numFmtId="191" fontId="47" fillId="0" borderId="1" xfId="22" applyNumberFormat="1" applyFont="1" applyBorder="1" applyAlignment="1">
      <alignment horizontal="center" vertical="center" wrapText="1"/>
    </xf>
    <xf numFmtId="0" fontId="79" fillId="0" borderId="1" xfId="22" applyFont="1" applyBorder="1" applyAlignment="1">
      <alignment horizontal="center" vertical="center" wrapText="1"/>
    </xf>
    <xf numFmtId="1" fontId="288" fillId="0" borderId="1" xfId="22" applyNumberFormat="1" applyFont="1" applyBorder="1" applyAlignment="1" applyProtection="1">
      <alignment horizontal="center" vertical="center" wrapText="1"/>
      <protection locked="0"/>
    </xf>
    <xf numFmtId="0" fontId="47" fillId="0" borderId="0" xfId="22" applyFont="1" applyAlignment="1">
      <alignment horizontal="center" vertical="center" wrapText="1"/>
    </xf>
    <xf numFmtId="0" fontId="293" fillId="0" borderId="1" xfId="22" applyFont="1" applyBorder="1" applyAlignment="1">
      <alignment horizontal="center" vertical="center" wrapText="1"/>
    </xf>
    <xf numFmtId="0" fontId="292" fillId="0" borderId="1" xfId="22" applyFont="1" applyBorder="1" applyAlignment="1">
      <alignment horizontal="center" vertical="center" wrapText="1"/>
    </xf>
    <xf numFmtId="0" fontId="53" fillId="0" borderId="0" xfId="22" applyFont="1" applyAlignment="1">
      <alignment vertical="center" wrapText="1"/>
    </xf>
    <xf numFmtId="0" fontId="80" fillId="0" borderId="1" xfId="22" applyFont="1" applyBorder="1" applyAlignment="1">
      <alignment horizontal="center" vertical="center" wrapText="1"/>
    </xf>
    <xf numFmtId="183" fontId="290" fillId="0" borderId="1" xfId="22" applyNumberFormat="1" applyFont="1" applyBorder="1" applyAlignment="1">
      <alignment horizontal="center" vertical="center" wrapText="1"/>
    </xf>
    <xf numFmtId="200" fontId="290" fillId="0" borderId="1" xfId="22" applyNumberFormat="1" applyFont="1" applyBorder="1" applyAlignment="1">
      <alignment horizontal="center" vertical="center" wrapText="1"/>
    </xf>
    <xf numFmtId="1" fontId="288" fillId="0" borderId="0" xfId="22" applyNumberFormat="1" applyFont="1" applyAlignment="1" applyProtection="1">
      <alignment horizontal="center" vertical="center" wrapText="1"/>
      <protection locked="0"/>
    </xf>
    <xf numFmtId="0" fontId="80" fillId="0" borderId="1" xfId="22" applyFont="1" applyBorder="1" applyAlignment="1" applyProtection="1">
      <alignment horizontal="center" vertical="center" wrapText="1"/>
      <protection locked="0"/>
    </xf>
    <xf numFmtId="0" fontId="52" fillId="0" borderId="1" xfId="22" applyFont="1" applyBorder="1" applyAlignment="1" applyProtection="1">
      <alignment horizontal="center" vertical="center" wrapText="1"/>
      <protection locked="0"/>
    </xf>
    <xf numFmtId="0" fontId="52" fillId="0" borderId="3" xfId="22" applyFont="1" applyBorder="1" applyAlignment="1" applyProtection="1">
      <alignment horizontal="center" vertical="center" wrapText="1"/>
      <protection locked="0"/>
    </xf>
    <xf numFmtId="183" fontId="52" fillId="0" borderId="1" xfId="22" applyNumberFormat="1" applyFont="1" applyBorder="1" applyAlignment="1" applyProtection="1">
      <alignment horizontal="center" vertical="center" wrapText="1"/>
      <protection locked="0"/>
    </xf>
    <xf numFmtId="0" fontId="287" fillId="0" borderId="1" xfId="22" applyFont="1" applyBorder="1" applyAlignment="1" applyProtection="1">
      <alignment horizontal="center" vertical="center" wrapText="1"/>
      <protection locked="0"/>
    </xf>
    <xf numFmtId="0" fontId="53" fillId="3" borderId="1" xfId="22" applyFont="1" applyFill="1" applyBorder="1" applyAlignment="1">
      <alignment horizontal="center" vertical="center" wrapText="1"/>
    </xf>
    <xf numFmtId="0" fontId="79" fillId="0" borderId="1" xfId="22" applyFont="1" applyBorder="1" applyAlignment="1" applyProtection="1">
      <alignment horizontal="center" vertical="center" wrapText="1"/>
      <protection locked="0"/>
    </xf>
    <xf numFmtId="0" fontId="52" fillId="0" borderId="0" xfId="22" applyFont="1" applyAlignment="1">
      <alignment horizontal="center" vertical="center" wrapText="1"/>
    </xf>
    <xf numFmtId="183" fontId="47" fillId="0" borderId="0" xfId="22" applyNumberFormat="1" applyFont="1" applyAlignment="1">
      <alignment horizontal="center" vertical="center" wrapText="1"/>
    </xf>
    <xf numFmtId="191" fontId="47" fillId="0" borderId="0" xfId="22" applyNumberFormat="1" applyFont="1" applyAlignment="1">
      <alignment horizontal="center" vertical="center" wrapText="1"/>
    </xf>
    <xf numFmtId="0" fontId="287" fillId="0" borderId="0" xfId="22" applyFont="1" applyAlignment="1">
      <alignment horizontal="center" vertical="center" wrapText="1"/>
    </xf>
    <xf numFmtId="0" fontId="288" fillId="0" borderId="0" xfId="22" applyFont="1" applyAlignment="1">
      <alignment horizontal="center" vertical="center" wrapText="1"/>
    </xf>
    <xf numFmtId="0" fontId="53" fillId="0" borderId="13" xfId="22" applyFont="1" applyBorder="1" applyAlignment="1">
      <alignment horizontal="center" vertical="center" wrapText="1"/>
    </xf>
    <xf numFmtId="0" fontId="47" fillId="0" borderId="13" xfId="22" applyFont="1" applyBorder="1" applyAlignment="1">
      <alignment horizontal="center" vertical="center" wrapText="1"/>
    </xf>
    <xf numFmtId="183" fontId="47" fillId="0" borderId="13" xfId="22" applyNumberFormat="1" applyFont="1" applyBorder="1" applyAlignment="1">
      <alignment horizontal="center" vertical="center" wrapText="1"/>
    </xf>
    <xf numFmtId="2" fontId="47" fillId="0" borderId="1" xfId="22" applyNumberFormat="1" applyFont="1" applyBorder="1" applyAlignment="1">
      <alignment horizontal="center" vertical="center" wrapText="1"/>
    </xf>
    <xf numFmtId="0" fontId="287" fillId="0" borderId="22" xfId="22" applyFont="1" applyBorder="1" applyAlignment="1">
      <alignment horizontal="center" vertical="center" wrapText="1"/>
    </xf>
    <xf numFmtId="0" fontId="288" fillId="0" borderId="13" xfId="22" applyFont="1" applyBorder="1" applyAlignment="1">
      <alignment horizontal="center" vertical="center" wrapText="1"/>
    </xf>
    <xf numFmtId="0" fontId="52" fillId="0" borderId="22" xfId="22" applyFont="1" applyBorder="1" applyAlignment="1">
      <alignment horizontal="center" vertical="center" wrapText="1"/>
    </xf>
    <xf numFmtId="183" fontId="47" fillId="0" borderId="2" xfId="22" applyNumberFormat="1" applyFont="1" applyBorder="1" applyAlignment="1">
      <alignment horizontal="center" vertical="center" wrapText="1"/>
    </xf>
    <xf numFmtId="0" fontId="47" fillId="0" borderId="2" xfId="22" applyFont="1" applyBorder="1" applyAlignment="1">
      <alignment horizontal="center" vertical="center" wrapText="1"/>
    </xf>
    <xf numFmtId="0" fontId="287" fillId="0" borderId="3" xfId="22" applyFont="1" applyBorder="1" applyAlignment="1">
      <alignment horizontal="center" vertical="center" wrapText="1"/>
    </xf>
    <xf numFmtId="0" fontId="289" fillId="0" borderId="1" xfId="22" applyFont="1" applyBorder="1" applyAlignment="1">
      <alignment horizontal="center" vertical="center" wrapText="1"/>
    </xf>
    <xf numFmtId="200" fontId="47" fillId="0" borderId="0" xfId="22" applyNumberFormat="1" applyFont="1" applyAlignment="1" applyProtection="1">
      <alignment vertical="center" wrapText="1"/>
      <protection locked="0"/>
    </xf>
    <xf numFmtId="1" fontId="47" fillId="0" borderId="0" xfId="22" applyNumberFormat="1" applyFont="1" applyAlignment="1" applyProtection="1">
      <alignment vertical="center" wrapText="1"/>
      <protection locked="0"/>
    </xf>
    <xf numFmtId="0" fontId="47" fillId="0" borderId="15" xfId="22" applyFont="1" applyBorder="1" applyAlignment="1">
      <alignment horizontal="center" vertical="center" wrapText="1"/>
    </xf>
    <xf numFmtId="183" fontId="47" fillId="0" borderId="15" xfId="22" applyNumberFormat="1" applyFont="1" applyBorder="1" applyAlignment="1">
      <alignment horizontal="center" vertical="center" wrapText="1"/>
    </xf>
    <xf numFmtId="200" fontId="47" fillId="0" borderId="1" xfId="22" applyNumberFormat="1" applyFont="1" applyBorder="1" applyAlignment="1">
      <alignment horizontal="center" vertical="center" wrapText="1"/>
    </xf>
    <xf numFmtId="191" fontId="53" fillId="0" borderId="1" xfId="22" applyNumberFormat="1" applyFont="1" applyBorder="1" applyAlignment="1">
      <alignment horizontal="center" vertical="center" wrapText="1"/>
    </xf>
    <xf numFmtId="200" fontId="48" fillId="0" borderId="1" xfId="22" applyNumberFormat="1" applyFont="1" applyBorder="1" applyAlignment="1">
      <alignment horizontal="center" vertical="center" wrapText="1"/>
    </xf>
    <xf numFmtId="0" fontId="53" fillId="0" borderId="3" xfId="22" applyFont="1" applyBorder="1" applyAlignment="1">
      <alignment horizontal="center" vertical="center" wrapText="1"/>
    </xf>
    <xf numFmtId="0" fontId="53" fillId="0" borderId="13" xfId="22" applyFont="1" applyBorder="1" applyAlignment="1">
      <alignment vertical="center" wrapText="1"/>
    </xf>
    <xf numFmtId="0" fontId="290" fillId="0" borderId="13" xfId="22" applyFont="1" applyBorder="1" applyAlignment="1">
      <alignment horizontal="center" vertical="center" wrapText="1"/>
    </xf>
    <xf numFmtId="31" fontId="174" fillId="0" borderId="0" xfId="22" applyNumberFormat="1" applyFont="1">
      <alignment vertical="center"/>
    </xf>
    <xf numFmtId="2" fontId="47" fillId="0" borderId="0" xfId="22" applyNumberFormat="1" applyFont="1" applyAlignment="1">
      <alignment vertical="center" wrapText="1"/>
    </xf>
    <xf numFmtId="183" fontId="53" fillId="0" borderId="2" xfId="22" applyNumberFormat="1" applyFont="1" applyBorder="1" applyAlignment="1">
      <alignment horizontal="center" vertical="center" wrapText="1"/>
    </xf>
    <xf numFmtId="0" fontId="53" fillId="0" borderId="2" xfId="22" applyFont="1" applyBorder="1" applyAlignment="1">
      <alignment horizontal="center" vertical="center" wrapText="1"/>
    </xf>
    <xf numFmtId="0" fontId="290" fillId="0" borderId="0" xfId="22" applyFont="1" applyAlignment="1">
      <alignment horizontal="center" vertical="center" wrapText="1"/>
    </xf>
    <xf numFmtId="0" fontId="290" fillId="0" borderId="13" xfId="22" applyFont="1" applyBorder="1" applyAlignment="1">
      <alignment vertical="center" wrapText="1"/>
    </xf>
    <xf numFmtId="200" fontId="53" fillId="0" borderId="13" xfId="22" applyNumberFormat="1" applyFont="1" applyBorder="1" applyAlignment="1">
      <alignment horizontal="center" vertical="center" wrapText="1"/>
    </xf>
    <xf numFmtId="2" fontId="53" fillId="0" borderId="2" xfId="22" applyNumberFormat="1" applyFont="1" applyBorder="1" applyAlignment="1">
      <alignment horizontal="center" vertical="center" wrapText="1"/>
    </xf>
    <xf numFmtId="2" fontId="288" fillId="0" borderId="1" xfId="22" applyNumberFormat="1" applyFont="1" applyBorder="1" applyAlignment="1">
      <alignment horizontal="center" vertical="center" wrapText="1"/>
    </xf>
    <xf numFmtId="0" fontId="47" fillId="0" borderId="1" xfId="22" applyFont="1" applyBorder="1" applyAlignment="1">
      <alignment vertical="center" wrapText="1"/>
    </xf>
    <xf numFmtId="0" fontId="47" fillId="0" borderId="13" xfId="22" applyFont="1" applyBorder="1" applyAlignment="1">
      <alignment vertical="center" wrapText="1"/>
    </xf>
    <xf numFmtId="176" fontId="270" fillId="0" borderId="0" xfId="19" applyNumberFormat="1" applyFont="1">
      <alignment vertical="center"/>
    </xf>
    <xf numFmtId="176" fontId="270" fillId="9" borderId="0" xfId="19" applyNumberFormat="1" applyFont="1" applyFill="1">
      <alignment vertical="center"/>
    </xf>
    <xf numFmtId="196" fontId="272" fillId="9" borderId="1" xfId="21" applyFont="1" applyFill="1" applyBorder="1">
      <alignment vertical="center"/>
    </xf>
    <xf numFmtId="0" fontId="270" fillId="5" borderId="0" xfId="19" applyFont="1" applyFill="1">
      <alignment vertical="center"/>
    </xf>
    <xf numFmtId="0" fontId="276" fillId="0" borderId="1" xfId="0" applyFont="1" applyBorder="1" applyAlignment="1">
      <alignment horizontal="left" vertical="center"/>
    </xf>
    <xf numFmtId="0" fontId="276" fillId="0" borderId="1" xfId="0" applyFont="1" applyBorder="1">
      <alignment vertical="center"/>
    </xf>
    <xf numFmtId="0" fontId="270" fillId="9" borderId="0" xfId="19" applyFont="1" applyFill="1">
      <alignment vertical="center"/>
    </xf>
    <xf numFmtId="0" fontId="128" fillId="0" borderId="0" xfId="19">
      <alignment vertical="center"/>
    </xf>
    <xf numFmtId="2" fontId="0" fillId="0" borderId="0" xfId="0" applyNumberFormat="1">
      <alignment vertical="center"/>
    </xf>
    <xf numFmtId="0" fontId="101" fillId="6" borderId="85" xfId="10" applyFont="1" applyFill="1" applyBorder="1">
      <alignment vertical="center"/>
    </xf>
    <xf numFmtId="0" fontId="62" fillId="6" borderId="88" xfId="10" applyFont="1" applyFill="1" applyBorder="1" applyAlignment="1">
      <alignment horizontal="right" vertical="center"/>
    </xf>
    <xf numFmtId="0" fontId="62" fillId="6" borderId="87" xfId="10" applyFont="1" applyFill="1" applyBorder="1" applyAlignment="1">
      <alignment horizontal="center" vertical="center"/>
    </xf>
    <xf numFmtId="0" fontId="62" fillId="2" borderId="88" xfId="10" applyFont="1" applyFill="1" applyBorder="1" applyProtection="1">
      <alignment vertical="center"/>
      <protection locked="0"/>
    </xf>
    <xf numFmtId="0" fontId="62" fillId="5" borderId="88" xfId="10" applyFont="1" applyFill="1" applyBorder="1" applyProtection="1">
      <alignment vertical="center"/>
      <protection locked="0"/>
    </xf>
    <xf numFmtId="0" fontId="62" fillId="5" borderId="78" xfId="10" applyFont="1" applyFill="1" applyBorder="1" applyAlignment="1" applyProtection="1">
      <alignment horizontal="center" vertical="center"/>
      <protection locked="0"/>
    </xf>
    <xf numFmtId="0" fontId="65" fillId="6" borderId="88" xfId="10" applyFont="1" applyFill="1" applyBorder="1">
      <alignment vertical="center"/>
    </xf>
    <xf numFmtId="0" fontId="62" fillId="6" borderId="88" xfId="10" applyFont="1" applyFill="1" applyBorder="1">
      <alignment vertical="center"/>
    </xf>
    <xf numFmtId="188" fontId="62" fillId="6" borderId="88" xfId="10" applyNumberFormat="1" applyFont="1" applyFill="1" applyBorder="1" applyAlignment="1">
      <alignment horizontal="center" vertical="center"/>
    </xf>
    <xf numFmtId="181" fontId="62" fillId="6" borderId="88" xfId="10" applyNumberFormat="1" applyFont="1" applyFill="1" applyBorder="1">
      <alignment vertical="center"/>
    </xf>
    <xf numFmtId="0" fontId="62" fillId="6" borderId="88" xfId="10" applyFont="1" applyFill="1" applyBorder="1" applyAlignment="1">
      <alignment horizontal="center" vertical="center"/>
    </xf>
    <xf numFmtId="0" fontId="63" fillId="6" borderId="87" xfId="10" applyFont="1" applyFill="1" applyBorder="1" applyAlignment="1">
      <alignment horizontal="center" vertical="center"/>
    </xf>
    <xf numFmtId="0" fontId="63" fillId="0" borderId="87" xfId="10" applyFont="1" applyBorder="1" applyAlignment="1" applyProtection="1">
      <alignment horizontal="center" vertical="center"/>
      <protection locked="0"/>
    </xf>
    <xf numFmtId="0" fontId="57" fillId="6" borderId="2" xfId="10" applyFont="1" applyFill="1" applyBorder="1" applyAlignment="1">
      <alignment horizontal="right" vertical="center"/>
    </xf>
    <xf numFmtId="0" fontId="57" fillId="6" borderId="0" xfId="10" applyFont="1" applyFill="1">
      <alignment vertical="center"/>
    </xf>
    <xf numFmtId="0" fontId="62" fillId="6" borderId="0" xfId="10" applyFont="1" applyFill="1" applyProtection="1">
      <alignment vertical="center"/>
      <protection locked="0"/>
    </xf>
    <xf numFmtId="181" fontId="62" fillId="12" borderId="0" xfId="10" applyNumberFormat="1" applyFont="1" applyFill="1" applyProtection="1">
      <alignment vertical="center"/>
      <protection locked="0"/>
    </xf>
    <xf numFmtId="0" fontId="62" fillId="12" borderId="0" xfId="10" applyFont="1" applyFill="1" applyAlignment="1" applyProtection="1">
      <alignment horizontal="center" vertical="center"/>
      <protection locked="0"/>
    </xf>
    <xf numFmtId="0" fontId="62" fillId="6" borderId="0" xfId="10" applyFont="1" applyFill="1" applyAlignment="1">
      <alignment horizontal="center" vertical="center"/>
    </xf>
    <xf numFmtId="0" fontId="63" fillId="6" borderId="0" xfId="10" applyFont="1" applyFill="1" applyAlignment="1">
      <alignment horizontal="center" vertical="center"/>
    </xf>
    <xf numFmtId="0" fontId="63" fillId="0" borderId="0" xfId="10" applyFont="1" applyAlignment="1" applyProtection="1">
      <alignment horizontal="center" vertical="center"/>
      <protection locked="0"/>
    </xf>
    <xf numFmtId="185" fontId="57" fillId="6" borderId="13" xfId="10" applyNumberFormat="1" applyFont="1" applyFill="1" applyBorder="1" applyAlignment="1">
      <alignment horizontal="right" vertical="center"/>
    </xf>
    <xf numFmtId="0" fontId="57" fillId="6" borderId="13" xfId="10" applyFont="1" applyFill="1" applyBorder="1" applyAlignment="1">
      <alignment horizontal="center" vertical="center"/>
    </xf>
    <xf numFmtId="0" fontId="57" fillId="6" borderId="13" xfId="10" applyFont="1" applyFill="1" applyBorder="1" applyAlignment="1">
      <alignment horizontal="right" vertical="center"/>
    </xf>
    <xf numFmtId="0" fontId="63" fillId="6" borderId="0" xfId="10" applyFont="1" applyFill="1" applyAlignment="1" applyProtection="1">
      <alignment horizontal="center" vertical="center"/>
      <protection locked="0"/>
    </xf>
    <xf numFmtId="0" fontId="65" fillId="6" borderId="0" xfId="10" applyFont="1" applyFill="1" applyProtection="1">
      <alignment vertical="center"/>
      <protection locked="0"/>
    </xf>
    <xf numFmtId="188" fontId="62" fillId="6" borderId="0" xfId="10" applyNumberFormat="1" applyFont="1" applyFill="1" applyAlignment="1" applyProtection="1">
      <alignment horizontal="center" vertical="center"/>
      <protection locked="0"/>
    </xf>
    <xf numFmtId="0" fontId="50" fillId="6" borderId="16" xfId="10" applyFont="1" applyFill="1" applyBorder="1" applyAlignment="1">
      <alignment vertical="center" wrapText="1"/>
    </xf>
    <xf numFmtId="0" fontId="50" fillId="6" borderId="19" xfId="10" applyFont="1" applyFill="1" applyBorder="1" applyAlignment="1">
      <alignment vertical="center" wrapText="1"/>
    </xf>
    <xf numFmtId="0" fontId="51" fillId="6" borderId="10" xfId="10" applyFont="1" applyFill="1" applyBorder="1" applyAlignment="1">
      <alignment horizontal="center" vertical="center" wrapText="1"/>
    </xf>
    <xf numFmtId="188" fontId="44" fillId="6" borderId="3" xfId="10" applyNumberFormat="1" applyFont="1" applyFill="1" applyBorder="1" applyAlignment="1">
      <alignment horizontal="center" vertical="center" wrapText="1"/>
    </xf>
    <xf numFmtId="181" fontId="44" fillId="12" borderId="0" xfId="10" applyNumberFormat="1" applyFont="1" applyFill="1" applyAlignment="1" applyProtection="1">
      <alignment vertical="center" wrapText="1"/>
      <protection locked="0"/>
    </xf>
    <xf numFmtId="0" fontId="51" fillId="12" borderId="0" xfId="10" applyFont="1" applyFill="1" applyAlignment="1" applyProtection="1">
      <alignment horizontal="center" vertical="center"/>
      <protection locked="0"/>
    </xf>
    <xf numFmtId="0" fontId="51" fillId="6" borderId="17" xfId="10" applyFont="1" applyFill="1" applyBorder="1" applyAlignment="1">
      <alignment horizontal="center" vertical="center"/>
    </xf>
    <xf numFmtId="0" fontId="51" fillId="0" borderId="0" xfId="10" applyFont="1" applyAlignment="1" applyProtection="1">
      <alignment horizontal="center" vertical="center"/>
      <protection locked="0"/>
    </xf>
    <xf numFmtId="0" fontId="50" fillId="6" borderId="18" xfId="10" applyFont="1" applyFill="1" applyBorder="1" applyAlignment="1">
      <alignment vertical="center" wrapText="1"/>
    </xf>
    <xf numFmtId="0" fontId="50" fillId="6" borderId="0" xfId="10" applyFont="1" applyFill="1" applyAlignment="1">
      <alignment vertical="center" wrapText="1"/>
    </xf>
    <xf numFmtId="0" fontId="51" fillId="6" borderId="1" xfId="10" applyFont="1" applyFill="1" applyBorder="1" applyAlignment="1">
      <alignment horizontal="center" vertical="center"/>
    </xf>
    <xf numFmtId="0" fontId="51" fillId="6" borderId="15" xfId="10" applyFont="1" applyFill="1" applyBorder="1" applyAlignment="1">
      <alignment horizontal="center" vertical="center"/>
    </xf>
    <xf numFmtId="0" fontId="50" fillId="6" borderId="42" xfId="10" applyFont="1" applyFill="1" applyBorder="1" applyAlignment="1">
      <alignment vertical="center" wrapText="1"/>
    </xf>
    <xf numFmtId="0" fontId="50" fillId="6" borderId="47" xfId="10" applyFont="1" applyFill="1" applyBorder="1" applyAlignment="1">
      <alignment vertical="center" wrapText="1"/>
    </xf>
    <xf numFmtId="0" fontId="46" fillId="6" borderId="63" xfId="10" applyFont="1" applyFill="1" applyBorder="1" applyAlignment="1">
      <alignment vertical="center" wrapText="1"/>
    </xf>
    <xf numFmtId="0" fontId="46" fillId="6" borderId="64" xfId="10" applyFont="1" applyFill="1" applyBorder="1" applyAlignment="1">
      <alignment vertical="center" wrapText="1"/>
    </xf>
    <xf numFmtId="183" fontId="44" fillId="6" borderId="26" xfId="10" applyNumberFormat="1" applyFont="1" applyFill="1" applyBorder="1" applyAlignment="1">
      <alignment horizontal="center" vertical="center" wrapText="1"/>
    </xf>
    <xf numFmtId="0" fontId="44" fillId="6" borderId="67" xfId="10" applyFont="1" applyFill="1" applyBorder="1" applyAlignment="1">
      <alignment horizontal="center" vertical="center" wrapText="1"/>
    </xf>
    <xf numFmtId="183" fontId="44" fillId="0" borderId="70" xfId="10" applyNumberFormat="1" applyFont="1" applyBorder="1" applyAlignment="1" applyProtection="1">
      <alignment horizontal="center" vertical="center" wrapText="1"/>
      <protection locked="0"/>
    </xf>
    <xf numFmtId="0" fontId="44" fillId="6" borderId="34" xfId="10" applyFont="1" applyFill="1" applyBorder="1" applyAlignment="1">
      <alignment horizontal="center" vertical="center" wrapText="1"/>
    </xf>
    <xf numFmtId="0" fontId="44" fillId="6" borderId="3" xfId="10" applyFont="1" applyFill="1" applyBorder="1" applyAlignment="1">
      <alignment horizontal="center" vertical="center" wrapText="1"/>
    </xf>
    <xf numFmtId="181" fontId="44" fillId="12" borderId="0" xfId="10" applyNumberFormat="1" applyFont="1" applyFill="1" applyAlignment="1" applyProtection="1">
      <alignment horizontal="center" vertical="center" wrapText="1"/>
      <protection locked="0"/>
    </xf>
    <xf numFmtId="0" fontId="44" fillId="12" borderId="0" xfId="10" applyFont="1" applyFill="1" applyAlignment="1" applyProtection="1">
      <alignment horizontal="center" vertical="center"/>
      <protection locked="0"/>
    </xf>
    <xf numFmtId="187" fontId="44" fillId="6" borderId="5" xfId="10" applyNumberFormat="1" applyFont="1" applyFill="1" applyBorder="1" applyAlignment="1">
      <alignment horizontal="center" vertical="center"/>
    </xf>
    <xf numFmtId="49" fontId="44" fillId="6" borderId="3" xfId="10" applyNumberFormat="1" applyFont="1" applyFill="1" applyBorder="1" applyAlignment="1">
      <alignment horizontal="center" vertical="center"/>
    </xf>
    <xf numFmtId="0" fontId="44" fillId="6" borderId="15" xfId="10" applyFont="1" applyFill="1" applyBorder="1" applyAlignment="1">
      <alignment horizontal="center" vertical="center"/>
    </xf>
    <xf numFmtId="0" fontId="44" fillId="6" borderId="1" xfId="10" applyFont="1" applyFill="1" applyBorder="1" applyAlignment="1">
      <alignment horizontal="center" vertical="center"/>
    </xf>
    <xf numFmtId="0" fontId="44" fillId="6" borderId="24" xfId="10" applyFont="1" applyFill="1" applyBorder="1" applyAlignment="1">
      <alignment horizontal="center" vertical="center"/>
    </xf>
    <xf numFmtId="0" fontId="44" fillId="0" borderId="0" xfId="10" applyFont="1" applyAlignment="1" applyProtection="1">
      <alignment horizontal="center" vertical="center"/>
      <protection locked="0"/>
    </xf>
    <xf numFmtId="49" fontId="44" fillId="2" borderId="26" xfId="10" applyNumberFormat="1" applyFont="1" applyFill="1" applyBorder="1" applyAlignment="1" applyProtection="1">
      <alignment horizontal="center" vertical="center" wrapText="1"/>
      <protection locked="0"/>
    </xf>
    <xf numFmtId="0" fontId="46" fillId="6" borderId="40" xfId="10" applyFont="1" applyFill="1" applyBorder="1" applyAlignment="1">
      <alignment vertical="center" wrapText="1"/>
    </xf>
    <xf numFmtId="0" fontId="44" fillId="6" borderId="28" xfId="10" applyFont="1" applyFill="1" applyBorder="1" applyAlignment="1">
      <alignment horizontal="center" vertical="center" wrapText="1"/>
    </xf>
    <xf numFmtId="0" fontId="128" fillId="0" borderId="51" xfId="10" applyFont="1" applyBorder="1" applyAlignment="1" applyProtection="1">
      <alignment horizontal="center" vertical="center" wrapText="1"/>
      <protection locked="0"/>
    </xf>
    <xf numFmtId="0" fontId="44" fillId="6" borderId="10" xfId="10" applyFont="1" applyFill="1" applyBorder="1" applyAlignment="1">
      <alignment horizontal="center" vertical="center" wrapText="1"/>
    </xf>
    <xf numFmtId="49" fontId="44" fillId="2" borderId="6" xfId="10" applyNumberFormat="1" applyFont="1" applyFill="1" applyBorder="1" applyAlignment="1" applyProtection="1">
      <alignment horizontal="center" vertical="center" wrapText="1"/>
      <protection locked="0"/>
    </xf>
    <xf numFmtId="0" fontId="44" fillId="6" borderId="1" xfId="10" applyFont="1" applyFill="1" applyBorder="1" applyAlignment="1">
      <alignment horizontal="center" vertical="center" wrapText="1"/>
    </xf>
    <xf numFmtId="0" fontId="66" fillId="6" borderId="14" xfId="10" applyFont="1" applyFill="1" applyBorder="1" applyAlignment="1">
      <alignment vertical="center" wrapText="1"/>
    </xf>
    <xf numFmtId="0" fontId="44" fillId="6" borderId="5" xfId="10" applyFont="1" applyFill="1" applyBorder="1" applyAlignment="1">
      <alignment horizontal="center" vertical="center" wrapText="1"/>
    </xf>
    <xf numFmtId="176" fontId="44" fillId="0" borderId="23" xfId="10" applyNumberFormat="1" applyFont="1" applyBorder="1" applyAlignment="1" applyProtection="1">
      <alignment horizontal="center" vertical="center" wrapText="1"/>
      <protection locked="0"/>
    </xf>
    <xf numFmtId="0" fontId="44" fillId="6" borderId="24" xfId="10" applyFont="1" applyFill="1" applyBorder="1" applyAlignment="1">
      <alignment horizontal="center" vertical="center" wrapText="1"/>
    </xf>
    <xf numFmtId="176" fontId="44" fillId="0" borderId="3" xfId="10" applyNumberFormat="1" applyFont="1" applyBorder="1" applyAlignment="1" applyProtection="1">
      <alignment horizontal="center" vertical="center" wrapText="1"/>
      <protection locked="0"/>
    </xf>
    <xf numFmtId="181" fontId="67" fillId="12" borderId="0" xfId="10" applyNumberFormat="1" applyFont="1" applyFill="1" applyAlignment="1" applyProtection="1">
      <alignment horizontal="center" vertical="center" wrapText="1"/>
      <protection locked="0"/>
    </xf>
    <xf numFmtId="0" fontId="67" fillId="12" borderId="0" xfId="10" applyFont="1" applyFill="1" applyAlignment="1" applyProtection="1">
      <alignment horizontal="center" vertical="center"/>
      <protection locked="0"/>
    </xf>
    <xf numFmtId="0" fontId="67" fillId="0" borderId="0" xfId="10" applyFont="1" applyAlignment="1" applyProtection="1">
      <alignment horizontal="center" vertical="center"/>
      <protection locked="0"/>
    </xf>
    <xf numFmtId="0" fontId="50" fillId="6" borderId="14" xfId="10" applyFont="1" applyFill="1" applyBorder="1" applyAlignment="1">
      <alignment vertical="center" wrapText="1"/>
    </xf>
    <xf numFmtId="0" fontId="44" fillId="0" borderId="23" xfId="10" applyFont="1" applyBorder="1" applyAlignment="1" applyProtection="1">
      <alignment horizontal="center" vertical="center" wrapText="1"/>
      <protection locked="0"/>
    </xf>
    <xf numFmtId="0" fontId="44" fillId="0" borderId="3" xfId="10" applyFont="1" applyBorder="1" applyAlignment="1" applyProtection="1">
      <alignment horizontal="center" vertical="center" wrapText="1"/>
      <protection locked="0"/>
    </xf>
    <xf numFmtId="0" fontId="58" fillId="0" borderId="3" xfId="10" applyFont="1" applyBorder="1" applyAlignment="1" applyProtection="1">
      <alignment horizontal="center" vertical="center" wrapText="1"/>
      <protection locked="0"/>
    </xf>
    <xf numFmtId="181" fontId="49" fillId="12" borderId="0" xfId="10" applyNumberFormat="1" applyFont="1" applyFill="1" applyAlignment="1" applyProtection="1">
      <alignment horizontal="center" vertical="center" wrapText="1"/>
      <protection locked="0"/>
    </xf>
    <xf numFmtId="0" fontId="46" fillId="6" borderId="14" xfId="10" applyFont="1" applyFill="1" applyBorder="1" applyAlignment="1">
      <alignment vertical="center" wrapText="1"/>
    </xf>
    <xf numFmtId="0" fontId="44" fillId="0" borderId="46" xfId="10" applyFont="1" applyBorder="1" applyAlignment="1" applyProtection="1">
      <alignment horizontal="center" vertical="center" wrapText="1"/>
      <protection locked="0"/>
    </xf>
    <xf numFmtId="0" fontId="44" fillId="0" borderId="41" xfId="10" applyFont="1" applyBorder="1" applyAlignment="1" applyProtection="1">
      <alignment horizontal="center" vertical="center" wrapText="1"/>
      <protection locked="0"/>
    </xf>
    <xf numFmtId="0" fontId="44" fillId="6" borderId="71" xfId="10" applyFont="1" applyFill="1" applyBorder="1" applyAlignment="1">
      <alignment horizontal="center" vertical="center" wrapText="1"/>
    </xf>
    <xf numFmtId="0" fontId="44" fillId="0" borderId="7" xfId="10" applyFont="1" applyBorder="1" applyAlignment="1" applyProtection="1">
      <alignment horizontal="center" vertical="center" wrapText="1"/>
      <protection locked="0"/>
    </xf>
    <xf numFmtId="0" fontId="58" fillId="6" borderId="3" xfId="10" applyFont="1" applyFill="1" applyBorder="1" applyAlignment="1">
      <alignment horizontal="center" vertical="center" wrapText="1"/>
    </xf>
    <xf numFmtId="0" fontId="51" fillId="0" borderId="37" xfId="10" applyFont="1" applyBorder="1" applyAlignment="1" applyProtection="1">
      <alignment horizontal="center" vertical="center" wrapText="1"/>
      <protection locked="0"/>
    </xf>
    <xf numFmtId="0" fontId="51" fillId="6" borderId="24" xfId="10" applyFont="1" applyFill="1" applyBorder="1" applyAlignment="1">
      <alignment horizontal="center" vertical="center" wrapText="1"/>
    </xf>
    <xf numFmtId="181" fontId="68" fillId="12" borderId="0" xfId="10" applyNumberFormat="1" applyFont="1" applyFill="1" applyAlignment="1" applyProtection="1">
      <alignment horizontal="center" vertical="center" wrapText="1"/>
      <protection locked="0"/>
    </xf>
    <xf numFmtId="0" fontId="50" fillId="6" borderId="12" xfId="10" applyFont="1" applyFill="1" applyBorder="1" applyAlignment="1">
      <alignment vertical="center" wrapText="1"/>
    </xf>
    <xf numFmtId="0" fontId="44" fillId="0" borderId="33" xfId="10" applyFont="1" applyBorder="1" applyAlignment="1" applyProtection="1">
      <alignment horizontal="center" vertical="center" wrapText="1"/>
      <protection locked="0"/>
    </xf>
    <xf numFmtId="0" fontId="51" fillId="0" borderId="38" xfId="10" applyFont="1" applyBorder="1" applyAlignment="1" applyProtection="1">
      <alignment horizontal="center" vertical="center" wrapText="1"/>
      <protection locked="0"/>
    </xf>
    <xf numFmtId="0" fontId="51" fillId="6" borderId="49" xfId="10" applyFont="1" applyFill="1" applyBorder="1" applyAlignment="1">
      <alignment horizontal="center" vertical="center" wrapText="1"/>
    </xf>
    <xf numFmtId="0" fontId="44" fillId="0" borderId="12" xfId="10" applyFont="1" applyBorder="1" applyAlignment="1" applyProtection="1">
      <alignment horizontal="center" vertical="center" wrapText="1"/>
      <protection locked="0"/>
    </xf>
    <xf numFmtId="0" fontId="50" fillId="6" borderId="40" xfId="10" applyFont="1" applyFill="1" applyBorder="1" applyAlignment="1">
      <alignment vertical="center" wrapText="1"/>
    </xf>
    <xf numFmtId="0" fontId="44" fillId="6" borderId="62" xfId="10" applyFont="1" applyFill="1" applyBorder="1" applyAlignment="1">
      <alignment horizontal="center" vertical="center" wrapText="1"/>
    </xf>
    <xf numFmtId="49" fontId="51" fillId="6" borderId="39" xfId="10" applyNumberFormat="1" applyFont="1" applyFill="1" applyBorder="1" applyAlignment="1">
      <alignment horizontal="center" vertical="center" wrapText="1"/>
    </xf>
    <xf numFmtId="0" fontId="51" fillId="6" borderId="62" xfId="10" applyFont="1" applyFill="1" applyBorder="1" applyAlignment="1">
      <alignment horizontal="center" vertical="center" wrapText="1"/>
    </xf>
    <xf numFmtId="49" fontId="51" fillId="0" borderId="40" xfId="10" applyNumberFormat="1" applyFont="1" applyBorder="1" applyAlignment="1" applyProtection="1">
      <alignment horizontal="center" vertical="center" wrapText="1"/>
      <protection locked="0"/>
    </xf>
    <xf numFmtId="49" fontId="51" fillId="0" borderId="39" xfId="10" applyNumberFormat="1" applyFont="1" applyBorder="1" applyAlignment="1" applyProtection="1">
      <alignment horizontal="center" vertical="center" wrapText="1"/>
      <protection locked="0"/>
    </xf>
    <xf numFmtId="0" fontId="58" fillId="0" borderId="11" xfId="10" applyFont="1" applyBorder="1" applyAlignment="1" applyProtection="1">
      <alignment horizontal="center" vertical="center" wrapText="1"/>
      <protection locked="0"/>
    </xf>
    <xf numFmtId="0" fontId="51" fillId="6" borderId="11" xfId="10" applyFont="1" applyFill="1" applyBorder="1" applyAlignment="1">
      <alignment horizontal="center" vertical="center" wrapText="1"/>
    </xf>
    <xf numFmtId="0" fontId="51" fillId="6" borderId="1" xfId="10" applyFont="1" applyFill="1" applyBorder="1" applyAlignment="1">
      <alignment horizontal="center" vertical="center" wrapText="1"/>
    </xf>
    <xf numFmtId="187" fontId="51" fillId="6" borderId="5" xfId="10" applyNumberFormat="1" applyFont="1" applyFill="1" applyBorder="1" applyAlignment="1">
      <alignment horizontal="center" vertical="center"/>
    </xf>
    <xf numFmtId="49" fontId="51" fillId="6" borderId="3" xfId="10" applyNumberFormat="1" applyFont="1" applyFill="1" applyBorder="1" applyAlignment="1">
      <alignment horizontal="center" vertical="center"/>
    </xf>
    <xf numFmtId="0" fontId="51" fillId="6" borderId="24" xfId="10" applyFont="1" applyFill="1" applyBorder="1" applyAlignment="1">
      <alignment horizontal="center" vertical="center"/>
    </xf>
    <xf numFmtId="0" fontId="51" fillId="6" borderId="56" xfId="10" applyFont="1" applyFill="1" applyBorder="1" applyAlignment="1">
      <alignment horizontal="center" vertical="center"/>
    </xf>
    <xf numFmtId="0" fontId="51" fillId="2" borderId="7" xfId="10" applyFont="1" applyFill="1" applyBorder="1" applyAlignment="1" applyProtection="1">
      <alignment horizontal="center" vertical="center" wrapText="1"/>
      <protection locked="0"/>
    </xf>
    <xf numFmtId="0" fontId="51" fillId="6" borderId="8" xfId="10" applyFont="1" applyFill="1" applyBorder="1" applyAlignment="1">
      <alignment horizontal="center" vertical="center" wrapText="1"/>
    </xf>
    <xf numFmtId="0" fontId="51" fillId="6" borderId="53" xfId="10" applyFont="1" applyFill="1" applyBorder="1" applyAlignment="1">
      <alignment horizontal="center" vertical="center" wrapText="1"/>
    </xf>
    <xf numFmtId="0" fontId="58" fillId="6" borderId="41" xfId="10" applyFont="1" applyFill="1" applyBorder="1" applyAlignment="1">
      <alignment horizontal="center" vertical="center" wrapText="1"/>
    </xf>
    <xf numFmtId="0" fontId="51" fillId="6" borderId="15" xfId="10" applyFont="1" applyFill="1" applyBorder="1" applyAlignment="1">
      <alignment horizontal="center" vertical="center" wrapText="1"/>
    </xf>
    <xf numFmtId="0" fontId="44" fillId="6" borderId="61" xfId="10" applyFont="1" applyFill="1" applyBorder="1" applyAlignment="1">
      <alignment horizontal="center" vertical="center" wrapText="1"/>
    </xf>
    <xf numFmtId="0" fontId="51" fillId="6" borderId="22" xfId="10" applyFont="1" applyFill="1" applyBorder="1" applyAlignment="1">
      <alignment horizontal="center" vertical="center" wrapText="1"/>
    </xf>
    <xf numFmtId="49" fontId="51" fillId="0" borderId="14" xfId="10" applyNumberFormat="1" applyFont="1" applyBorder="1" applyAlignment="1" applyProtection="1">
      <alignment horizontal="center" vertical="center" wrapText="1"/>
      <protection locked="0"/>
    </xf>
    <xf numFmtId="49" fontId="51" fillId="0" borderId="35" xfId="10" applyNumberFormat="1" applyFont="1" applyBorder="1" applyAlignment="1" applyProtection="1">
      <alignment horizontal="center" vertical="center" wrapText="1"/>
      <protection locked="0"/>
    </xf>
    <xf numFmtId="0" fontId="51" fillId="6" borderId="61" xfId="10" applyFont="1" applyFill="1" applyBorder="1" applyAlignment="1">
      <alignment horizontal="center" vertical="center" wrapText="1"/>
    </xf>
    <xf numFmtId="0" fontId="44" fillId="6" borderId="8" xfId="10" applyFont="1" applyFill="1" applyBorder="1" applyAlignment="1">
      <alignment horizontal="center" vertical="center" wrapText="1"/>
    </xf>
    <xf numFmtId="49" fontId="51" fillId="0" borderId="11" xfId="10" applyNumberFormat="1" applyFont="1" applyBorder="1" applyAlignment="1" applyProtection="1">
      <alignment horizontal="center" vertical="center" wrapText="1"/>
      <protection locked="0"/>
    </xf>
    <xf numFmtId="49" fontId="51" fillId="0" borderId="22" xfId="10" applyNumberFormat="1" applyFont="1" applyBorder="1" applyAlignment="1" applyProtection="1">
      <alignment horizontal="center" vertical="center" wrapText="1"/>
      <protection locked="0"/>
    </xf>
    <xf numFmtId="0" fontId="44" fillId="6" borderId="53" xfId="10" applyFont="1" applyFill="1" applyBorder="1" applyAlignment="1">
      <alignment horizontal="center" vertical="center" wrapText="1"/>
    </xf>
    <xf numFmtId="0" fontId="51" fillId="2" borderId="35" xfId="10" applyFont="1" applyFill="1" applyBorder="1" applyAlignment="1" applyProtection="1">
      <alignment horizontal="center" vertical="center" wrapText="1"/>
      <protection locked="0"/>
    </xf>
    <xf numFmtId="0" fontId="58" fillId="6" borderId="14" xfId="10" applyFont="1" applyFill="1" applyBorder="1" applyAlignment="1">
      <alignment horizontal="center" vertical="center" wrapText="1"/>
    </xf>
    <xf numFmtId="0" fontId="51" fillId="0" borderId="54" xfId="10" applyFont="1" applyBorder="1" applyAlignment="1" applyProtection="1">
      <alignment horizontal="center" vertical="center" wrapText="1"/>
      <protection locked="0"/>
    </xf>
    <xf numFmtId="0" fontId="51" fillId="2" borderId="54" xfId="10" applyFont="1" applyFill="1" applyBorder="1" applyAlignment="1" applyProtection="1">
      <alignment horizontal="center" vertical="center" wrapText="1"/>
      <protection locked="0"/>
    </xf>
    <xf numFmtId="0" fontId="51" fillId="2" borderId="37" xfId="10" applyFont="1" applyFill="1" applyBorder="1" applyAlignment="1" applyProtection="1">
      <alignment horizontal="center" vertical="center" wrapText="1"/>
      <protection locked="0"/>
    </xf>
    <xf numFmtId="0" fontId="44" fillId="2" borderId="7" xfId="10" applyFont="1" applyFill="1" applyBorder="1" applyAlignment="1" applyProtection="1">
      <alignment horizontal="center" vertical="center" wrapText="1"/>
      <protection locked="0"/>
    </xf>
    <xf numFmtId="0" fontId="44" fillId="2" borderId="41" xfId="10" applyFont="1" applyFill="1" applyBorder="1" applyAlignment="1" applyProtection="1">
      <alignment horizontal="center" vertical="center" wrapText="1"/>
      <protection locked="0"/>
    </xf>
    <xf numFmtId="0" fontId="128" fillId="0" borderId="24" xfId="10" applyFont="1" applyBorder="1" applyAlignment="1" applyProtection="1">
      <alignment horizontal="center" vertical="center" wrapText="1"/>
      <protection locked="0"/>
    </xf>
    <xf numFmtId="0" fontId="44" fillId="0" borderId="24" xfId="10" applyFont="1" applyBorder="1" applyAlignment="1" applyProtection="1">
      <alignment horizontal="center" vertical="center" wrapText="1"/>
      <protection locked="0"/>
    </xf>
    <xf numFmtId="0" fontId="44" fillId="0" borderId="49" xfId="10" applyFont="1" applyBorder="1" applyAlignment="1" applyProtection="1">
      <alignment horizontal="center" vertical="center" wrapText="1"/>
      <protection locked="0"/>
    </xf>
    <xf numFmtId="0" fontId="51" fillId="0" borderId="52" xfId="10" applyFont="1" applyBorder="1" applyAlignment="1" applyProtection="1">
      <alignment horizontal="center" vertical="center" wrapText="1"/>
      <protection locked="0"/>
    </xf>
    <xf numFmtId="0" fontId="51" fillId="2" borderId="6" xfId="10" applyFont="1" applyFill="1" applyBorder="1" applyAlignment="1" applyProtection="1">
      <alignment horizontal="center" vertical="center" wrapText="1"/>
      <protection locked="0"/>
    </xf>
    <xf numFmtId="0" fontId="51" fillId="6" borderId="5" xfId="10" applyFont="1" applyFill="1" applyBorder="1" applyAlignment="1">
      <alignment horizontal="center" vertical="center" wrapText="1"/>
    </xf>
    <xf numFmtId="0" fontId="69" fillId="6" borderId="14" xfId="10" applyFont="1" applyFill="1" applyBorder="1" applyAlignment="1">
      <alignment vertical="center" textRotation="255" wrapText="1"/>
    </xf>
    <xf numFmtId="0" fontId="44" fillId="0" borderId="37" xfId="10" applyFont="1" applyBorder="1" applyAlignment="1" applyProtection="1">
      <alignment horizontal="center" vertical="center" wrapText="1"/>
      <protection locked="0"/>
    </xf>
    <xf numFmtId="0" fontId="49" fillId="12" borderId="0" xfId="10" applyFont="1" applyFill="1" applyAlignment="1" applyProtection="1">
      <alignment horizontal="center" vertical="center"/>
      <protection locked="0"/>
    </xf>
    <xf numFmtId="0" fontId="49" fillId="6" borderId="1" xfId="10" applyFont="1" applyFill="1" applyBorder="1" applyAlignment="1">
      <alignment horizontal="center" vertical="center" wrapText="1"/>
    </xf>
    <xf numFmtId="187" fontId="49" fillId="6" borderId="5" xfId="10" applyNumberFormat="1" applyFont="1" applyFill="1" applyBorder="1" applyAlignment="1">
      <alignment horizontal="center" vertical="center"/>
    </xf>
    <xf numFmtId="49" fontId="49" fillId="6" borderId="3" xfId="10" applyNumberFormat="1" applyFont="1" applyFill="1" applyBorder="1" applyAlignment="1">
      <alignment horizontal="center" vertical="center"/>
    </xf>
    <xf numFmtId="0" fontId="49" fillId="6" borderId="15" xfId="10" applyFont="1" applyFill="1" applyBorder="1" applyAlignment="1">
      <alignment horizontal="center" vertical="center"/>
    </xf>
    <xf numFmtId="0" fontId="49" fillId="6" borderId="1" xfId="10" applyFont="1" applyFill="1" applyBorder="1" applyAlignment="1">
      <alignment horizontal="center" vertical="center"/>
    </xf>
    <xf numFmtId="0" fontId="49" fillId="0" borderId="0" xfId="10" applyFont="1" applyAlignment="1" applyProtection="1">
      <alignment horizontal="center" vertical="center"/>
      <protection locked="0"/>
    </xf>
    <xf numFmtId="0" fontId="50" fillId="6" borderId="14" xfId="10" applyFont="1" applyFill="1" applyBorder="1" applyAlignment="1">
      <alignment vertical="center" textRotation="255" wrapText="1"/>
    </xf>
    <xf numFmtId="0" fontId="51" fillId="2" borderId="23" xfId="10" applyFont="1" applyFill="1" applyBorder="1" applyAlignment="1" applyProtection="1">
      <alignment horizontal="center" vertical="center" wrapText="1"/>
      <protection locked="0"/>
    </xf>
    <xf numFmtId="9" fontId="44" fillId="0" borderId="37" xfId="10" applyNumberFormat="1" applyFont="1" applyBorder="1" applyAlignment="1" applyProtection="1">
      <alignment horizontal="center" vertical="center" wrapText="1"/>
      <protection locked="0"/>
    </xf>
    <xf numFmtId="0" fontId="46" fillId="6" borderId="14" xfId="10" applyFont="1" applyFill="1" applyBorder="1" applyAlignment="1">
      <alignment vertical="center" textRotation="255" wrapText="1"/>
    </xf>
    <xf numFmtId="0" fontId="44" fillId="0" borderId="5" xfId="10" applyFont="1" applyBorder="1" applyAlignment="1" applyProtection="1">
      <alignment horizontal="center" vertical="center" wrapText="1"/>
      <protection locked="0"/>
    </xf>
    <xf numFmtId="0" fontId="50" fillId="6" borderId="12" xfId="10" applyFont="1" applyFill="1" applyBorder="1" applyAlignment="1">
      <alignment vertical="center" textRotation="255" wrapText="1"/>
    </xf>
    <xf numFmtId="0" fontId="51" fillId="6" borderId="33" xfId="10" applyFont="1" applyFill="1" applyBorder="1" applyAlignment="1">
      <alignment horizontal="center" vertical="center" wrapText="1"/>
    </xf>
    <xf numFmtId="49" fontId="50" fillId="6" borderId="51" xfId="10" applyNumberFormat="1" applyFont="1" applyFill="1" applyBorder="1">
      <alignment vertical="center"/>
    </xf>
    <xf numFmtId="49" fontId="50" fillId="6" borderId="20" xfId="10" applyNumberFormat="1" applyFont="1" applyFill="1" applyBorder="1">
      <alignment vertical="center"/>
    </xf>
    <xf numFmtId="0" fontId="50" fillId="6" borderId="51" xfId="10" applyFont="1" applyFill="1" applyBorder="1" applyAlignment="1">
      <alignment horizontal="right" vertical="center" wrapText="1"/>
    </xf>
    <xf numFmtId="0" fontId="50" fillId="6" borderId="21" xfId="10" applyFont="1" applyFill="1" applyBorder="1" applyAlignment="1">
      <alignment vertical="center" wrapText="1"/>
    </xf>
    <xf numFmtId="0" fontId="70" fillId="3" borderId="20" xfId="10" applyFont="1" applyFill="1" applyBorder="1" applyAlignment="1" applyProtection="1">
      <alignment vertical="center" wrapText="1"/>
      <protection locked="0"/>
    </xf>
    <xf numFmtId="0" fontId="70" fillId="6" borderId="20" xfId="10" applyFont="1" applyFill="1" applyBorder="1" applyAlignment="1">
      <alignment vertical="center" wrapText="1"/>
    </xf>
    <xf numFmtId="0" fontId="70" fillId="3" borderId="51" xfId="10" applyFont="1" applyFill="1" applyBorder="1" applyAlignment="1" applyProtection="1">
      <alignment vertical="center" wrapText="1"/>
      <protection locked="0"/>
    </xf>
    <xf numFmtId="0" fontId="70" fillId="6" borderId="21" xfId="10" applyFont="1" applyFill="1" applyBorder="1" applyAlignment="1">
      <alignment vertical="center" wrapText="1"/>
    </xf>
    <xf numFmtId="188" fontId="51" fillId="6" borderId="3" xfId="10" applyNumberFormat="1" applyFont="1" applyFill="1" applyBorder="1" applyAlignment="1">
      <alignment horizontal="center" vertical="center"/>
    </xf>
    <xf numFmtId="181" fontId="51" fillId="12" borderId="0" xfId="10" applyNumberFormat="1" applyFont="1" applyFill="1" applyAlignment="1" applyProtection="1">
      <alignment vertical="center" wrapText="1"/>
      <protection locked="0"/>
    </xf>
    <xf numFmtId="0" fontId="51" fillId="6" borderId="0" xfId="10" applyFont="1" applyFill="1" applyAlignment="1">
      <alignment horizontal="center" vertical="center"/>
    </xf>
    <xf numFmtId="0" fontId="51" fillId="6" borderId="2" xfId="10" applyFont="1" applyFill="1" applyBorder="1" applyAlignment="1">
      <alignment vertical="center" textRotation="255" wrapText="1"/>
    </xf>
    <xf numFmtId="49" fontId="50" fillId="6" borderId="38" xfId="10" applyNumberFormat="1" applyFont="1" applyFill="1" applyBorder="1">
      <alignment vertical="center"/>
    </xf>
    <xf numFmtId="49" fontId="50" fillId="6" borderId="52" xfId="10" applyNumberFormat="1" applyFont="1" applyFill="1" applyBorder="1">
      <alignment vertical="center"/>
    </xf>
    <xf numFmtId="0" fontId="50" fillId="6" borderId="38" xfId="10" applyFont="1" applyFill="1" applyBorder="1" applyAlignment="1">
      <alignment vertical="center" wrapText="1"/>
    </xf>
    <xf numFmtId="0" fontId="54" fillId="18" borderId="68" xfId="10" applyFont="1" applyFill="1" applyBorder="1" applyAlignment="1" applyProtection="1">
      <alignment horizontal="left" vertical="center" wrapText="1"/>
      <protection locked="0"/>
    </xf>
    <xf numFmtId="0" fontId="50" fillId="6" borderId="52" xfId="10" applyFont="1" applyFill="1" applyBorder="1" applyAlignment="1">
      <alignment vertical="center" wrapText="1"/>
    </xf>
    <xf numFmtId="181" fontId="50" fillId="18" borderId="68" xfId="10" applyNumberFormat="1" applyFont="1" applyFill="1" applyBorder="1" applyAlignment="1" applyProtection="1">
      <alignment horizontal="left" vertical="center" wrapText="1"/>
      <protection locked="0"/>
    </xf>
    <xf numFmtId="176" fontId="51" fillId="6" borderId="48" xfId="10" applyNumberFormat="1" applyFont="1" applyFill="1" applyBorder="1" applyAlignment="1">
      <alignment horizontal="left" vertical="center" wrapText="1"/>
    </xf>
    <xf numFmtId="49" fontId="50" fillId="0" borderId="42" xfId="10" applyNumberFormat="1" applyFont="1" applyBorder="1" applyProtection="1">
      <alignment vertical="center"/>
      <protection locked="0"/>
    </xf>
    <xf numFmtId="49" fontId="50" fillId="0" borderId="43" xfId="10" applyNumberFormat="1" applyFont="1" applyBorder="1" applyProtection="1">
      <alignment vertical="center"/>
      <protection locked="0"/>
    </xf>
    <xf numFmtId="185" fontId="50" fillId="6" borderId="47" xfId="10" applyNumberFormat="1" applyFont="1" applyFill="1" applyBorder="1" applyAlignment="1">
      <alignment vertical="center" wrapText="1"/>
    </xf>
    <xf numFmtId="188" fontId="51" fillId="6" borderId="1" xfId="10" applyNumberFormat="1" applyFont="1" applyFill="1" applyBorder="1" applyAlignment="1">
      <alignment horizontal="center" vertical="center" wrapText="1"/>
    </xf>
    <xf numFmtId="0" fontId="51" fillId="6" borderId="47" xfId="10" applyFont="1" applyFill="1" applyBorder="1" applyAlignment="1">
      <alignment horizontal="center" vertical="center"/>
    </xf>
    <xf numFmtId="0" fontId="51" fillId="6" borderId="43" xfId="10" applyFont="1" applyFill="1" applyBorder="1" applyAlignment="1">
      <alignment horizontal="center" vertical="center"/>
    </xf>
    <xf numFmtId="9" fontId="51" fillId="12" borderId="0" xfId="10" applyNumberFormat="1" applyFont="1" applyFill="1" applyAlignment="1" applyProtection="1">
      <alignment horizontal="center" vertical="center"/>
      <protection locked="0"/>
    </xf>
    <xf numFmtId="188" fontId="51" fillId="12" borderId="0" xfId="10" applyNumberFormat="1" applyFont="1" applyFill="1" applyAlignment="1" applyProtection="1">
      <alignment horizontal="center" vertical="center"/>
      <protection locked="0"/>
    </xf>
    <xf numFmtId="181" fontId="51" fillId="12" borderId="0" xfId="10" applyNumberFormat="1" applyFont="1" applyFill="1" applyAlignment="1" applyProtection="1">
      <alignment horizontal="center" vertical="center"/>
      <protection locked="0"/>
    </xf>
    <xf numFmtId="0" fontId="51" fillId="12" borderId="58" xfId="10" applyFont="1" applyFill="1" applyBorder="1" applyAlignment="1" applyProtection="1">
      <alignment horizontal="center" vertical="center"/>
      <protection locked="0"/>
    </xf>
    <xf numFmtId="0" fontId="50" fillId="6" borderId="1" xfId="10" applyFont="1" applyFill="1" applyBorder="1" applyAlignment="1">
      <alignment horizontal="left" vertical="center"/>
    </xf>
    <xf numFmtId="0" fontId="50" fillId="6" borderId="1" xfId="10" applyFont="1" applyFill="1" applyBorder="1" applyAlignment="1">
      <alignment horizontal="center" vertical="center" wrapText="1"/>
    </xf>
    <xf numFmtId="181" fontId="51" fillId="6" borderId="5" xfId="10" applyNumberFormat="1" applyFont="1" applyFill="1" applyBorder="1" applyAlignment="1">
      <alignment horizontal="center" vertical="center"/>
    </xf>
    <xf numFmtId="181" fontId="51" fillId="6" borderId="3" xfId="10" applyNumberFormat="1" applyFont="1" applyFill="1" applyBorder="1">
      <alignment vertical="center"/>
    </xf>
    <xf numFmtId="0" fontId="50" fillId="6" borderId="3" xfId="10" applyFont="1" applyFill="1" applyBorder="1" applyAlignment="1">
      <alignment horizontal="center" vertical="center" wrapText="1"/>
    </xf>
    <xf numFmtId="0" fontId="68" fillId="12" borderId="0" xfId="10" applyFont="1" applyFill="1" applyAlignment="1" applyProtection="1">
      <alignment horizontal="center" vertical="center"/>
      <protection locked="0"/>
    </xf>
    <xf numFmtId="188" fontId="68" fillId="12" borderId="0" xfId="10" applyNumberFormat="1" applyFont="1" applyFill="1" applyAlignment="1" applyProtection="1">
      <alignment horizontal="center" vertical="center"/>
      <protection locked="0"/>
    </xf>
    <xf numFmtId="181" fontId="68" fillId="12" borderId="0" xfId="10" applyNumberFormat="1" applyFont="1" applyFill="1" applyAlignment="1" applyProtection="1">
      <alignment horizontal="center" vertical="center"/>
      <protection locked="0"/>
    </xf>
    <xf numFmtId="0" fontId="68" fillId="12" borderId="58" xfId="10" applyFont="1" applyFill="1" applyBorder="1" applyAlignment="1" applyProtection="1">
      <alignment horizontal="center" vertical="center"/>
      <protection locked="0"/>
    </xf>
    <xf numFmtId="0" fontId="68" fillId="0" borderId="0" xfId="10" applyFont="1" applyAlignment="1" applyProtection="1">
      <alignment horizontal="center" vertical="center"/>
      <protection locked="0"/>
    </xf>
    <xf numFmtId="14" fontId="51" fillId="12" borderId="0" xfId="10" applyNumberFormat="1" applyFont="1" applyFill="1" applyAlignment="1" applyProtection="1">
      <alignment horizontal="center" vertical="center"/>
      <protection locked="0"/>
    </xf>
    <xf numFmtId="176" fontId="51" fillId="12" borderId="0" xfId="10" applyNumberFormat="1" applyFont="1" applyFill="1" applyAlignment="1" applyProtection="1">
      <alignment horizontal="center" vertical="center"/>
      <protection locked="0"/>
    </xf>
    <xf numFmtId="0" fontId="56" fillId="6" borderId="0" xfId="10" applyFont="1" applyFill="1" applyAlignment="1"/>
    <xf numFmtId="0" fontId="51" fillId="6" borderId="0" xfId="10" applyFont="1" applyFill="1" applyAlignment="1"/>
    <xf numFmtId="0" fontId="51" fillId="6" borderId="0" xfId="10" applyFont="1" applyFill="1" applyAlignment="1">
      <alignment horizontal="center"/>
    </xf>
    <xf numFmtId="188" fontId="51" fillId="6" borderId="0" xfId="10" applyNumberFormat="1" applyFont="1" applyFill="1" applyAlignment="1">
      <alignment horizontal="center"/>
    </xf>
    <xf numFmtId="181" fontId="51" fillId="6" borderId="0" xfId="10" applyNumberFormat="1" applyFont="1" applyFill="1" applyAlignment="1" applyProtection="1">
      <protection locked="0"/>
    </xf>
    <xf numFmtId="0" fontId="51" fillId="6" borderId="0" xfId="10" applyFont="1" applyFill="1" applyAlignment="1" applyProtection="1">
      <protection locked="0"/>
    </xf>
    <xf numFmtId="0" fontId="51" fillId="12" borderId="0" xfId="10" applyFont="1" applyFill="1" applyAlignment="1" applyProtection="1">
      <protection locked="0"/>
    </xf>
    <xf numFmtId="0" fontId="51" fillId="12" borderId="58" xfId="10" applyFont="1" applyFill="1" applyBorder="1" applyAlignment="1" applyProtection="1">
      <protection locked="0"/>
    </xf>
    <xf numFmtId="9" fontId="44" fillId="12" borderId="0" xfId="10" applyNumberFormat="1" applyFont="1" applyFill="1" applyAlignment="1" applyProtection="1">
      <alignment horizontal="center" vertical="center" wrapText="1"/>
      <protection locked="0"/>
    </xf>
    <xf numFmtId="0" fontId="46" fillId="6" borderId="16" xfId="10" applyFont="1" applyFill="1" applyBorder="1" applyAlignment="1">
      <alignment vertical="center" wrapText="1"/>
    </xf>
    <xf numFmtId="0" fontId="46" fillId="6" borderId="39" xfId="10" applyFont="1" applyFill="1" applyBorder="1" applyAlignment="1">
      <alignment vertical="center" wrapText="1"/>
    </xf>
    <xf numFmtId="189" fontId="44" fillId="6" borderId="30" xfId="10" applyNumberFormat="1" applyFont="1" applyFill="1" applyBorder="1" applyAlignment="1">
      <alignment horizontal="center" vertical="center" wrapText="1"/>
    </xf>
    <xf numFmtId="189" fontId="44" fillId="6" borderId="9" xfId="10" applyNumberFormat="1" applyFont="1" applyFill="1" applyBorder="1" applyAlignment="1">
      <alignment horizontal="center" vertical="center" wrapText="1"/>
    </xf>
    <xf numFmtId="49" fontId="44" fillId="12" borderId="58" xfId="10" applyNumberFormat="1" applyFont="1" applyFill="1" applyBorder="1" applyAlignment="1" applyProtection="1">
      <alignment horizontal="center" vertical="center"/>
      <protection locked="0"/>
    </xf>
    <xf numFmtId="49" fontId="44" fillId="12" borderId="0" xfId="10" applyNumberFormat="1" applyFont="1" applyFill="1" applyAlignment="1" applyProtection="1">
      <alignment horizontal="center" vertical="center"/>
      <protection locked="0"/>
    </xf>
    <xf numFmtId="49" fontId="44" fillId="0" borderId="0" xfId="10" applyNumberFormat="1" applyFont="1" applyAlignment="1" applyProtection="1">
      <alignment horizontal="center" vertical="center"/>
      <protection locked="0"/>
    </xf>
    <xf numFmtId="0" fontId="46" fillId="6" borderId="18" xfId="10" applyFont="1" applyFill="1" applyBorder="1" applyAlignment="1">
      <alignment vertical="center" wrapText="1"/>
    </xf>
    <xf numFmtId="0" fontId="46" fillId="6" borderId="35" xfId="10" applyFont="1" applyFill="1" applyBorder="1" applyAlignment="1">
      <alignment vertical="center" wrapText="1"/>
    </xf>
    <xf numFmtId="0" fontId="51" fillId="6" borderId="13" xfId="10" applyFont="1" applyFill="1" applyBorder="1" applyAlignment="1" applyProtection="1">
      <alignment horizontal="center" vertical="center" wrapText="1"/>
      <protection locked="0"/>
    </xf>
    <xf numFmtId="0" fontId="44" fillId="0" borderId="13" xfId="10" applyFont="1" applyBorder="1" applyAlignment="1" applyProtection="1">
      <alignment horizontal="center" vertical="center" wrapText="1"/>
      <protection locked="0"/>
    </xf>
    <xf numFmtId="9" fontId="44" fillId="12" borderId="58" xfId="10" applyNumberFormat="1" applyFont="1" applyFill="1" applyBorder="1" applyAlignment="1" applyProtection="1">
      <alignment horizontal="center" vertical="center" wrapText="1"/>
      <protection locked="0"/>
    </xf>
    <xf numFmtId="0" fontId="46" fillId="6" borderId="42" xfId="10" applyFont="1" applyFill="1" applyBorder="1">
      <alignment vertical="center"/>
    </xf>
    <xf numFmtId="0" fontId="46" fillId="6" borderId="73" xfId="10" applyFont="1" applyFill="1" applyBorder="1" applyAlignment="1">
      <alignment vertical="center" wrapText="1"/>
    </xf>
    <xf numFmtId="0" fontId="44" fillId="0" borderId="73" xfId="10" applyFont="1" applyBorder="1" applyAlignment="1" applyProtection="1">
      <alignment horizontal="center" vertical="center" wrapText="1"/>
      <protection locked="0"/>
    </xf>
    <xf numFmtId="0" fontId="44" fillId="0" borderId="74" xfId="10" applyFont="1" applyBorder="1" applyAlignment="1" applyProtection="1">
      <alignment horizontal="center" vertical="center" wrapText="1"/>
      <protection locked="0"/>
    </xf>
    <xf numFmtId="0" fontId="44" fillId="0" borderId="75" xfId="10" applyFont="1" applyBorder="1" applyAlignment="1" applyProtection="1">
      <alignment horizontal="center" vertical="center" wrapText="1"/>
      <protection locked="0"/>
    </xf>
    <xf numFmtId="0" fontId="46" fillId="6" borderId="58" xfId="10" applyFont="1" applyFill="1" applyBorder="1" applyAlignment="1">
      <alignment vertical="center" wrapText="1"/>
    </xf>
    <xf numFmtId="0" fontId="44" fillId="6" borderId="7" xfId="10" applyFont="1" applyFill="1" applyBorder="1" applyAlignment="1">
      <alignment horizontal="center" vertical="center" wrapText="1"/>
    </xf>
    <xf numFmtId="0" fontId="44" fillId="0" borderId="2" xfId="10" applyFont="1" applyBorder="1" applyAlignment="1" applyProtection="1">
      <alignment horizontal="center" vertical="center" wrapText="1"/>
      <protection locked="0"/>
    </xf>
    <xf numFmtId="0" fontId="44" fillId="0" borderId="2" xfId="10" applyFont="1" applyBorder="1" applyAlignment="1" applyProtection="1">
      <alignment horizontal="left" vertical="center" wrapText="1"/>
      <protection locked="0"/>
    </xf>
    <xf numFmtId="0" fontId="44" fillId="0" borderId="8" xfId="10" applyFont="1" applyBorder="1" applyAlignment="1" applyProtection="1">
      <alignment horizontal="center" vertical="center" wrapText="1"/>
      <protection locked="0"/>
    </xf>
    <xf numFmtId="0" fontId="44" fillId="12" borderId="0" xfId="10" applyFont="1" applyFill="1" applyAlignment="1" applyProtection="1">
      <alignment horizontal="center" vertical="center" wrapText="1"/>
      <protection locked="0"/>
    </xf>
    <xf numFmtId="0" fontId="98" fillId="12" borderId="58" xfId="10" applyFont="1" applyFill="1" applyBorder="1" applyProtection="1">
      <alignment vertical="center"/>
      <protection locked="0"/>
    </xf>
    <xf numFmtId="0" fontId="44" fillId="0" borderId="22" xfId="10" applyFont="1" applyBorder="1" applyAlignment="1" applyProtection="1">
      <alignment horizontal="center" vertical="center" wrapText="1"/>
      <protection locked="0"/>
    </xf>
    <xf numFmtId="0" fontId="44" fillId="0" borderId="61" xfId="10" applyFont="1" applyBorder="1" applyAlignment="1" applyProtection="1">
      <alignment horizontal="center" vertical="center" wrapText="1"/>
      <protection locked="0"/>
    </xf>
    <xf numFmtId="0" fontId="44" fillId="6" borderId="17" xfId="10" applyFont="1" applyFill="1" applyBorder="1" applyAlignment="1">
      <alignment horizontal="center" vertical="center" wrapText="1"/>
    </xf>
    <xf numFmtId="0" fontId="51" fillId="6" borderId="9" xfId="10" applyFont="1" applyFill="1" applyBorder="1" applyAlignment="1">
      <alignment horizontal="center" vertical="center" wrapText="1"/>
    </xf>
    <xf numFmtId="0" fontId="51" fillId="0" borderId="9" xfId="10" applyFont="1" applyBorder="1" applyAlignment="1" applyProtection="1">
      <alignment horizontal="center" vertical="center" wrapText="1"/>
      <protection locked="0"/>
    </xf>
    <xf numFmtId="0" fontId="68" fillId="0" borderId="9" xfId="10" applyFont="1" applyBorder="1" applyAlignment="1" applyProtection="1">
      <alignment horizontal="center" vertical="center" wrapText="1"/>
      <protection locked="0"/>
    </xf>
    <xf numFmtId="0" fontId="68" fillId="0" borderId="9" xfId="10" applyFont="1" applyBorder="1" applyAlignment="1" applyProtection="1">
      <alignment horizontal="left" vertical="center" wrapText="1"/>
      <protection locked="0"/>
    </xf>
    <xf numFmtId="0" fontId="68" fillId="0" borderId="10" xfId="10" applyFont="1" applyBorder="1" applyAlignment="1" applyProtection="1">
      <alignment horizontal="center" vertical="center" wrapText="1"/>
      <protection locked="0"/>
    </xf>
    <xf numFmtId="0" fontId="68" fillId="12" borderId="0" xfId="10" applyFont="1" applyFill="1" applyAlignment="1" applyProtection="1">
      <alignment horizontal="center" vertical="center" wrapText="1"/>
      <protection locked="0"/>
    </xf>
    <xf numFmtId="0" fontId="44" fillId="12" borderId="58" xfId="10" applyFont="1" applyFill="1" applyBorder="1" applyAlignment="1" applyProtection="1">
      <alignment horizontal="center" vertical="center" wrapText="1"/>
      <protection locked="0"/>
    </xf>
    <xf numFmtId="0" fontId="49" fillId="6" borderId="77" xfId="10" applyFont="1" applyFill="1" applyBorder="1" applyAlignment="1">
      <alignment horizontal="center" vertical="center" wrapText="1"/>
    </xf>
    <xf numFmtId="0" fontId="51" fillId="0" borderId="78" xfId="10" applyFont="1" applyBorder="1" applyAlignment="1" applyProtection="1">
      <alignment horizontal="center" vertical="center" wrapText="1"/>
      <protection locked="0"/>
    </xf>
    <xf numFmtId="0" fontId="51" fillId="0" borderId="79" xfId="10" applyFont="1" applyBorder="1" applyAlignment="1" applyProtection="1">
      <alignment horizontal="center" vertical="center" wrapText="1"/>
      <protection locked="0"/>
    </xf>
    <xf numFmtId="0" fontId="51" fillId="12" borderId="0" xfId="10" applyFont="1" applyFill="1" applyAlignment="1" applyProtection="1">
      <alignment horizontal="center" vertical="center" wrapText="1"/>
      <protection locked="0"/>
    </xf>
    <xf numFmtId="0" fontId="44" fillId="6" borderId="57" xfId="10" applyFont="1" applyFill="1" applyBorder="1" applyAlignment="1">
      <alignment horizontal="center" vertical="center" wrapText="1"/>
    </xf>
    <xf numFmtId="0" fontId="51" fillId="0" borderId="44" xfId="10" applyFont="1" applyBorder="1" applyAlignment="1" applyProtection="1">
      <alignment horizontal="center" vertical="center" wrapText="1"/>
      <protection locked="0"/>
    </xf>
    <xf numFmtId="0" fontId="68" fillId="0" borderId="44" xfId="10" applyFont="1" applyBorder="1" applyAlignment="1" applyProtection="1">
      <alignment horizontal="center" vertical="center" wrapText="1"/>
      <protection locked="0"/>
    </xf>
    <xf numFmtId="0" fontId="68" fillId="0" borderId="44" xfId="10" applyFont="1" applyBorder="1" applyAlignment="1" applyProtection="1">
      <alignment horizontal="left" vertical="center" wrapText="1"/>
      <protection locked="0"/>
    </xf>
    <xf numFmtId="0" fontId="68" fillId="0" borderId="45" xfId="10" applyFont="1" applyBorder="1" applyAlignment="1" applyProtection="1">
      <alignment horizontal="center" vertical="center" wrapText="1"/>
      <protection locked="0"/>
    </xf>
    <xf numFmtId="0" fontId="44" fillId="6" borderId="77" xfId="10" applyFont="1" applyFill="1" applyBorder="1" applyAlignment="1">
      <alignment horizontal="center" vertical="center" wrapText="1"/>
    </xf>
    <xf numFmtId="0" fontId="44" fillId="6" borderId="15" xfId="10" applyFont="1" applyFill="1" applyBorder="1" applyAlignment="1">
      <alignment horizontal="center" vertical="center" wrapText="1"/>
    </xf>
    <xf numFmtId="0" fontId="51" fillId="6" borderId="2" xfId="10" applyFont="1" applyFill="1" applyBorder="1" applyAlignment="1">
      <alignment horizontal="center" vertical="center" wrapText="1"/>
    </xf>
    <xf numFmtId="0" fontId="49" fillId="6" borderId="15" xfId="10" applyFont="1" applyFill="1" applyBorder="1" applyAlignment="1">
      <alignment horizontal="center" vertical="center" wrapText="1"/>
    </xf>
    <xf numFmtId="0" fontId="51" fillId="0" borderId="1" xfId="10" applyFont="1" applyBorder="1" applyAlignment="1" applyProtection="1">
      <alignment horizontal="center" vertical="center" wrapText="1"/>
      <protection locked="0"/>
    </xf>
    <xf numFmtId="0" fontId="68" fillId="0" borderId="1" xfId="10" applyFont="1" applyBorder="1" applyAlignment="1" applyProtection="1">
      <alignment horizontal="center" vertical="center" wrapText="1"/>
      <protection locked="0"/>
    </xf>
    <xf numFmtId="0" fontId="68" fillId="0" borderId="1" xfId="10" applyFont="1" applyBorder="1" applyAlignment="1" applyProtection="1">
      <alignment horizontal="left" vertical="center" wrapText="1"/>
      <protection locked="0"/>
    </xf>
    <xf numFmtId="0" fontId="68" fillId="0" borderId="24" xfId="10" applyFont="1" applyBorder="1" applyAlignment="1" applyProtection="1">
      <alignment horizontal="center" vertical="center" wrapText="1"/>
      <protection locked="0"/>
    </xf>
    <xf numFmtId="0" fontId="51" fillId="6" borderId="78" xfId="10" applyFont="1" applyFill="1" applyBorder="1" applyAlignment="1">
      <alignment horizontal="center" vertical="center" wrapText="1"/>
    </xf>
    <xf numFmtId="0" fontId="51" fillId="6" borderId="79" xfId="10" applyFont="1" applyFill="1" applyBorder="1" applyAlignment="1">
      <alignment horizontal="center" vertical="center" wrapText="1"/>
    </xf>
    <xf numFmtId="0" fontId="69" fillId="6" borderId="14" xfId="10" applyFont="1" applyFill="1" applyBorder="1" applyAlignment="1">
      <alignment vertical="center" wrapText="1"/>
    </xf>
    <xf numFmtId="0" fontId="44" fillId="0" borderId="44" xfId="10" applyFont="1" applyBorder="1" applyAlignment="1" applyProtection="1">
      <alignment horizontal="center" vertical="center" wrapText="1"/>
      <protection locked="0"/>
    </xf>
    <xf numFmtId="0" fontId="49" fillId="0" borderId="44" xfId="10" applyFont="1" applyBorder="1" applyAlignment="1" applyProtection="1">
      <alignment horizontal="center" vertical="center" wrapText="1"/>
      <protection locked="0"/>
    </xf>
    <xf numFmtId="0" fontId="49" fillId="0" borderId="44" xfId="10" applyFont="1" applyBorder="1" applyAlignment="1" applyProtection="1">
      <alignment horizontal="left" vertical="center" wrapText="1"/>
      <protection locked="0"/>
    </xf>
    <xf numFmtId="0" fontId="49" fillId="0" borderId="45" xfId="10" applyFont="1" applyBorder="1" applyAlignment="1" applyProtection="1">
      <alignment horizontal="center" vertical="center" wrapText="1"/>
      <protection locked="0"/>
    </xf>
    <xf numFmtId="0" fontId="49" fillId="12" borderId="0" xfId="10" applyFont="1" applyFill="1" applyAlignment="1" applyProtection="1">
      <alignment horizontal="center" vertical="center" wrapText="1"/>
      <protection locked="0"/>
    </xf>
    <xf numFmtId="0" fontId="49" fillId="12" borderId="58" xfId="10" applyFont="1" applyFill="1" applyBorder="1" applyAlignment="1" applyProtection="1">
      <alignment horizontal="center" vertical="center" wrapText="1"/>
      <protection locked="0"/>
    </xf>
    <xf numFmtId="9" fontId="49" fillId="12" borderId="0" xfId="10" applyNumberFormat="1" applyFont="1" applyFill="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49" fillId="12" borderId="58" xfId="10" applyFont="1" applyFill="1" applyBorder="1" applyAlignment="1" applyProtection="1">
      <alignment horizontal="center" vertical="center"/>
      <protection locked="0"/>
    </xf>
    <xf numFmtId="9" fontId="49" fillId="12" borderId="0" xfId="10" applyNumberFormat="1" applyFont="1" applyFill="1" applyAlignment="1" applyProtection="1">
      <alignment horizontal="center" vertical="center"/>
      <protection locked="0"/>
    </xf>
    <xf numFmtId="0" fontId="49" fillId="0" borderId="78" xfId="10" applyFont="1" applyBorder="1" applyAlignment="1" applyProtection="1">
      <alignment horizontal="center" vertical="center" wrapText="1"/>
      <protection locked="0"/>
    </xf>
    <xf numFmtId="0" fontId="49" fillId="0" borderId="79" xfId="10" applyFont="1" applyBorder="1" applyAlignment="1" applyProtection="1">
      <alignment horizontal="center" vertical="center" wrapText="1"/>
      <protection locked="0"/>
    </xf>
    <xf numFmtId="0" fontId="49" fillId="0" borderId="2" xfId="10" applyFont="1" applyBorder="1" applyAlignment="1" applyProtection="1">
      <alignment horizontal="center" vertical="center" wrapText="1"/>
      <protection locked="0"/>
    </xf>
    <xf numFmtId="0" fontId="49" fillId="0" borderId="2" xfId="10" applyFont="1" applyBorder="1" applyAlignment="1" applyProtection="1">
      <alignment horizontal="left" vertical="center" wrapText="1"/>
      <protection locked="0"/>
    </xf>
    <xf numFmtId="0" fontId="49" fillId="0" borderId="8" xfId="10" applyFont="1" applyBorder="1" applyAlignment="1" applyProtection="1">
      <alignment horizontal="center" vertical="center" wrapText="1"/>
      <protection locked="0"/>
    </xf>
    <xf numFmtId="0" fontId="49" fillId="12" borderId="58" xfId="10" applyFont="1" applyFill="1" applyBorder="1" applyAlignment="1" applyProtection="1">
      <alignment vertical="center" wrapText="1"/>
      <protection locked="0"/>
    </xf>
    <xf numFmtId="0" fontId="69" fillId="6" borderId="12" xfId="10" applyFont="1" applyFill="1" applyBorder="1" applyAlignment="1">
      <alignment vertical="center" wrapText="1"/>
    </xf>
    <xf numFmtId="0" fontId="44" fillId="6" borderId="74" xfId="10" applyFont="1" applyFill="1" applyBorder="1" applyAlignment="1">
      <alignment horizontal="center" vertical="center" wrapText="1"/>
    </xf>
    <xf numFmtId="0" fontId="44" fillId="0" borderId="32" xfId="10" applyFont="1" applyBorder="1" applyAlignment="1" applyProtection="1">
      <alignment horizontal="center" vertical="center" wrapText="1"/>
      <protection locked="0"/>
    </xf>
    <xf numFmtId="0" fontId="49" fillId="0" borderId="32" xfId="10" applyFont="1" applyBorder="1" applyAlignment="1" applyProtection="1">
      <alignment horizontal="center" vertical="center" wrapText="1"/>
      <protection locked="0"/>
    </xf>
    <xf numFmtId="0" fontId="49" fillId="0" borderId="49" xfId="10" applyFont="1" applyBorder="1" applyAlignment="1" applyProtection="1">
      <alignment horizontal="center" vertical="center" wrapText="1"/>
      <protection locked="0"/>
    </xf>
    <xf numFmtId="0" fontId="44" fillId="6" borderId="9" xfId="10" applyFont="1" applyFill="1" applyBorder="1" applyAlignment="1">
      <alignment horizontal="center" vertical="center" wrapText="1"/>
    </xf>
    <xf numFmtId="0" fontId="68" fillId="6" borderId="9" xfId="10" applyFont="1" applyFill="1" applyBorder="1" applyAlignment="1">
      <alignment horizontal="center" vertical="center" wrapText="1"/>
    </xf>
    <xf numFmtId="0" fontId="68" fillId="6" borderId="9" xfId="10" applyFont="1" applyFill="1" applyBorder="1" applyAlignment="1">
      <alignment horizontal="left" vertical="center" wrapText="1"/>
    </xf>
    <xf numFmtId="0" fontId="68" fillId="6" borderId="10" xfId="10" applyFont="1" applyFill="1" applyBorder="1" applyAlignment="1">
      <alignment horizontal="center" vertical="center" wrapText="1"/>
    </xf>
    <xf numFmtId="0" fontId="44" fillId="12" borderId="58" xfId="10" applyFont="1" applyFill="1" applyBorder="1" applyAlignment="1" applyProtection="1">
      <alignment vertical="center" wrapText="1"/>
      <protection locked="0"/>
    </xf>
    <xf numFmtId="0" fontId="44" fillId="6" borderId="44" xfId="10" applyFont="1" applyFill="1" applyBorder="1" applyAlignment="1">
      <alignment horizontal="center" vertical="center" wrapText="1"/>
    </xf>
    <xf numFmtId="0" fontId="51" fillId="6" borderId="44" xfId="10" applyFont="1" applyFill="1" applyBorder="1" applyAlignment="1">
      <alignment horizontal="center" vertical="center" wrapText="1"/>
    </xf>
    <xf numFmtId="0" fontId="68" fillId="6" borderId="44" xfId="10" applyFont="1" applyFill="1" applyBorder="1" applyAlignment="1">
      <alignment horizontal="center" vertical="center" wrapText="1"/>
    </xf>
    <xf numFmtId="0" fontId="68" fillId="6" borderId="44" xfId="10" applyFont="1" applyFill="1" applyBorder="1" applyAlignment="1">
      <alignment horizontal="left" vertical="center" wrapText="1"/>
    </xf>
    <xf numFmtId="0" fontId="68" fillId="6" borderId="45" xfId="10" applyFont="1" applyFill="1" applyBorder="1" applyAlignment="1">
      <alignment horizontal="center" vertical="center" wrapText="1"/>
    </xf>
    <xf numFmtId="0" fontId="51" fillId="6" borderId="45" xfId="10" applyFont="1" applyFill="1" applyBorder="1" applyAlignment="1">
      <alignment horizontal="center" vertical="center" wrapText="1"/>
    </xf>
    <xf numFmtId="0" fontId="44" fillId="0" borderId="44" xfId="10" applyFont="1" applyBorder="1" applyAlignment="1" applyProtection="1">
      <alignment horizontal="left" vertical="center" wrapText="1"/>
      <protection locked="0"/>
    </xf>
    <xf numFmtId="0" fontId="44" fillId="0" borderId="45" xfId="10" applyFont="1" applyBorder="1" applyAlignment="1" applyProtection="1">
      <alignment horizontal="center" vertical="center" wrapText="1"/>
      <protection locked="0"/>
    </xf>
    <xf numFmtId="0" fontId="44" fillId="6" borderId="78" xfId="10" applyFont="1" applyFill="1" applyBorder="1" applyAlignment="1">
      <alignment horizontal="center" vertical="center" wrapText="1"/>
    </xf>
    <xf numFmtId="0" fontId="44" fillId="0" borderId="83" xfId="10" applyFont="1" applyBorder="1" applyAlignment="1" applyProtection="1">
      <alignment horizontal="center" vertical="center"/>
      <protection locked="0"/>
    </xf>
    <xf numFmtId="0" fontId="51" fillId="0" borderId="2" xfId="10" applyFont="1" applyBorder="1" applyAlignment="1" applyProtection="1">
      <alignment horizontal="center" vertical="center" wrapText="1"/>
      <protection locked="0"/>
    </xf>
    <xf numFmtId="0" fontId="68" fillId="0" borderId="2" xfId="10" applyFont="1" applyBorder="1" applyAlignment="1" applyProtection="1">
      <alignment horizontal="center" vertical="center" wrapText="1"/>
      <protection locked="0"/>
    </xf>
    <xf numFmtId="0" fontId="68" fillId="0" borderId="2" xfId="10" applyFont="1" applyBorder="1" applyAlignment="1" applyProtection="1">
      <alignment horizontal="left" vertical="center" wrapText="1"/>
      <protection locked="0"/>
    </xf>
    <xf numFmtId="0" fontId="68" fillId="0" borderId="8" xfId="10" applyFont="1" applyBorder="1" applyAlignment="1" applyProtection="1">
      <alignment horizontal="center" vertical="center" wrapText="1"/>
      <protection locked="0"/>
    </xf>
    <xf numFmtId="0" fontId="51" fillId="0" borderId="32" xfId="10" applyFont="1" applyBorder="1" applyAlignment="1" applyProtection="1">
      <alignment horizontal="center" vertical="center" wrapText="1"/>
      <protection locked="0"/>
    </xf>
    <xf numFmtId="0" fontId="51" fillId="0" borderId="49" xfId="10" applyFont="1" applyBorder="1" applyAlignment="1" applyProtection="1">
      <alignment horizontal="center" vertical="center" wrapText="1"/>
      <protection locked="0"/>
    </xf>
    <xf numFmtId="0" fontId="44" fillId="6" borderId="45" xfId="10" applyFont="1" applyFill="1" applyBorder="1" applyAlignment="1">
      <alignment horizontal="center" vertical="center" wrapText="1"/>
    </xf>
    <xf numFmtId="0" fontId="44" fillId="6" borderId="58" xfId="10" applyFont="1" applyFill="1" applyBorder="1" applyAlignment="1">
      <alignment horizontal="center" vertical="center"/>
    </xf>
    <xf numFmtId="0" fontId="44" fillId="0" borderId="1" xfId="10" applyFont="1" applyBorder="1" applyAlignment="1" applyProtection="1">
      <alignment horizontal="center" vertical="center" wrapText="1"/>
      <protection locked="0"/>
    </xf>
    <xf numFmtId="0" fontId="49" fillId="0" borderId="1" xfId="10" applyFont="1" applyBorder="1" applyAlignment="1" applyProtection="1">
      <alignment horizontal="center" vertical="center" wrapText="1"/>
      <protection locked="0"/>
    </xf>
    <xf numFmtId="0" fontId="49" fillId="0" borderId="1" xfId="10" applyFont="1" applyBorder="1" applyAlignment="1" applyProtection="1">
      <alignment horizontal="left" vertical="center" wrapText="1"/>
      <protection locked="0"/>
    </xf>
    <xf numFmtId="0" fontId="49" fillId="0" borderId="2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51" fillId="0" borderId="15" xfId="10" applyFont="1" applyBorder="1" applyAlignment="1" applyProtection="1">
      <alignment horizontal="center" vertical="center" wrapText="1"/>
      <protection locked="0"/>
    </xf>
    <xf numFmtId="0" fontId="68" fillId="0" borderId="15" xfId="10" applyFont="1" applyBorder="1" applyAlignment="1" applyProtection="1">
      <alignment horizontal="center" vertical="center" wrapText="1"/>
      <protection locked="0"/>
    </xf>
    <xf numFmtId="0" fontId="68" fillId="0" borderId="15" xfId="10" applyFont="1" applyBorder="1" applyAlignment="1" applyProtection="1">
      <alignment horizontal="left" vertical="center" wrapText="1"/>
      <protection locked="0"/>
    </xf>
    <xf numFmtId="0" fontId="68" fillId="0" borderId="53" xfId="10" applyFont="1" applyBorder="1" applyAlignment="1" applyProtection="1">
      <alignment horizontal="center" vertical="center" wrapText="1"/>
      <protection locked="0"/>
    </xf>
    <xf numFmtId="0" fontId="51" fillId="6" borderId="57" xfId="10" applyFont="1" applyFill="1" applyBorder="1" applyAlignment="1">
      <alignment horizontal="center" vertical="center" wrapText="1"/>
    </xf>
    <xf numFmtId="0" fontId="51" fillId="0" borderId="44" xfId="10" applyFont="1" applyBorder="1" applyAlignment="1" applyProtection="1">
      <alignment horizontal="left" vertical="center" wrapText="1"/>
      <protection locked="0"/>
    </xf>
    <xf numFmtId="0" fontId="51" fillId="0" borderId="45" xfId="10" applyFont="1" applyBorder="1" applyAlignment="1" applyProtection="1">
      <alignment horizontal="center" vertical="center" wrapText="1"/>
      <protection locked="0"/>
    </xf>
    <xf numFmtId="0" fontId="51" fillId="12" borderId="58" xfId="10" applyFont="1" applyFill="1" applyBorder="1" applyAlignment="1" applyProtection="1">
      <alignment horizontal="center" vertical="center" wrapText="1"/>
      <protection locked="0"/>
    </xf>
    <xf numFmtId="9" fontId="51" fillId="12" borderId="0" xfId="10" applyNumberFormat="1" applyFont="1" applyFill="1" applyAlignment="1" applyProtection="1">
      <alignment horizontal="center" vertical="center" wrapText="1"/>
      <protection locked="0"/>
    </xf>
    <xf numFmtId="188" fontId="51" fillId="0" borderId="0" xfId="10" applyNumberFormat="1" applyFont="1" applyAlignment="1" applyProtection="1">
      <alignment horizontal="center" vertical="center"/>
      <protection locked="0"/>
    </xf>
    <xf numFmtId="181" fontId="51" fillId="0" borderId="0" xfId="10" applyNumberFormat="1" applyFont="1" applyAlignment="1" applyProtection="1">
      <alignment horizontal="center" vertical="center"/>
      <protection locked="0"/>
    </xf>
    <xf numFmtId="0" fontId="51" fillId="0" borderId="58" xfId="10" applyFont="1" applyBorder="1" applyAlignment="1" applyProtection="1">
      <alignment horizontal="center" vertical="center"/>
      <protection locked="0"/>
    </xf>
    <xf numFmtId="0" fontId="62" fillId="6" borderId="85" xfId="10" applyFont="1" applyFill="1" applyBorder="1" applyAlignment="1">
      <alignment horizontal="right" vertical="center"/>
    </xf>
    <xf numFmtId="0" fontId="62" fillId="5" borderId="118" xfId="10" applyFont="1" applyFill="1" applyBorder="1" applyProtection="1">
      <alignment vertical="center"/>
      <protection locked="0"/>
    </xf>
    <xf numFmtId="0" fontId="62" fillId="6" borderId="89" xfId="10" applyFont="1" applyFill="1" applyBorder="1" applyAlignment="1" applyProtection="1">
      <alignment horizontal="center" vertical="center"/>
      <protection locked="0"/>
    </xf>
    <xf numFmtId="0" fontId="62" fillId="6" borderId="87" xfId="10" applyFont="1" applyFill="1" applyBorder="1" applyAlignment="1" applyProtection="1">
      <alignment horizontal="center" vertical="center"/>
      <protection locked="0"/>
    </xf>
    <xf numFmtId="0" fontId="63" fillId="6" borderId="87" xfId="10" applyFont="1" applyFill="1" applyBorder="1" applyAlignment="1" applyProtection="1">
      <alignment horizontal="center" vertical="center"/>
      <protection locked="0"/>
    </xf>
    <xf numFmtId="0" fontId="62" fillId="6" borderId="18" xfId="10" applyFont="1" applyFill="1" applyBorder="1" applyAlignment="1" applyProtection="1">
      <alignment horizontal="center" vertical="center"/>
      <protection locked="0"/>
    </xf>
    <xf numFmtId="0" fontId="62" fillId="6" borderId="0" xfId="10" applyFont="1" applyFill="1" applyAlignment="1" applyProtection="1">
      <alignment horizontal="center" vertical="center"/>
      <protection locked="0"/>
    </xf>
    <xf numFmtId="0" fontId="51" fillId="6" borderId="46" xfId="10" applyFont="1" applyFill="1" applyBorder="1" applyAlignment="1">
      <alignment horizontal="center" vertical="center" wrapText="1"/>
    </xf>
    <xf numFmtId="0" fontId="51" fillId="6" borderId="58" xfId="10" applyFont="1" applyFill="1" applyBorder="1" applyAlignment="1">
      <alignment horizontal="center" vertical="center" wrapText="1"/>
    </xf>
    <xf numFmtId="0" fontId="51" fillId="6" borderId="4" xfId="10" applyFont="1" applyFill="1" applyBorder="1" applyAlignment="1">
      <alignment horizontal="center" vertical="center" wrapText="1"/>
    </xf>
    <xf numFmtId="49" fontId="44" fillId="2" borderId="30" xfId="10" applyNumberFormat="1" applyFont="1" applyFill="1" applyBorder="1" applyAlignment="1" applyProtection="1">
      <alignment horizontal="center" vertical="center" wrapText="1"/>
      <protection locked="0"/>
    </xf>
    <xf numFmtId="0" fontId="44" fillId="6" borderId="29" xfId="10" applyFont="1" applyFill="1" applyBorder="1" applyAlignment="1">
      <alignment horizontal="center" vertical="center" wrapText="1"/>
    </xf>
    <xf numFmtId="49" fontId="51" fillId="6" borderId="40" xfId="10" applyNumberFormat="1" applyFont="1" applyFill="1" applyBorder="1" applyAlignment="1">
      <alignment horizontal="center" vertical="center" wrapText="1"/>
    </xf>
    <xf numFmtId="0" fontId="51" fillId="6" borderId="29" xfId="10" applyFont="1" applyFill="1" applyBorder="1" applyAlignment="1">
      <alignment horizontal="center" vertical="center" wrapText="1"/>
    </xf>
    <xf numFmtId="0" fontId="51" fillId="2" borderId="41" xfId="10" applyFont="1" applyFill="1" applyBorder="1" applyAlignment="1" applyProtection="1">
      <alignment horizontal="center" vertical="center" wrapText="1"/>
      <protection locked="0"/>
    </xf>
    <xf numFmtId="0" fontId="44" fillId="6" borderId="46" xfId="10" applyFont="1" applyFill="1" applyBorder="1" applyAlignment="1">
      <alignment horizontal="center" vertical="center" wrapText="1"/>
    </xf>
    <xf numFmtId="0" fontId="44" fillId="6" borderId="4" xfId="10" applyFont="1" applyFill="1" applyBorder="1" applyAlignment="1">
      <alignment horizontal="center" vertical="center" wrapText="1"/>
    </xf>
    <xf numFmtId="49" fontId="51" fillId="2" borderId="7" xfId="10" applyNumberFormat="1" applyFont="1" applyFill="1" applyBorder="1" applyAlignment="1" applyProtection="1">
      <alignment horizontal="center" vertical="center" wrapText="1"/>
      <protection locked="0"/>
    </xf>
    <xf numFmtId="0" fontId="44" fillId="6" borderId="58" xfId="10" applyFont="1" applyFill="1" applyBorder="1" applyAlignment="1">
      <alignment horizontal="center" vertical="center" wrapText="1"/>
    </xf>
    <xf numFmtId="0" fontId="51" fillId="2" borderId="14" xfId="10" applyFont="1" applyFill="1" applyBorder="1" applyAlignment="1" applyProtection="1">
      <alignment horizontal="center" vertical="center" wrapText="1"/>
      <protection locked="0"/>
    </xf>
    <xf numFmtId="49" fontId="51" fillId="6" borderId="11" xfId="10" applyNumberFormat="1" applyFont="1" applyFill="1" applyBorder="1" applyAlignment="1">
      <alignment horizontal="center" vertical="center" wrapText="1"/>
    </xf>
    <xf numFmtId="0" fontId="94" fillId="0" borderId="37" xfId="10" applyFont="1" applyBorder="1" applyAlignment="1" applyProtection="1">
      <alignment horizontal="center" vertical="center" wrapText="1"/>
      <protection locked="0"/>
    </xf>
    <xf numFmtId="49" fontId="51" fillId="2" borderId="23" xfId="10" applyNumberFormat="1" applyFont="1" applyFill="1" applyBorder="1" applyAlignment="1" applyProtection="1">
      <alignment horizontal="center" vertical="center" wrapText="1"/>
      <protection locked="0"/>
    </xf>
    <xf numFmtId="17" fontId="49" fillId="0" borderId="37" xfId="10" applyNumberFormat="1" applyFont="1" applyBorder="1" applyAlignment="1" applyProtection="1">
      <alignment horizontal="center" vertical="center" wrapText="1"/>
      <protection locked="0"/>
    </xf>
    <xf numFmtId="0" fontId="49" fillId="0" borderId="37" xfId="10" applyFont="1" applyBorder="1" applyAlignment="1" applyProtection="1">
      <alignment horizontal="center" vertical="center" wrapText="1"/>
      <protection locked="0"/>
    </xf>
    <xf numFmtId="0" fontId="51" fillId="12" borderId="18" xfId="10" applyFont="1" applyFill="1" applyBorder="1" applyAlignment="1" applyProtection="1">
      <alignment horizontal="center" vertical="center"/>
      <protection locked="0"/>
    </xf>
    <xf numFmtId="0" fontId="68" fillId="12" borderId="18" xfId="10" applyFont="1" applyFill="1" applyBorder="1" applyAlignment="1" applyProtection="1">
      <alignment horizontal="center" vertical="center"/>
      <protection locked="0"/>
    </xf>
    <xf numFmtId="0" fontId="51" fillId="12" borderId="18" xfId="10" applyFont="1" applyFill="1" applyBorder="1" applyAlignment="1" applyProtection="1">
      <protection locked="0"/>
    </xf>
    <xf numFmtId="49" fontId="44" fillId="12" borderId="18" xfId="10" applyNumberFormat="1" applyFont="1" applyFill="1" applyBorder="1" applyAlignment="1" applyProtection="1">
      <alignment horizontal="center" vertical="center"/>
      <protection locked="0"/>
    </xf>
    <xf numFmtId="9" fontId="44" fillId="12" borderId="18" xfId="10" applyNumberFormat="1" applyFont="1" applyFill="1" applyBorder="1" applyAlignment="1" applyProtection="1">
      <alignment horizontal="center" vertical="center" wrapText="1"/>
      <protection locked="0"/>
    </xf>
    <xf numFmtId="0" fontId="98" fillId="12" borderId="18" xfId="10" applyFont="1" applyFill="1" applyBorder="1" applyProtection="1">
      <alignment vertical="center"/>
      <protection locked="0"/>
    </xf>
    <xf numFmtId="0" fontId="44" fillId="12" borderId="18" xfId="10" applyFont="1" applyFill="1" applyBorder="1" applyAlignment="1" applyProtection="1">
      <alignment horizontal="center" vertical="center" wrapText="1"/>
      <protection locked="0"/>
    </xf>
    <xf numFmtId="0" fontId="49" fillId="12" borderId="18" xfId="10" applyFont="1" applyFill="1" applyBorder="1" applyAlignment="1" applyProtection="1">
      <alignment horizontal="center" vertical="center" wrapText="1"/>
      <protection locked="0"/>
    </xf>
    <xf numFmtId="0" fontId="49" fillId="12" borderId="18" xfId="10" applyFont="1" applyFill="1" applyBorder="1" applyAlignment="1" applyProtection="1">
      <alignment horizontal="center" vertical="center"/>
      <protection locked="0"/>
    </xf>
    <xf numFmtId="0" fontId="49" fillId="12" borderId="18" xfId="10" applyFont="1" applyFill="1" applyBorder="1" applyAlignment="1" applyProtection="1">
      <alignment vertical="center" wrapText="1"/>
      <protection locked="0"/>
    </xf>
    <xf numFmtId="0" fontId="44" fillId="12" borderId="18" xfId="10" applyFont="1" applyFill="1" applyBorder="1" applyAlignment="1" applyProtection="1">
      <alignment vertical="center" wrapText="1"/>
      <protection locked="0"/>
    </xf>
    <xf numFmtId="0" fontId="128" fillId="0" borderId="83" xfId="10" applyFont="1" applyBorder="1" applyAlignment="1" applyProtection="1">
      <alignment horizontal="center" vertical="center"/>
      <protection locked="0"/>
    </xf>
    <xf numFmtId="0" fontId="94" fillId="0" borderId="9" xfId="10" applyFont="1" applyBorder="1" applyAlignment="1" applyProtection="1">
      <alignment horizontal="center" vertical="center" wrapText="1"/>
      <protection locked="0"/>
    </xf>
    <xf numFmtId="0" fontId="9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51" fillId="0" borderId="18" xfId="10" applyFont="1" applyBorder="1" applyAlignment="1" applyProtection="1">
      <alignment horizontal="center" vertical="center"/>
      <protection locked="0"/>
    </xf>
    <xf numFmtId="0" fontId="128" fillId="0" borderId="5" xfId="10" applyFont="1" applyBorder="1" applyAlignment="1" applyProtection="1">
      <alignment horizontal="center" vertical="center" wrapText="1"/>
      <protection locked="0"/>
    </xf>
    <xf numFmtId="0" fontId="128" fillId="0" borderId="41" xfId="10" applyFont="1" applyBorder="1" applyAlignment="1" applyProtection="1">
      <alignment horizontal="center" vertical="center" wrapText="1"/>
      <protection locked="0"/>
    </xf>
    <xf numFmtId="0" fontId="94" fillId="0" borderId="54" xfId="10" applyFont="1" applyBorder="1" applyAlignment="1" applyProtection="1">
      <alignment horizontal="center" vertical="center" wrapText="1"/>
      <protection locked="0"/>
    </xf>
    <xf numFmtId="0" fontId="0" fillId="24" borderId="0" xfId="0" applyFill="1">
      <alignment vertical="center"/>
    </xf>
    <xf numFmtId="0" fontId="0" fillId="5" borderId="0" xfId="0" applyFill="1">
      <alignment vertical="center"/>
    </xf>
    <xf numFmtId="2" fontId="53" fillId="0" borderId="1" xfId="22" applyNumberFormat="1" applyFont="1" applyBorder="1" applyAlignment="1">
      <alignment horizontal="center" vertical="center" wrapText="1"/>
    </xf>
    <xf numFmtId="181" fontId="294" fillId="12" borderId="0" xfId="10" applyNumberFormat="1" applyFont="1" applyFill="1" applyAlignment="1" applyProtection="1">
      <alignment horizontal="center" vertical="center" wrapText="1"/>
      <protection locked="0"/>
    </xf>
    <xf numFmtId="0" fontId="128" fillId="0" borderId="2" xfId="1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62" xfId="10" applyFont="1" applyFill="1" applyBorder="1" applyAlignment="1">
      <alignment horizontal="center" vertical="center"/>
    </xf>
    <xf numFmtId="0" fontId="51" fillId="6" borderId="53" xfId="10" applyFont="1" applyFill="1" applyBorder="1" applyAlignment="1">
      <alignment horizontal="center" vertical="center"/>
    </xf>
    <xf numFmtId="0" fontId="51" fillId="6" borderId="8" xfId="10" applyFont="1" applyFill="1" applyBorder="1" applyAlignment="1">
      <alignment horizontal="center" vertical="center"/>
    </xf>
    <xf numFmtId="0" fontId="51" fillId="6" borderId="6" xfId="10" applyFont="1" applyFill="1" applyBorder="1" applyAlignment="1">
      <alignment horizontal="center" vertical="center" wrapText="1"/>
    </xf>
    <xf numFmtId="0" fontId="51" fillId="6" borderId="10" xfId="10" applyFont="1" applyFill="1" applyBorder="1" applyAlignment="1">
      <alignment horizontal="center" vertical="center" wrapText="1"/>
    </xf>
    <xf numFmtId="0" fontId="51" fillId="6" borderId="30" xfId="10" applyFont="1" applyFill="1" applyBorder="1" applyAlignment="1">
      <alignment horizontal="center" vertical="center" wrapText="1"/>
    </xf>
    <xf numFmtId="0" fontId="51" fillId="6" borderId="28" xfId="10" applyFont="1" applyFill="1" applyBorder="1" applyAlignment="1">
      <alignment horizontal="center" vertical="center" wrapText="1"/>
    </xf>
    <xf numFmtId="0" fontId="51" fillId="6" borderId="16" xfId="10" applyFont="1" applyFill="1" applyBorder="1" applyAlignment="1">
      <alignment horizontal="center" vertical="center" wrapText="1"/>
    </xf>
    <xf numFmtId="0" fontId="51" fillId="6" borderId="39" xfId="10" applyFont="1" applyFill="1" applyBorder="1" applyAlignment="1">
      <alignment horizontal="center" vertical="center" wrapText="1"/>
    </xf>
    <xf numFmtId="0" fontId="51" fillId="6" borderId="18" xfId="10" applyFont="1" applyFill="1" applyBorder="1" applyAlignment="1">
      <alignment horizontal="center" vertical="center" wrapText="1"/>
    </xf>
    <xf numFmtId="0" fontId="51" fillId="6" borderId="35" xfId="10" applyFont="1" applyFill="1" applyBorder="1" applyAlignment="1">
      <alignment horizontal="center" vertical="center" wrapText="1"/>
    </xf>
    <xf numFmtId="0" fontId="51" fillId="6" borderId="69" xfId="10" applyFont="1" applyFill="1" applyBorder="1" applyAlignment="1">
      <alignment horizontal="center" vertical="center" wrapText="1"/>
    </xf>
    <xf numFmtId="0" fontId="51" fillId="6" borderId="7" xfId="10" applyFont="1" applyFill="1" applyBorder="1" applyAlignment="1">
      <alignment horizontal="center" vertical="center" wrapText="1"/>
    </xf>
    <xf numFmtId="0" fontId="51" fillId="6" borderId="29" xfId="10" applyFont="1" applyFill="1" applyBorder="1" applyAlignment="1">
      <alignment horizontal="center" vertical="center"/>
    </xf>
    <xf numFmtId="0" fontId="51" fillId="6" borderId="39" xfId="10" applyFont="1" applyFill="1" applyBorder="1" applyAlignment="1">
      <alignment horizontal="center" vertical="center"/>
    </xf>
    <xf numFmtId="0" fontId="51" fillId="6" borderId="58" xfId="10" applyFont="1" applyFill="1" applyBorder="1" applyAlignment="1">
      <alignment horizontal="center" vertical="center"/>
    </xf>
    <xf numFmtId="0" fontId="51" fillId="6" borderId="35" xfId="10" applyFont="1" applyFill="1" applyBorder="1" applyAlignment="1">
      <alignment horizontal="center" vertical="center"/>
    </xf>
    <xf numFmtId="0" fontId="208" fillId="0" borderId="23" xfId="10" applyFont="1" applyBorder="1" applyAlignment="1" applyProtection="1">
      <alignment horizontal="center" vertical="center" wrapText="1"/>
      <protection locked="0"/>
    </xf>
    <xf numFmtId="0" fontId="166" fillId="0" borderId="24" xfId="10" applyFont="1" applyBorder="1" applyAlignment="1" applyProtection="1">
      <alignment horizontal="center" vertical="center" wrapText="1"/>
      <protection locked="0"/>
    </xf>
    <xf numFmtId="0" fontId="166" fillId="0" borderId="3" xfId="10" applyFont="1" applyBorder="1" applyAlignment="1" applyProtection="1">
      <alignment horizontal="center" vertical="center" wrapText="1"/>
      <protection locked="0"/>
    </xf>
    <xf numFmtId="0" fontId="166" fillId="0" borderId="5" xfId="10" applyFont="1" applyBorder="1" applyAlignment="1" applyProtection="1">
      <alignment horizontal="center" vertical="center" wrapText="1"/>
      <protection locked="0"/>
    </xf>
    <xf numFmtId="0" fontId="166" fillId="0" borderId="11" xfId="10" applyFont="1" applyBorder="1" applyAlignment="1" applyProtection="1">
      <alignment horizontal="center" vertical="center" wrapText="1"/>
      <protection locked="0"/>
    </xf>
    <xf numFmtId="0" fontId="166" fillId="0" borderId="61" xfId="10" applyFont="1" applyBorder="1" applyAlignment="1" applyProtection="1">
      <alignment horizontal="center" vertical="center" wrapText="1"/>
      <protection locked="0"/>
    </xf>
    <xf numFmtId="0" fontId="166" fillId="0" borderId="22" xfId="10" applyFont="1" applyBorder="1" applyAlignment="1" applyProtection="1">
      <alignment horizontal="center" vertical="center" wrapText="1"/>
      <protection locked="0"/>
    </xf>
    <xf numFmtId="0" fontId="166" fillId="0" borderId="46" xfId="10" applyFont="1" applyBorder="1" applyAlignment="1" applyProtection="1">
      <alignment horizontal="center" vertical="center" wrapText="1"/>
      <protection locked="0"/>
    </xf>
    <xf numFmtId="0" fontId="51" fillId="6" borderId="4" xfId="10" applyFont="1" applyFill="1" applyBorder="1" applyAlignment="1">
      <alignment horizontal="center" vertical="center"/>
    </xf>
    <xf numFmtId="0" fontId="51" fillId="6" borderId="7" xfId="10" applyFont="1" applyFill="1" applyBorder="1" applyAlignment="1">
      <alignment horizontal="center" vertical="center"/>
    </xf>
    <xf numFmtId="0" fontId="51" fillId="6" borderId="9" xfId="10" applyFont="1" applyFill="1" applyBorder="1" applyAlignment="1">
      <alignment horizontal="center" vertical="center"/>
    </xf>
    <xf numFmtId="0" fontId="51" fillId="6" borderId="1" xfId="10" applyFont="1" applyFill="1" applyBorder="1" applyAlignment="1">
      <alignment horizontal="center" vertical="center"/>
    </xf>
    <xf numFmtId="0" fontId="51" fillId="6" borderId="17" xfId="10" applyFont="1" applyFill="1" applyBorder="1" applyAlignment="1">
      <alignment horizontal="center" vertical="center"/>
    </xf>
    <xf numFmtId="0" fontId="51" fillId="6" borderId="15" xfId="10" applyFont="1" applyFill="1" applyBorder="1" applyAlignment="1">
      <alignment horizontal="center" vertical="center"/>
    </xf>
    <xf numFmtId="0" fontId="51" fillId="6" borderId="2" xfId="10" applyFont="1" applyFill="1" applyBorder="1" applyAlignment="1">
      <alignment horizontal="center" vertical="center"/>
    </xf>
    <xf numFmtId="0" fontId="44" fillId="6" borderId="37" xfId="10" applyFont="1" applyFill="1" applyBorder="1" applyAlignment="1">
      <alignment horizontal="center" vertical="center"/>
    </xf>
    <xf numFmtId="0" fontId="44" fillId="6" borderId="54" xfId="10" applyFont="1" applyFill="1" applyBorder="1" applyAlignment="1">
      <alignment horizontal="center" vertical="center"/>
    </xf>
    <xf numFmtId="0" fontId="44" fillId="6" borderId="3" xfId="10" applyFont="1" applyFill="1" applyBorder="1" applyAlignment="1">
      <alignment horizontal="center" vertical="center"/>
    </xf>
    <xf numFmtId="0" fontId="44" fillId="6" borderId="5" xfId="10" applyFont="1" applyFill="1" applyBorder="1" applyAlignment="1">
      <alignment horizontal="center" vertical="center"/>
    </xf>
    <xf numFmtId="0" fontId="51" fillId="6" borderId="23" xfId="10" applyFont="1" applyFill="1" applyBorder="1" applyAlignment="1">
      <alignment horizontal="center" vertical="center" wrapText="1"/>
    </xf>
    <xf numFmtId="0" fontId="44" fillId="6" borderId="1" xfId="10" applyFont="1" applyFill="1" applyBorder="1" applyAlignment="1">
      <alignment horizontal="center" vertical="center" wrapText="1"/>
    </xf>
    <xf numFmtId="0" fontId="51" fillId="6" borderId="11" xfId="10" applyFont="1" applyFill="1" applyBorder="1" applyAlignment="1">
      <alignment horizontal="center" vertical="center" wrapText="1"/>
    </xf>
    <xf numFmtId="0" fontId="51" fillId="6" borderId="14" xfId="10" applyFont="1" applyFill="1" applyBorder="1" applyAlignment="1">
      <alignment horizontal="center" vertical="center" wrapText="1"/>
    </xf>
    <xf numFmtId="0" fontId="51" fillId="6" borderId="13" xfId="10" applyFont="1" applyFill="1" applyBorder="1" applyAlignment="1">
      <alignment horizontal="center" vertical="center" wrapText="1"/>
    </xf>
    <xf numFmtId="0" fontId="51" fillId="6" borderId="15" xfId="10" applyFont="1" applyFill="1" applyBorder="1" applyAlignment="1">
      <alignment horizontal="center" vertical="center" wrapText="1"/>
    </xf>
    <xf numFmtId="0" fontId="51" fillId="6" borderId="11" xfId="10" applyFont="1" applyFill="1" applyBorder="1" applyAlignment="1">
      <alignment horizontal="center" vertical="center" textRotation="255" wrapText="1"/>
    </xf>
    <xf numFmtId="0" fontId="51" fillId="6" borderId="14" xfId="10" applyFont="1" applyFill="1" applyBorder="1" applyAlignment="1">
      <alignment horizontal="center" vertical="center" textRotation="255" wrapText="1"/>
    </xf>
    <xf numFmtId="0" fontId="51" fillId="6" borderId="41" xfId="10" applyFont="1" applyFill="1" applyBorder="1" applyAlignment="1">
      <alignment horizontal="center" vertical="center" textRotation="255" wrapText="1"/>
    </xf>
    <xf numFmtId="0" fontId="51" fillId="6" borderId="15" xfId="10" applyFont="1" applyFill="1" applyBorder="1" applyAlignment="1">
      <alignment horizontal="center" vertical="center" textRotation="255" wrapText="1"/>
    </xf>
    <xf numFmtId="0" fontId="51" fillId="6" borderId="2" xfId="10" applyFont="1" applyFill="1" applyBorder="1" applyAlignment="1">
      <alignment horizontal="center" vertical="center" textRotation="255" wrapText="1"/>
    </xf>
    <xf numFmtId="0" fontId="51" fillId="6" borderId="1" xfId="10" applyFont="1" applyFill="1" applyBorder="1" applyAlignment="1">
      <alignment horizontal="center" vertical="center" wrapText="1"/>
    </xf>
    <xf numFmtId="0" fontId="51" fillId="6" borderId="38" xfId="10" applyFont="1" applyFill="1" applyBorder="1" applyAlignment="1">
      <alignment horizontal="center" vertical="center" wrapText="1"/>
    </xf>
    <xf numFmtId="0" fontId="51" fillId="6" borderId="66" xfId="10" applyFont="1" applyFill="1" applyBorder="1" applyAlignment="1">
      <alignment horizontal="center" vertical="center" wrapText="1"/>
    </xf>
    <xf numFmtId="0" fontId="50" fillId="6" borderId="32" xfId="10" applyFont="1" applyFill="1" applyBorder="1" applyAlignment="1">
      <alignment horizontal="center" vertical="center"/>
    </xf>
    <xf numFmtId="0" fontId="51" fillId="6" borderId="13" xfId="10" applyFont="1" applyFill="1" applyBorder="1" applyAlignment="1">
      <alignment horizontal="center" vertical="center"/>
    </xf>
    <xf numFmtId="0" fontId="51" fillId="6" borderId="46" xfId="10" applyFont="1" applyFill="1" applyBorder="1" applyAlignment="1">
      <alignment horizontal="center" vertical="center" wrapText="1"/>
    </xf>
    <xf numFmtId="0" fontId="51" fillId="6" borderId="22" xfId="10" applyFont="1" applyFill="1" applyBorder="1" applyAlignment="1">
      <alignment horizontal="center" vertical="center" wrapText="1"/>
    </xf>
    <xf numFmtId="0" fontId="51" fillId="6" borderId="58" xfId="10" applyFont="1" applyFill="1" applyBorder="1" applyAlignment="1">
      <alignment horizontal="center" vertical="center" wrapText="1"/>
    </xf>
    <xf numFmtId="0" fontId="51" fillId="6" borderId="4" xfId="10" applyFont="1" applyFill="1" applyBorder="1" applyAlignment="1">
      <alignment horizontal="center" vertical="center" wrapText="1"/>
    </xf>
    <xf numFmtId="0" fontId="51" fillId="6" borderId="46" xfId="10" applyFont="1" applyFill="1" applyBorder="1" applyAlignment="1">
      <alignment horizontal="center" vertical="center"/>
    </xf>
    <xf numFmtId="0" fontId="51" fillId="6" borderId="22" xfId="10" applyFont="1" applyFill="1" applyBorder="1" applyAlignment="1">
      <alignment horizontal="center" vertical="center"/>
    </xf>
    <xf numFmtId="0" fontId="166" fillId="0" borderId="23" xfId="10" applyFont="1" applyBorder="1" applyAlignment="1" applyProtection="1">
      <alignment horizontal="center" vertical="center" wrapText="1"/>
      <protection locked="0"/>
    </xf>
    <xf numFmtId="0" fontId="208" fillId="0" borderId="3" xfId="10" applyFont="1" applyBorder="1" applyAlignment="1" applyProtection="1">
      <alignment horizontal="center" vertical="center" wrapText="1"/>
      <protection locked="0"/>
    </xf>
    <xf numFmtId="0" fontId="51" fillId="6" borderId="5" xfId="10" applyFont="1" applyFill="1" applyBorder="1" applyAlignment="1">
      <alignment horizontal="center" vertical="center" wrapText="1"/>
    </xf>
    <xf numFmtId="0" fontId="51" fillId="6" borderId="3" xfId="10" applyFont="1" applyFill="1" applyBorder="1" applyAlignment="1">
      <alignment horizontal="center" vertical="center" wrapText="1"/>
    </xf>
    <xf numFmtId="0" fontId="50" fillId="18" borderId="1" xfId="10" applyFont="1" applyFill="1" applyBorder="1" applyAlignment="1">
      <alignment horizontal="center" vertical="center"/>
    </xf>
    <xf numFmtId="0" fontId="270" fillId="0" borderId="0" xfId="19" applyFont="1" applyAlignment="1">
      <alignment horizontal="center" vertical="center" wrapText="1"/>
    </xf>
    <xf numFmtId="0" fontId="128" fillId="0" borderId="0" xfId="19" applyAlignment="1">
      <alignment horizontal="center" vertical="center" wrapText="1"/>
    </xf>
    <xf numFmtId="0" fontId="270" fillId="0" borderId="5" xfId="19" applyFont="1" applyBorder="1">
      <alignment vertical="center"/>
    </xf>
    <xf numFmtId="0" fontId="270" fillId="0" borderId="3" xfId="19" applyFont="1" applyBorder="1">
      <alignment vertical="center"/>
    </xf>
    <xf numFmtId="0" fontId="270" fillId="0" borderId="0" xfId="19" applyFont="1">
      <alignment vertical="center"/>
    </xf>
    <xf numFmtId="0" fontId="265" fillId="0" borderId="177" xfId="0" applyFont="1" applyBorder="1" applyAlignment="1">
      <alignment horizontal="center" vertical="center" wrapText="1"/>
    </xf>
    <xf numFmtId="0" fontId="265" fillId="0" borderId="179" xfId="0" applyFont="1" applyBorder="1" applyAlignment="1">
      <alignment horizontal="center" vertical="center" wrapText="1"/>
    </xf>
    <xf numFmtId="0" fontId="265" fillId="0" borderId="180" xfId="0" applyFont="1" applyBorder="1" applyAlignment="1">
      <alignment horizontal="center" vertical="center" wrapText="1"/>
    </xf>
    <xf numFmtId="0" fontId="265" fillId="0" borderId="182" xfId="0" applyFont="1" applyBorder="1" applyAlignment="1">
      <alignment horizontal="center" vertical="center" wrapText="1"/>
    </xf>
    <xf numFmtId="0" fontId="265" fillId="0" borderId="183" xfId="0" applyFont="1" applyBorder="1" applyAlignment="1">
      <alignment horizontal="center" vertical="center" wrapText="1"/>
    </xf>
    <xf numFmtId="0" fontId="265" fillId="0" borderId="184" xfId="0" applyFont="1" applyBorder="1" applyAlignment="1">
      <alignment horizontal="center" vertical="center" wrapText="1"/>
    </xf>
    <xf numFmtId="0" fontId="265" fillId="0" borderId="185" xfId="0" applyFont="1" applyBorder="1" applyAlignment="1">
      <alignment horizontal="center" vertical="center" wrapText="1"/>
    </xf>
    <xf numFmtId="0" fontId="282" fillId="23" borderId="22" xfId="22" applyFont="1" applyFill="1" applyBorder="1" applyAlignment="1" applyProtection="1">
      <alignment horizontal="center" vertical="center" wrapText="1"/>
      <protection locked="0"/>
    </xf>
    <xf numFmtId="0" fontId="285" fillId="23" borderId="7" xfId="22" applyFont="1" applyFill="1" applyBorder="1" applyAlignment="1" applyProtection="1">
      <alignment horizontal="center" vertical="center" wrapText="1"/>
      <protection locked="0"/>
    </xf>
    <xf numFmtId="0" fontId="283" fillId="23" borderId="22" xfId="22" applyFont="1" applyFill="1" applyBorder="1" applyAlignment="1" applyProtection="1">
      <alignment horizontal="center" vertical="center" wrapText="1"/>
      <protection locked="0"/>
    </xf>
    <xf numFmtId="0" fontId="286" fillId="23" borderId="7" xfId="22" applyFont="1" applyFill="1" applyBorder="1" applyAlignment="1" applyProtection="1">
      <alignment horizontal="center" vertical="center" wrapText="1"/>
      <protection locked="0"/>
    </xf>
    <xf numFmtId="0" fontId="52" fillId="23" borderId="46" xfId="22" applyFont="1" applyFill="1" applyBorder="1" applyAlignment="1" applyProtection="1">
      <alignment horizontal="center" vertical="center" wrapText="1"/>
      <protection locked="0"/>
    </xf>
    <xf numFmtId="0" fontId="52" fillId="23" borderId="36" xfId="22" applyFont="1" applyFill="1" applyBorder="1" applyAlignment="1" applyProtection="1">
      <alignment horizontal="center" vertical="center" wrapText="1"/>
      <protection locked="0"/>
    </xf>
    <xf numFmtId="0" fontId="52" fillId="23" borderId="22" xfId="22" applyFont="1" applyFill="1" applyBorder="1" applyAlignment="1" applyProtection="1">
      <alignment horizontal="center" vertical="center" wrapText="1"/>
      <protection locked="0"/>
    </xf>
    <xf numFmtId="0" fontId="47" fillId="0" borderId="13" xfId="22" applyFont="1" applyBorder="1" applyAlignment="1">
      <alignment horizontal="center" vertical="center" wrapText="1"/>
    </xf>
    <xf numFmtId="0" fontId="47" fillId="0" borderId="2" xfId="22" applyFont="1" applyBorder="1" applyAlignment="1">
      <alignment horizontal="center" vertical="center" wrapText="1"/>
    </xf>
    <xf numFmtId="191" fontId="47" fillId="0" borderId="5" xfId="22" applyNumberFormat="1" applyFont="1" applyBorder="1" applyAlignment="1">
      <alignment horizontal="center" vertical="center" wrapText="1"/>
    </xf>
    <xf numFmtId="191" fontId="47" fillId="0" borderId="3" xfId="22" applyNumberFormat="1" applyFont="1" applyBorder="1" applyAlignment="1">
      <alignment horizontal="center" vertical="center" wrapText="1"/>
    </xf>
    <xf numFmtId="0" fontId="52" fillId="23" borderId="1" xfId="22" applyFont="1" applyFill="1" applyBorder="1" applyAlignment="1" applyProtection="1">
      <alignment horizontal="center" vertical="center" wrapText="1"/>
      <protection locked="0"/>
    </xf>
    <xf numFmtId="0" fontId="52" fillId="23" borderId="28" xfId="22" applyFont="1" applyFill="1" applyBorder="1" applyAlignment="1" applyProtection="1">
      <alignment horizontal="center" vertical="center" wrapText="1"/>
      <protection locked="0"/>
    </xf>
    <xf numFmtId="0" fontId="52" fillId="23" borderId="20" xfId="22" applyFont="1" applyFill="1" applyBorder="1" applyAlignment="1" applyProtection="1">
      <alignment horizontal="center" vertical="center" wrapText="1"/>
      <protection locked="0"/>
    </xf>
    <xf numFmtId="0" fontId="52" fillId="23" borderId="30" xfId="22" applyFont="1" applyFill="1" applyBorder="1" applyAlignment="1" applyProtection="1">
      <alignment horizontal="center" vertical="center" wrapText="1"/>
      <protection locked="0"/>
    </xf>
    <xf numFmtId="0" fontId="52" fillId="23" borderId="9" xfId="22" applyFont="1" applyFill="1" applyBorder="1" applyAlignment="1" applyProtection="1">
      <alignment horizontal="center" vertical="center" wrapText="1"/>
      <protection locked="0"/>
    </xf>
    <xf numFmtId="0" fontId="80" fillId="0" borderId="1" xfId="22" applyFont="1" applyBorder="1" applyAlignment="1">
      <alignment horizontal="center" vertical="center" wrapText="1"/>
    </xf>
    <xf numFmtId="183" fontId="47" fillId="0" borderId="13" xfId="22" applyNumberFormat="1" applyFont="1" applyBorder="1" applyAlignment="1">
      <alignment horizontal="center" vertical="center" wrapText="1"/>
    </xf>
    <xf numFmtId="183" fontId="47" fillId="0" borderId="2" xfId="22" applyNumberFormat="1" applyFont="1" applyBorder="1" applyAlignment="1">
      <alignment horizontal="center" vertical="center" wrapText="1"/>
    </xf>
    <xf numFmtId="183" fontId="47" fillId="0" borderId="46" xfId="22" applyNumberFormat="1" applyFont="1" applyBorder="1" applyAlignment="1">
      <alignment horizontal="center" vertical="center" wrapText="1"/>
    </xf>
    <xf numFmtId="183" fontId="47" fillId="0" borderId="22" xfId="22" applyNumberFormat="1" applyFont="1" applyBorder="1" applyAlignment="1">
      <alignment horizontal="center" vertical="center" wrapText="1"/>
    </xf>
    <xf numFmtId="183" fontId="47" fillId="0" borderId="4" xfId="22" applyNumberFormat="1" applyFont="1" applyBorder="1" applyAlignment="1">
      <alignment horizontal="center" vertical="center" wrapText="1"/>
    </xf>
    <xf numFmtId="183" fontId="47" fillId="0" borderId="7" xfId="22" applyNumberFormat="1" applyFont="1" applyBorder="1" applyAlignment="1">
      <alignment horizontal="center" vertical="center" wrapText="1"/>
    </xf>
    <xf numFmtId="183" fontId="47" fillId="0" borderId="5" xfId="22" applyNumberFormat="1" applyFont="1" applyBorder="1" applyAlignment="1">
      <alignment horizontal="center" vertical="center" wrapText="1"/>
    </xf>
    <xf numFmtId="183" fontId="47" fillId="0" borderId="3" xfId="22" applyNumberFormat="1" applyFont="1" applyBorder="1" applyAlignment="1">
      <alignment horizontal="center" vertical="center" wrapText="1"/>
    </xf>
    <xf numFmtId="0" fontId="289" fillId="0" borderId="1" xfId="22" applyFont="1" applyBorder="1" applyAlignment="1">
      <alignment horizontal="center" vertical="center" wrapText="1"/>
    </xf>
    <xf numFmtId="191" fontId="77" fillId="0" borderId="5" xfId="22" applyNumberFormat="1" applyFont="1" applyBorder="1" applyAlignment="1">
      <alignment horizontal="center" vertical="center" wrapText="1"/>
    </xf>
    <xf numFmtId="191" fontId="77" fillId="0" borderId="3" xfId="22" applyNumberFormat="1" applyFont="1" applyBorder="1" applyAlignment="1">
      <alignment horizontal="center" vertical="center" wrapText="1"/>
    </xf>
    <xf numFmtId="0" fontId="47" fillId="0" borderId="15" xfId="22" applyFont="1" applyBorder="1" applyAlignment="1">
      <alignment horizontal="center" vertical="center" wrapText="1"/>
    </xf>
    <xf numFmtId="183" fontId="47" fillId="0" borderId="15" xfId="22" applyNumberFormat="1" applyFont="1" applyBorder="1" applyAlignment="1">
      <alignment horizontal="center" vertical="center" wrapText="1"/>
    </xf>
    <xf numFmtId="191" fontId="77" fillId="0" borderId="46" xfId="22" applyNumberFormat="1" applyFont="1" applyBorder="1" applyAlignment="1">
      <alignment horizontal="center" vertical="center" wrapText="1"/>
    </xf>
    <xf numFmtId="191" fontId="47" fillId="0" borderId="22" xfId="22" applyNumberFormat="1" applyFont="1" applyBorder="1" applyAlignment="1">
      <alignment horizontal="center" vertical="center" wrapText="1"/>
    </xf>
    <xf numFmtId="191" fontId="47" fillId="0" borderId="58" xfId="22" applyNumberFormat="1" applyFont="1" applyBorder="1" applyAlignment="1">
      <alignment horizontal="center" vertical="center" wrapText="1"/>
    </xf>
    <xf numFmtId="191" fontId="47" fillId="0" borderId="35" xfId="22" applyNumberFormat="1" applyFont="1" applyBorder="1" applyAlignment="1">
      <alignment horizontal="center" vertical="center" wrapText="1"/>
    </xf>
    <xf numFmtId="191" fontId="47" fillId="0" borderId="4" xfId="22" applyNumberFormat="1" applyFont="1" applyBorder="1" applyAlignment="1">
      <alignment horizontal="center" vertical="center" wrapText="1"/>
    </xf>
    <xf numFmtId="191" fontId="47" fillId="0" borderId="7" xfId="22" applyNumberFormat="1" applyFont="1" applyBorder="1" applyAlignment="1">
      <alignment horizontal="center" vertical="center" wrapText="1"/>
    </xf>
    <xf numFmtId="183" fontId="53" fillId="0" borderId="13" xfId="22" applyNumberFormat="1" applyFont="1" applyBorder="1" applyAlignment="1">
      <alignment horizontal="center" vertical="center" wrapText="1"/>
    </xf>
    <xf numFmtId="183" fontId="53" fillId="0" borderId="15" xfId="22" applyNumberFormat="1" applyFont="1" applyBorder="1" applyAlignment="1">
      <alignment horizontal="center" vertical="center" wrapText="1"/>
    </xf>
    <xf numFmtId="183" fontId="53" fillId="0" borderId="2" xfId="22" applyNumberFormat="1" applyFont="1" applyBorder="1" applyAlignment="1">
      <alignment horizontal="center" vertical="center" wrapText="1"/>
    </xf>
    <xf numFmtId="0" fontId="53" fillId="0" borderId="13" xfId="22" applyFont="1" applyBorder="1" applyAlignment="1">
      <alignment horizontal="center" vertical="center" wrapText="1"/>
    </xf>
    <xf numFmtId="0" fontId="53" fillId="0" borderId="15" xfId="22" applyFont="1" applyBorder="1" applyAlignment="1">
      <alignment horizontal="center" vertical="center" wrapText="1"/>
    </xf>
    <xf numFmtId="0" fontId="53" fillId="0" borderId="2" xfId="22" applyFont="1" applyBorder="1" applyAlignment="1">
      <alignment horizontal="center" vertical="center" wrapText="1"/>
    </xf>
    <xf numFmtId="191" fontId="53" fillId="0" borderId="46" xfId="22" applyNumberFormat="1" applyFont="1" applyBorder="1" applyAlignment="1">
      <alignment horizontal="center" vertical="center" wrapText="1"/>
    </xf>
    <xf numFmtId="191" fontId="53" fillId="0" borderId="22" xfId="22" applyNumberFormat="1" applyFont="1" applyBorder="1" applyAlignment="1">
      <alignment horizontal="center" vertical="center" wrapText="1"/>
    </xf>
    <xf numFmtId="191" fontId="53" fillId="0" borderId="58" xfId="22" applyNumberFormat="1" applyFont="1" applyBorder="1" applyAlignment="1">
      <alignment horizontal="center" vertical="center" wrapText="1"/>
    </xf>
    <xf numFmtId="191" fontId="53" fillId="0" borderId="35" xfId="22" applyNumberFormat="1" applyFont="1" applyBorder="1" applyAlignment="1">
      <alignment horizontal="center" vertical="center" wrapText="1"/>
    </xf>
    <xf numFmtId="191" fontId="53" fillId="0" borderId="4" xfId="22" applyNumberFormat="1" applyFont="1" applyBorder="1" applyAlignment="1">
      <alignment horizontal="center" vertical="center" wrapText="1"/>
    </xf>
    <xf numFmtId="191" fontId="53" fillId="0" borderId="7" xfId="22" applyNumberFormat="1" applyFont="1" applyBorder="1" applyAlignment="1">
      <alignment horizontal="center" vertical="center" wrapText="1"/>
    </xf>
    <xf numFmtId="0" fontId="47" fillId="0" borderId="1" xfId="22" applyFont="1" applyBorder="1" applyAlignment="1">
      <alignment horizontal="center" vertical="center" wrapText="1"/>
    </xf>
    <xf numFmtId="191" fontId="53" fillId="0" borderId="5" xfId="22" applyNumberFormat="1" applyFont="1" applyBorder="1" applyAlignment="1">
      <alignment horizontal="center" vertical="center" wrapText="1"/>
    </xf>
    <xf numFmtId="191" fontId="53" fillId="0" borderId="3" xfId="22" applyNumberFormat="1" applyFont="1" applyBorder="1" applyAlignment="1">
      <alignment horizontal="center" vertical="center" wrapText="1"/>
    </xf>
    <xf numFmtId="191" fontId="47" fillId="0" borderId="1" xfId="22" applyNumberFormat="1" applyFont="1" applyBorder="1" applyAlignment="1">
      <alignment horizontal="center" vertical="center" wrapText="1"/>
    </xf>
    <xf numFmtId="183" fontId="53" fillId="0" borderId="1" xfId="22" applyNumberFormat="1" applyFont="1" applyBorder="1" applyAlignment="1">
      <alignment horizontal="center" vertical="center" wrapText="1"/>
    </xf>
    <xf numFmtId="0" fontId="53" fillId="0" borderId="1" xfId="22" applyFont="1" applyBorder="1" applyAlignment="1">
      <alignment horizontal="center" vertical="center" wrapText="1"/>
    </xf>
    <xf numFmtId="191" fontId="53" fillId="0" borderId="1" xfId="22" applyNumberFormat="1" applyFont="1" applyBorder="1" applyAlignment="1">
      <alignment horizontal="center" vertical="center" wrapText="1"/>
    </xf>
    <xf numFmtId="0" fontId="95" fillId="5" borderId="58" xfId="10" applyFill="1" applyBorder="1" applyAlignment="1">
      <alignment horizontal="center" vertical="center"/>
    </xf>
    <xf numFmtId="0" fontId="95" fillId="5" borderId="0" xfId="10" applyFill="1" applyAlignment="1">
      <alignment horizontal="center" vertical="center"/>
    </xf>
    <xf numFmtId="0" fontId="95" fillId="0" borderId="1" xfId="10" applyBorder="1" applyAlignment="1">
      <alignment horizontal="center" vertical="center"/>
    </xf>
    <xf numFmtId="0" fontId="95" fillId="5" borderId="46" xfId="10" applyFill="1" applyBorder="1" applyAlignment="1">
      <alignment horizontal="center" vertical="center"/>
    </xf>
    <xf numFmtId="0" fontId="95" fillId="5" borderId="36" xfId="10" applyFill="1" applyBorder="1" applyAlignment="1">
      <alignment horizontal="center" vertical="center"/>
    </xf>
    <xf numFmtId="0" fontId="95" fillId="0" borderId="0" xfId="10" applyAlignment="1">
      <alignment horizontal="center" vertical="center"/>
    </xf>
    <xf numFmtId="0" fontId="158" fillId="5" borderId="58" xfId="10" applyFont="1" applyFill="1" applyBorder="1" applyAlignment="1">
      <alignment horizontal="center" vertical="center"/>
    </xf>
    <xf numFmtId="0" fontId="158" fillId="5" borderId="0" xfId="10" applyFont="1" applyFill="1" applyAlignment="1">
      <alignment horizontal="center" vertical="center"/>
    </xf>
    <xf numFmtId="0" fontId="95" fillId="0" borderId="58" xfId="10" applyBorder="1" applyAlignment="1">
      <alignment horizontal="center" vertical="center"/>
    </xf>
    <xf numFmtId="0" fontId="95" fillId="0" borderId="4" xfId="10" applyBorder="1" applyAlignment="1">
      <alignment horizontal="center" vertical="center"/>
    </xf>
    <xf numFmtId="0" fontId="95" fillId="0" borderId="60" xfId="10" applyBorder="1" applyAlignment="1">
      <alignment horizontal="center" vertical="center"/>
    </xf>
    <xf numFmtId="0" fontId="95" fillId="0" borderId="46" xfId="10" applyBorder="1" applyAlignment="1">
      <alignment horizontal="center" vertical="center"/>
    </xf>
    <xf numFmtId="0" fontId="95" fillId="0" borderId="36" xfId="10"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3">
    <cellStyle name="百分比" xfId="17" builtinId="5"/>
    <cellStyle name="百分比 2" xfId="14" xr:uid="{00000000-0005-0000-0000-000001000000}"/>
    <cellStyle name="常规" xfId="0" builtinId="0"/>
    <cellStyle name="常规 10" xfId="22" xr:uid="{5BE8F8C0-E9D6-45C8-86C2-2DF29C99AF37}"/>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3 3" xfId="19" xr:uid="{74E57D85-AC45-426B-90D2-9B2E44184E25}"/>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3" xfId="21" xr:uid="{4F9E08A9-D83F-42CC-95CB-8C23C5DEAF35}"/>
    <cellStyle name="强调文字颜色 2 2 2 7 3" xfId="20" xr:uid="{51D1087B-7F69-4E88-9483-915E636751FD}"/>
  </cellStyles>
  <dxfs count="22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12</xdr:col>
      <xdr:colOff>160748</xdr:colOff>
      <xdr:row>21</xdr:row>
      <xdr:rowOff>95024</xdr:rowOff>
    </xdr:to>
    <xdr:pic>
      <xdr:nvPicPr>
        <xdr:cNvPr id="2" name="图片 1">
          <a:extLst>
            <a:ext uri="{FF2B5EF4-FFF2-40B4-BE49-F238E27FC236}">
              <a16:creationId xmlns:a16="http://schemas.microsoft.com/office/drawing/2014/main" id="{9DDD92A8-A751-49B8-AE1B-2886AE26930D}"/>
            </a:ext>
          </a:extLst>
        </xdr:cNvPr>
        <xdr:cNvPicPr>
          <a:picLocks noChangeAspect="1"/>
        </xdr:cNvPicPr>
      </xdr:nvPicPr>
      <xdr:blipFill>
        <a:blip xmlns:r="http://schemas.openxmlformats.org/officeDocument/2006/relationships" r:embed="rId1"/>
        <a:stretch>
          <a:fillRect/>
        </a:stretch>
      </xdr:blipFill>
      <xdr:spPr>
        <a:xfrm>
          <a:off x="0" y="1885950"/>
          <a:ext cx="9419048" cy="1809524"/>
        </a:xfrm>
        <a:prstGeom prst="rect">
          <a:avLst/>
        </a:prstGeom>
      </xdr:spPr>
    </xdr:pic>
    <xdr:clientData/>
  </xdr:twoCellAnchor>
  <xdr:twoCellAnchor editAs="oneCell">
    <xdr:from>
      <xdr:col>0</xdr:col>
      <xdr:colOff>0</xdr:colOff>
      <xdr:row>22</xdr:row>
      <xdr:rowOff>0</xdr:rowOff>
    </xdr:from>
    <xdr:to>
      <xdr:col>12</xdr:col>
      <xdr:colOff>398843</xdr:colOff>
      <xdr:row>44</xdr:row>
      <xdr:rowOff>37624</xdr:rowOff>
    </xdr:to>
    <xdr:pic>
      <xdr:nvPicPr>
        <xdr:cNvPr id="3" name="图片 2">
          <a:extLst>
            <a:ext uri="{FF2B5EF4-FFF2-40B4-BE49-F238E27FC236}">
              <a16:creationId xmlns:a16="http://schemas.microsoft.com/office/drawing/2014/main" id="{A7EF962D-B2FD-43B0-8D1D-FABE15B9F531}"/>
            </a:ext>
          </a:extLst>
        </xdr:cNvPr>
        <xdr:cNvPicPr>
          <a:picLocks noChangeAspect="1"/>
        </xdr:cNvPicPr>
      </xdr:nvPicPr>
      <xdr:blipFill>
        <a:blip xmlns:r="http://schemas.openxmlformats.org/officeDocument/2006/relationships" r:embed="rId2"/>
        <a:stretch>
          <a:fillRect/>
        </a:stretch>
      </xdr:blipFill>
      <xdr:spPr>
        <a:xfrm>
          <a:off x="0" y="3771900"/>
          <a:ext cx="9657143" cy="3809524"/>
        </a:xfrm>
        <a:prstGeom prst="rect">
          <a:avLst/>
        </a:prstGeom>
      </xdr:spPr>
    </xdr:pic>
    <xdr:clientData/>
  </xdr:twoCellAnchor>
  <xdr:twoCellAnchor editAs="oneCell">
    <xdr:from>
      <xdr:col>0</xdr:col>
      <xdr:colOff>0</xdr:colOff>
      <xdr:row>45</xdr:row>
      <xdr:rowOff>0</xdr:rowOff>
    </xdr:from>
    <xdr:to>
      <xdr:col>12</xdr:col>
      <xdr:colOff>360748</xdr:colOff>
      <xdr:row>66</xdr:row>
      <xdr:rowOff>151931</xdr:rowOff>
    </xdr:to>
    <xdr:pic>
      <xdr:nvPicPr>
        <xdr:cNvPr id="4" name="图片 3">
          <a:extLst>
            <a:ext uri="{FF2B5EF4-FFF2-40B4-BE49-F238E27FC236}">
              <a16:creationId xmlns:a16="http://schemas.microsoft.com/office/drawing/2014/main" id="{7BE8315D-387A-44C6-91F4-DF5FDA5B5D90}"/>
            </a:ext>
          </a:extLst>
        </xdr:cNvPr>
        <xdr:cNvPicPr>
          <a:picLocks noChangeAspect="1"/>
        </xdr:cNvPicPr>
      </xdr:nvPicPr>
      <xdr:blipFill>
        <a:blip xmlns:r="http://schemas.openxmlformats.org/officeDocument/2006/relationships" r:embed="rId3"/>
        <a:stretch>
          <a:fillRect/>
        </a:stretch>
      </xdr:blipFill>
      <xdr:spPr>
        <a:xfrm>
          <a:off x="0" y="7715250"/>
          <a:ext cx="9619048" cy="3752381"/>
        </a:xfrm>
        <a:prstGeom prst="rect">
          <a:avLst/>
        </a:prstGeom>
      </xdr:spPr>
    </xdr:pic>
    <xdr:clientData/>
  </xdr:twoCellAnchor>
  <xdr:twoCellAnchor editAs="oneCell">
    <xdr:from>
      <xdr:col>0</xdr:col>
      <xdr:colOff>0</xdr:colOff>
      <xdr:row>68</xdr:row>
      <xdr:rowOff>0</xdr:rowOff>
    </xdr:from>
    <xdr:to>
      <xdr:col>12</xdr:col>
      <xdr:colOff>246462</xdr:colOff>
      <xdr:row>89</xdr:row>
      <xdr:rowOff>151931</xdr:rowOff>
    </xdr:to>
    <xdr:pic>
      <xdr:nvPicPr>
        <xdr:cNvPr id="5" name="图片 4">
          <a:extLst>
            <a:ext uri="{FF2B5EF4-FFF2-40B4-BE49-F238E27FC236}">
              <a16:creationId xmlns:a16="http://schemas.microsoft.com/office/drawing/2014/main" id="{1ABDAA35-5BE0-4350-90EF-4495FF66408C}"/>
            </a:ext>
          </a:extLst>
        </xdr:cNvPr>
        <xdr:cNvPicPr>
          <a:picLocks noChangeAspect="1"/>
        </xdr:cNvPicPr>
      </xdr:nvPicPr>
      <xdr:blipFill>
        <a:blip xmlns:r="http://schemas.openxmlformats.org/officeDocument/2006/relationships" r:embed="rId4"/>
        <a:stretch>
          <a:fillRect/>
        </a:stretch>
      </xdr:blipFill>
      <xdr:spPr>
        <a:xfrm>
          <a:off x="0" y="11658600"/>
          <a:ext cx="9504762" cy="3752381"/>
        </a:xfrm>
        <a:prstGeom prst="rect">
          <a:avLst/>
        </a:prstGeom>
      </xdr:spPr>
    </xdr:pic>
    <xdr:clientData/>
  </xdr:twoCellAnchor>
  <xdr:twoCellAnchor editAs="oneCell">
    <xdr:from>
      <xdr:col>0</xdr:col>
      <xdr:colOff>0</xdr:colOff>
      <xdr:row>91</xdr:row>
      <xdr:rowOff>0</xdr:rowOff>
    </xdr:from>
    <xdr:to>
      <xdr:col>12</xdr:col>
      <xdr:colOff>46462</xdr:colOff>
      <xdr:row>113</xdr:row>
      <xdr:rowOff>28100</xdr:rowOff>
    </xdr:to>
    <xdr:pic>
      <xdr:nvPicPr>
        <xdr:cNvPr id="6" name="图片 5">
          <a:extLst>
            <a:ext uri="{FF2B5EF4-FFF2-40B4-BE49-F238E27FC236}">
              <a16:creationId xmlns:a16="http://schemas.microsoft.com/office/drawing/2014/main" id="{B832A3D1-1F61-484D-B329-511CDFE7B61F}"/>
            </a:ext>
          </a:extLst>
        </xdr:cNvPr>
        <xdr:cNvPicPr>
          <a:picLocks noChangeAspect="1"/>
        </xdr:cNvPicPr>
      </xdr:nvPicPr>
      <xdr:blipFill>
        <a:blip xmlns:r="http://schemas.openxmlformats.org/officeDocument/2006/relationships" r:embed="rId5"/>
        <a:stretch>
          <a:fillRect/>
        </a:stretch>
      </xdr:blipFill>
      <xdr:spPr>
        <a:xfrm>
          <a:off x="0" y="15601950"/>
          <a:ext cx="9304762" cy="3800000"/>
        </a:xfrm>
        <a:prstGeom prst="rect">
          <a:avLst/>
        </a:prstGeom>
      </xdr:spPr>
    </xdr:pic>
    <xdr:clientData/>
  </xdr:twoCellAnchor>
  <xdr:twoCellAnchor editAs="oneCell">
    <xdr:from>
      <xdr:col>0</xdr:col>
      <xdr:colOff>0</xdr:colOff>
      <xdr:row>114</xdr:row>
      <xdr:rowOff>0</xdr:rowOff>
    </xdr:from>
    <xdr:to>
      <xdr:col>12</xdr:col>
      <xdr:colOff>246462</xdr:colOff>
      <xdr:row>137</xdr:row>
      <xdr:rowOff>161412</xdr:rowOff>
    </xdr:to>
    <xdr:pic>
      <xdr:nvPicPr>
        <xdr:cNvPr id="7" name="图片 6">
          <a:extLst>
            <a:ext uri="{FF2B5EF4-FFF2-40B4-BE49-F238E27FC236}">
              <a16:creationId xmlns:a16="http://schemas.microsoft.com/office/drawing/2014/main" id="{BB0A0242-6579-4D16-A3C7-F16CF319272D}"/>
            </a:ext>
          </a:extLst>
        </xdr:cNvPr>
        <xdr:cNvPicPr>
          <a:picLocks noChangeAspect="1"/>
        </xdr:cNvPicPr>
      </xdr:nvPicPr>
      <xdr:blipFill>
        <a:blip xmlns:r="http://schemas.openxmlformats.org/officeDocument/2006/relationships" r:embed="rId6"/>
        <a:stretch>
          <a:fillRect/>
        </a:stretch>
      </xdr:blipFill>
      <xdr:spPr>
        <a:xfrm>
          <a:off x="0" y="19545300"/>
          <a:ext cx="9504762" cy="4104762"/>
        </a:xfrm>
        <a:prstGeom prst="rect">
          <a:avLst/>
        </a:prstGeom>
      </xdr:spPr>
    </xdr:pic>
    <xdr:clientData/>
  </xdr:twoCellAnchor>
  <xdr:twoCellAnchor editAs="oneCell">
    <xdr:from>
      <xdr:col>0</xdr:col>
      <xdr:colOff>0</xdr:colOff>
      <xdr:row>138</xdr:row>
      <xdr:rowOff>0</xdr:rowOff>
    </xdr:from>
    <xdr:to>
      <xdr:col>12</xdr:col>
      <xdr:colOff>17890</xdr:colOff>
      <xdr:row>148</xdr:row>
      <xdr:rowOff>152167</xdr:rowOff>
    </xdr:to>
    <xdr:pic>
      <xdr:nvPicPr>
        <xdr:cNvPr id="8" name="图片 7">
          <a:extLst>
            <a:ext uri="{FF2B5EF4-FFF2-40B4-BE49-F238E27FC236}">
              <a16:creationId xmlns:a16="http://schemas.microsoft.com/office/drawing/2014/main" id="{F745C45B-1937-4AD4-B1A7-DA20236499BA}"/>
            </a:ext>
          </a:extLst>
        </xdr:cNvPr>
        <xdr:cNvPicPr>
          <a:picLocks noChangeAspect="1"/>
        </xdr:cNvPicPr>
      </xdr:nvPicPr>
      <xdr:blipFill>
        <a:blip xmlns:r="http://schemas.openxmlformats.org/officeDocument/2006/relationships" r:embed="rId7"/>
        <a:stretch>
          <a:fillRect/>
        </a:stretch>
      </xdr:blipFill>
      <xdr:spPr>
        <a:xfrm>
          <a:off x="0" y="23660100"/>
          <a:ext cx="9276190" cy="1866667"/>
        </a:xfrm>
        <a:prstGeom prst="rect">
          <a:avLst/>
        </a:prstGeom>
      </xdr:spPr>
    </xdr:pic>
    <xdr:clientData/>
  </xdr:twoCellAnchor>
  <xdr:twoCellAnchor editAs="oneCell">
    <xdr:from>
      <xdr:col>0</xdr:col>
      <xdr:colOff>0</xdr:colOff>
      <xdr:row>148</xdr:row>
      <xdr:rowOff>123825</xdr:rowOff>
    </xdr:from>
    <xdr:to>
      <xdr:col>12</xdr:col>
      <xdr:colOff>503605</xdr:colOff>
      <xdr:row>171</xdr:row>
      <xdr:rowOff>113808</xdr:rowOff>
    </xdr:to>
    <xdr:pic>
      <xdr:nvPicPr>
        <xdr:cNvPr id="10" name="图片 9">
          <a:extLst>
            <a:ext uri="{FF2B5EF4-FFF2-40B4-BE49-F238E27FC236}">
              <a16:creationId xmlns:a16="http://schemas.microsoft.com/office/drawing/2014/main" id="{5CBC7ACC-C145-4054-82E7-761F7A477D7D}"/>
            </a:ext>
          </a:extLst>
        </xdr:cNvPr>
        <xdr:cNvPicPr>
          <a:picLocks noChangeAspect="1"/>
        </xdr:cNvPicPr>
      </xdr:nvPicPr>
      <xdr:blipFill>
        <a:blip xmlns:r="http://schemas.openxmlformats.org/officeDocument/2006/relationships" r:embed="rId8"/>
        <a:stretch>
          <a:fillRect/>
        </a:stretch>
      </xdr:blipFill>
      <xdr:spPr>
        <a:xfrm>
          <a:off x="0" y="25498425"/>
          <a:ext cx="9761905" cy="3933333"/>
        </a:xfrm>
        <a:prstGeom prst="rect">
          <a:avLst/>
        </a:prstGeom>
      </xdr:spPr>
    </xdr:pic>
    <xdr:clientData/>
  </xdr:twoCellAnchor>
  <xdr:twoCellAnchor editAs="oneCell">
    <xdr:from>
      <xdr:col>22</xdr:col>
      <xdr:colOff>85725</xdr:colOff>
      <xdr:row>163</xdr:row>
      <xdr:rowOff>85725</xdr:rowOff>
    </xdr:from>
    <xdr:to>
      <xdr:col>36</xdr:col>
      <xdr:colOff>246430</xdr:colOff>
      <xdr:row>186</xdr:row>
      <xdr:rowOff>37613</xdr:rowOff>
    </xdr:to>
    <xdr:pic>
      <xdr:nvPicPr>
        <xdr:cNvPr id="11" name="图片 10">
          <a:extLst>
            <a:ext uri="{FF2B5EF4-FFF2-40B4-BE49-F238E27FC236}">
              <a16:creationId xmlns:a16="http://schemas.microsoft.com/office/drawing/2014/main" id="{7F7B81E7-43E5-4D0A-8772-895ED04AB0CD}"/>
            </a:ext>
          </a:extLst>
        </xdr:cNvPr>
        <xdr:cNvPicPr>
          <a:picLocks noChangeAspect="1"/>
        </xdr:cNvPicPr>
      </xdr:nvPicPr>
      <xdr:blipFill>
        <a:blip xmlns:r="http://schemas.openxmlformats.org/officeDocument/2006/relationships" r:embed="rId9"/>
        <a:stretch>
          <a:fillRect/>
        </a:stretch>
      </xdr:blipFill>
      <xdr:spPr>
        <a:xfrm>
          <a:off x="16202025" y="28032075"/>
          <a:ext cx="9761905" cy="3895238"/>
        </a:xfrm>
        <a:prstGeom prst="rect">
          <a:avLst/>
        </a:prstGeom>
      </xdr:spPr>
    </xdr:pic>
    <xdr:clientData/>
  </xdr:twoCellAnchor>
  <xdr:twoCellAnchor editAs="oneCell">
    <xdr:from>
      <xdr:col>0</xdr:col>
      <xdr:colOff>0</xdr:colOff>
      <xdr:row>171</xdr:row>
      <xdr:rowOff>133350</xdr:rowOff>
    </xdr:from>
    <xdr:to>
      <xdr:col>12</xdr:col>
      <xdr:colOff>246462</xdr:colOff>
      <xdr:row>193</xdr:row>
      <xdr:rowOff>161450</xdr:rowOff>
    </xdr:to>
    <xdr:pic>
      <xdr:nvPicPr>
        <xdr:cNvPr id="12" name="图片 11">
          <a:extLst>
            <a:ext uri="{FF2B5EF4-FFF2-40B4-BE49-F238E27FC236}">
              <a16:creationId xmlns:a16="http://schemas.microsoft.com/office/drawing/2014/main" id="{15FCBC20-A996-4ABB-B052-642B56E2D971}"/>
            </a:ext>
          </a:extLst>
        </xdr:cNvPr>
        <xdr:cNvPicPr>
          <a:picLocks noChangeAspect="1"/>
        </xdr:cNvPicPr>
      </xdr:nvPicPr>
      <xdr:blipFill>
        <a:blip xmlns:r="http://schemas.openxmlformats.org/officeDocument/2006/relationships" r:embed="rId10"/>
        <a:stretch>
          <a:fillRect/>
        </a:stretch>
      </xdr:blipFill>
      <xdr:spPr>
        <a:xfrm>
          <a:off x="0" y="29451300"/>
          <a:ext cx="9504762" cy="3800000"/>
        </a:xfrm>
        <a:prstGeom prst="rect">
          <a:avLst/>
        </a:prstGeom>
      </xdr:spPr>
    </xdr:pic>
    <xdr:clientData/>
  </xdr:twoCellAnchor>
  <xdr:twoCellAnchor editAs="oneCell">
    <xdr:from>
      <xdr:col>0</xdr:col>
      <xdr:colOff>0</xdr:colOff>
      <xdr:row>192</xdr:row>
      <xdr:rowOff>0</xdr:rowOff>
    </xdr:from>
    <xdr:to>
      <xdr:col>12</xdr:col>
      <xdr:colOff>132176</xdr:colOff>
      <xdr:row>214</xdr:row>
      <xdr:rowOff>56671</xdr:rowOff>
    </xdr:to>
    <xdr:pic>
      <xdr:nvPicPr>
        <xdr:cNvPr id="13" name="图片 12">
          <a:extLst>
            <a:ext uri="{FF2B5EF4-FFF2-40B4-BE49-F238E27FC236}">
              <a16:creationId xmlns:a16="http://schemas.microsoft.com/office/drawing/2014/main" id="{A144F453-3E84-40BC-9B99-51151CF02D88}"/>
            </a:ext>
          </a:extLst>
        </xdr:cNvPr>
        <xdr:cNvPicPr>
          <a:picLocks noChangeAspect="1"/>
        </xdr:cNvPicPr>
      </xdr:nvPicPr>
      <xdr:blipFill>
        <a:blip xmlns:r="http://schemas.openxmlformats.org/officeDocument/2006/relationships" r:embed="rId11"/>
        <a:stretch>
          <a:fillRect/>
        </a:stretch>
      </xdr:blipFill>
      <xdr:spPr>
        <a:xfrm>
          <a:off x="0" y="32918400"/>
          <a:ext cx="9390476" cy="3828571"/>
        </a:xfrm>
        <a:prstGeom prst="rect">
          <a:avLst/>
        </a:prstGeom>
      </xdr:spPr>
    </xdr:pic>
    <xdr:clientData/>
  </xdr:twoCellAnchor>
  <xdr:twoCellAnchor editAs="oneCell">
    <xdr:from>
      <xdr:col>13</xdr:col>
      <xdr:colOff>152400</xdr:colOff>
      <xdr:row>0</xdr:row>
      <xdr:rowOff>0</xdr:rowOff>
    </xdr:from>
    <xdr:to>
      <xdr:col>23</xdr:col>
      <xdr:colOff>551543</xdr:colOff>
      <xdr:row>27</xdr:row>
      <xdr:rowOff>18469</xdr:rowOff>
    </xdr:to>
    <xdr:pic>
      <xdr:nvPicPr>
        <xdr:cNvPr id="14" name="图片 13">
          <a:extLst>
            <a:ext uri="{FF2B5EF4-FFF2-40B4-BE49-F238E27FC236}">
              <a16:creationId xmlns:a16="http://schemas.microsoft.com/office/drawing/2014/main" id="{70FFEF48-B2C3-409D-ACA1-7A6464672046}"/>
            </a:ext>
          </a:extLst>
        </xdr:cNvPr>
        <xdr:cNvPicPr>
          <a:picLocks noChangeAspect="1"/>
        </xdr:cNvPicPr>
      </xdr:nvPicPr>
      <xdr:blipFill>
        <a:blip xmlns:r="http://schemas.openxmlformats.org/officeDocument/2006/relationships" r:embed="rId12"/>
        <a:stretch>
          <a:fillRect/>
        </a:stretch>
      </xdr:blipFill>
      <xdr:spPr>
        <a:xfrm>
          <a:off x="10096500" y="0"/>
          <a:ext cx="7257143" cy="4647619"/>
        </a:xfrm>
        <a:prstGeom prst="rect">
          <a:avLst/>
        </a:prstGeom>
      </xdr:spPr>
    </xdr:pic>
    <xdr:clientData/>
  </xdr:twoCellAnchor>
  <xdr:twoCellAnchor editAs="oneCell">
    <xdr:from>
      <xdr:col>12</xdr:col>
      <xdr:colOff>571500</xdr:colOff>
      <xdr:row>27</xdr:row>
      <xdr:rowOff>66675</xdr:rowOff>
    </xdr:from>
    <xdr:to>
      <xdr:col>24</xdr:col>
      <xdr:colOff>532376</xdr:colOff>
      <xdr:row>57</xdr:row>
      <xdr:rowOff>66032</xdr:rowOff>
    </xdr:to>
    <xdr:pic>
      <xdr:nvPicPr>
        <xdr:cNvPr id="15" name="图片 14">
          <a:extLst>
            <a:ext uri="{FF2B5EF4-FFF2-40B4-BE49-F238E27FC236}">
              <a16:creationId xmlns:a16="http://schemas.microsoft.com/office/drawing/2014/main" id="{1DF0E4A5-DD97-4B1B-9ADF-FBC3C7418F18}"/>
            </a:ext>
          </a:extLst>
        </xdr:cNvPr>
        <xdr:cNvPicPr>
          <a:picLocks noChangeAspect="1"/>
        </xdr:cNvPicPr>
      </xdr:nvPicPr>
      <xdr:blipFill>
        <a:blip xmlns:r="http://schemas.openxmlformats.org/officeDocument/2006/relationships" r:embed="rId13"/>
        <a:stretch>
          <a:fillRect/>
        </a:stretch>
      </xdr:blipFill>
      <xdr:spPr>
        <a:xfrm>
          <a:off x="9829800" y="4695825"/>
          <a:ext cx="8190476" cy="5142857"/>
        </a:xfrm>
        <a:prstGeom prst="rect">
          <a:avLst/>
        </a:prstGeom>
      </xdr:spPr>
    </xdr:pic>
    <xdr:clientData/>
  </xdr:twoCellAnchor>
  <xdr:twoCellAnchor editAs="oneCell">
    <xdr:from>
      <xdr:col>13</xdr:col>
      <xdr:colOff>104775</xdr:colOff>
      <xdr:row>61</xdr:row>
      <xdr:rowOff>95250</xdr:rowOff>
    </xdr:from>
    <xdr:to>
      <xdr:col>24</xdr:col>
      <xdr:colOff>675261</xdr:colOff>
      <xdr:row>89</xdr:row>
      <xdr:rowOff>47031</xdr:rowOff>
    </xdr:to>
    <xdr:pic>
      <xdr:nvPicPr>
        <xdr:cNvPr id="16" name="图片 15">
          <a:extLst>
            <a:ext uri="{FF2B5EF4-FFF2-40B4-BE49-F238E27FC236}">
              <a16:creationId xmlns:a16="http://schemas.microsoft.com/office/drawing/2014/main" id="{035EA1E7-E373-B2D9-A717-7BD6480BEF4B}"/>
            </a:ext>
          </a:extLst>
        </xdr:cNvPr>
        <xdr:cNvPicPr>
          <a:picLocks noChangeAspect="1"/>
        </xdr:cNvPicPr>
      </xdr:nvPicPr>
      <xdr:blipFill>
        <a:blip xmlns:r="http://schemas.openxmlformats.org/officeDocument/2006/relationships" r:embed="rId14"/>
        <a:stretch>
          <a:fillRect/>
        </a:stretch>
      </xdr:blipFill>
      <xdr:spPr>
        <a:xfrm>
          <a:off x="10048875" y="10553700"/>
          <a:ext cx="8114286" cy="4752381"/>
        </a:xfrm>
        <a:prstGeom prst="rect">
          <a:avLst/>
        </a:prstGeom>
      </xdr:spPr>
    </xdr:pic>
    <xdr:clientData/>
  </xdr:twoCellAnchor>
  <xdr:twoCellAnchor editAs="oneCell">
    <xdr:from>
      <xdr:col>13</xdr:col>
      <xdr:colOff>19050</xdr:colOff>
      <xdr:row>60</xdr:row>
      <xdr:rowOff>76200</xdr:rowOff>
    </xdr:from>
    <xdr:to>
      <xdr:col>24</xdr:col>
      <xdr:colOff>494298</xdr:colOff>
      <xdr:row>68</xdr:row>
      <xdr:rowOff>171267</xdr:rowOff>
    </xdr:to>
    <xdr:pic>
      <xdr:nvPicPr>
        <xdr:cNvPr id="17" name="图片 16">
          <a:extLst>
            <a:ext uri="{FF2B5EF4-FFF2-40B4-BE49-F238E27FC236}">
              <a16:creationId xmlns:a16="http://schemas.microsoft.com/office/drawing/2014/main" id="{EBB4BC08-F6D3-B119-338E-78868C5E9B16}"/>
            </a:ext>
          </a:extLst>
        </xdr:cNvPr>
        <xdr:cNvPicPr>
          <a:picLocks noChangeAspect="1"/>
        </xdr:cNvPicPr>
      </xdr:nvPicPr>
      <xdr:blipFill>
        <a:blip xmlns:r="http://schemas.openxmlformats.org/officeDocument/2006/relationships" r:embed="rId15"/>
        <a:stretch>
          <a:fillRect/>
        </a:stretch>
      </xdr:blipFill>
      <xdr:spPr>
        <a:xfrm>
          <a:off x="9963150" y="10363200"/>
          <a:ext cx="8019048" cy="1466667"/>
        </a:xfrm>
        <a:prstGeom prst="rect">
          <a:avLst/>
        </a:prstGeom>
      </xdr:spPr>
    </xdr:pic>
    <xdr:clientData/>
  </xdr:twoCellAnchor>
  <xdr:twoCellAnchor editAs="oneCell">
    <xdr:from>
      <xdr:col>12</xdr:col>
      <xdr:colOff>457200</xdr:colOff>
      <xdr:row>79</xdr:row>
      <xdr:rowOff>152400</xdr:rowOff>
    </xdr:from>
    <xdr:to>
      <xdr:col>26</xdr:col>
      <xdr:colOff>427428</xdr:colOff>
      <xdr:row>102</xdr:row>
      <xdr:rowOff>47145</xdr:rowOff>
    </xdr:to>
    <xdr:pic>
      <xdr:nvPicPr>
        <xdr:cNvPr id="9" name="图片 8">
          <a:extLst>
            <a:ext uri="{FF2B5EF4-FFF2-40B4-BE49-F238E27FC236}">
              <a16:creationId xmlns:a16="http://schemas.microsoft.com/office/drawing/2014/main" id="{88ED4BF9-3FC8-43A8-BD90-AA3716935570}"/>
            </a:ext>
          </a:extLst>
        </xdr:cNvPr>
        <xdr:cNvPicPr>
          <a:picLocks noChangeAspect="1"/>
        </xdr:cNvPicPr>
      </xdr:nvPicPr>
      <xdr:blipFill>
        <a:blip xmlns:r="http://schemas.openxmlformats.org/officeDocument/2006/relationships" r:embed="rId16"/>
        <a:stretch>
          <a:fillRect/>
        </a:stretch>
      </xdr:blipFill>
      <xdr:spPr>
        <a:xfrm>
          <a:off x="9715500" y="13696950"/>
          <a:ext cx="9571428" cy="3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579838</xdr:colOff>
      <xdr:row>10</xdr:row>
      <xdr:rowOff>133119</xdr:rowOff>
    </xdr:to>
    <xdr:pic>
      <xdr:nvPicPr>
        <xdr:cNvPr id="2" name="图片 1">
          <a:extLst>
            <a:ext uri="{FF2B5EF4-FFF2-40B4-BE49-F238E27FC236}">
              <a16:creationId xmlns:a16="http://schemas.microsoft.com/office/drawing/2014/main" id="{A94F3C98-70BB-4042-9FD9-19FD3684BCB1}"/>
            </a:ext>
          </a:extLst>
        </xdr:cNvPr>
        <xdr:cNvPicPr>
          <a:picLocks noChangeAspect="1"/>
        </xdr:cNvPicPr>
      </xdr:nvPicPr>
      <xdr:blipFill>
        <a:blip xmlns:r="http://schemas.openxmlformats.org/officeDocument/2006/relationships" r:embed="rId1"/>
        <a:stretch>
          <a:fillRect/>
        </a:stretch>
      </xdr:blipFill>
      <xdr:spPr>
        <a:xfrm>
          <a:off x="0" y="0"/>
          <a:ext cx="9495238" cy="1847619"/>
        </a:xfrm>
        <a:prstGeom prst="rect">
          <a:avLst/>
        </a:prstGeom>
      </xdr:spPr>
    </xdr:pic>
    <xdr:clientData/>
  </xdr:twoCellAnchor>
  <xdr:twoCellAnchor editAs="oneCell">
    <xdr:from>
      <xdr:col>0</xdr:col>
      <xdr:colOff>0</xdr:colOff>
      <xdr:row>10</xdr:row>
      <xdr:rowOff>133350</xdr:rowOff>
    </xdr:from>
    <xdr:to>
      <xdr:col>13</xdr:col>
      <xdr:colOff>636981</xdr:colOff>
      <xdr:row>20</xdr:row>
      <xdr:rowOff>18850</xdr:rowOff>
    </xdr:to>
    <xdr:pic>
      <xdr:nvPicPr>
        <xdr:cNvPr id="3" name="图片 2">
          <a:extLst>
            <a:ext uri="{FF2B5EF4-FFF2-40B4-BE49-F238E27FC236}">
              <a16:creationId xmlns:a16="http://schemas.microsoft.com/office/drawing/2014/main" id="{E096E42E-3A81-430F-B32C-95102031812A}"/>
            </a:ext>
          </a:extLst>
        </xdr:cNvPr>
        <xdr:cNvPicPr>
          <a:picLocks noChangeAspect="1"/>
        </xdr:cNvPicPr>
      </xdr:nvPicPr>
      <xdr:blipFill>
        <a:blip xmlns:r="http://schemas.openxmlformats.org/officeDocument/2006/relationships" r:embed="rId2"/>
        <a:stretch>
          <a:fillRect/>
        </a:stretch>
      </xdr:blipFill>
      <xdr:spPr>
        <a:xfrm>
          <a:off x="0" y="1847850"/>
          <a:ext cx="9552381" cy="1600000"/>
        </a:xfrm>
        <a:prstGeom prst="rect">
          <a:avLst/>
        </a:prstGeom>
      </xdr:spPr>
    </xdr:pic>
    <xdr:clientData/>
  </xdr:twoCellAnchor>
  <xdr:twoCellAnchor editAs="oneCell">
    <xdr:from>
      <xdr:col>15</xdr:col>
      <xdr:colOff>66675</xdr:colOff>
      <xdr:row>18</xdr:row>
      <xdr:rowOff>104775</xdr:rowOff>
    </xdr:from>
    <xdr:to>
      <xdr:col>29</xdr:col>
      <xdr:colOff>46427</xdr:colOff>
      <xdr:row>37</xdr:row>
      <xdr:rowOff>9130</xdr:rowOff>
    </xdr:to>
    <xdr:pic>
      <xdr:nvPicPr>
        <xdr:cNvPr id="4" name="图片 3">
          <a:extLst>
            <a:ext uri="{FF2B5EF4-FFF2-40B4-BE49-F238E27FC236}">
              <a16:creationId xmlns:a16="http://schemas.microsoft.com/office/drawing/2014/main" id="{4B955F9C-DA7C-485C-B637-678196E2241B}"/>
            </a:ext>
          </a:extLst>
        </xdr:cNvPr>
        <xdr:cNvPicPr>
          <a:picLocks noChangeAspect="1"/>
        </xdr:cNvPicPr>
      </xdr:nvPicPr>
      <xdr:blipFill>
        <a:blip xmlns:r="http://schemas.openxmlformats.org/officeDocument/2006/relationships" r:embed="rId3"/>
        <a:stretch>
          <a:fillRect/>
        </a:stretch>
      </xdr:blipFill>
      <xdr:spPr>
        <a:xfrm>
          <a:off x="10353675" y="3190875"/>
          <a:ext cx="9580952" cy="3161905"/>
        </a:xfrm>
        <a:prstGeom prst="rect">
          <a:avLst/>
        </a:prstGeom>
      </xdr:spPr>
    </xdr:pic>
    <xdr:clientData/>
  </xdr:twoCellAnchor>
  <xdr:twoCellAnchor editAs="oneCell">
    <xdr:from>
      <xdr:col>14</xdr:col>
      <xdr:colOff>581025</xdr:colOff>
      <xdr:row>28</xdr:row>
      <xdr:rowOff>76200</xdr:rowOff>
    </xdr:from>
    <xdr:to>
      <xdr:col>29</xdr:col>
      <xdr:colOff>65453</xdr:colOff>
      <xdr:row>37</xdr:row>
      <xdr:rowOff>18864</xdr:rowOff>
    </xdr:to>
    <xdr:pic>
      <xdr:nvPicPr>
        <xdr:cNvPr id="5" name="图片 4">
          <a:extLst>
            <a:ext uri="{FF2B5EF4-FFF2-40B4-BE49-F238E27FC236}">
              <a16:creationId xmlns:a16="http://schemas.microsoft.com/office/drawing/2014/main" id="{11C29E22-D4AD-4C6E-9B33-6CD17BF27F76}"/>
            </a:ext>
          </a:extLst>
        </xdr:cNvPr>
        <xdr:cNvPicPr>
          <a:picLocks noChangeAspect="1"/>
        </xdr:cNvPicPr>
      </xdr:nvPicPr>
      <xdr:blipFill>
        <a:blip xmlns:r="http://schemas.openxmlformats.org/officeDocument/2006/relationships" r:embed="rId4"/>
        <a:stretch>
          <a:fillRect/>
        </a:stretch>
      </xdr:blipFill>
      <xdr:spPr>
        <a:xfrm>
          <a:off x="10182225" y="4876800"/>
          <a:ext cx="9771428" cy="1485714"/>
        </a:xfrm>
        <a:prstGeom prst="rect">
          <a:avLst/>
        </a:prstGeom>
      </xdr:spPr>
    </xdr:pic>
    <xdr:clientData/>
  </xdr:twoCellAnchor>
  <xdr:twoCellAnchor editAs="oneCell">
    <xdr:from>
      <xdr:col>0</xdr:col>
      <xdr:colOff>0</xdr:colOff>
      <xdr:row>20</xdr:row>
      <xdr:rowOff>123825</xdr:rowOff>
    </xdr:from>
    <xdr:to>
      <xdr:col>14</xdr:col>
      <xdr:colOff>265467</xdr:colOff>
      <xdr:row>29</xdr:row>
      <xdr:rowOff>104585</xdr:rowOff>
    </xdr:to>
    <xdr:pic>
      <xdr:nvPicPr>
        <xdr:cNvPr id="6" name="图片 5">
          <a:extLst>
            <a:ext uri="{FF2B5EF4-FFF2-40B4-BE49-F238E27FC236}">
              <a16:creationId xmlns:a16="http://schemas.microsoft.com/office/drawing/2014/main" id="{33D6F85C-11F4-44AD-9225-A6DAC84214C5}"/>
            </a:ext>
          </a:extLst>
        </xdr:cNvPr>
        <xdr:cNvPicPr>
          <a:picLocks noChangeAspect="1"/>
        </xdr:cNvPicPr>
      </xdr:nvPicPr>
      <xdr:blipFill>
        <a:blip xmlns:r="http://schemas.openxmlformats.org/officeDocument/2006/relationships" r:embed="rId5"/>
        <a:stretch>
          <a:fillRect/>
        </a:stretch>
      </xdr:blipFill>
      <xdr:spPr>
        <a:xfrm>
          <a:off x="0" y="3552825"/>
          <a:ext cx="9866667" cy="1523810"/>
        </a:xfrm>
        <a:prstGeom prst="rect">
          <a:avLst/>
        </a:prstGeom>
      </xdr:spPr>
    </xdr:pic>
    <xdr:clientData/>
  </xdr:twoCellAnchor>
  <xdr:twoCellAnchor editAs="oneCell">
    <xdr:from>
      <xdr:col>0</xdr:col>
      <xdr:colOff>104775</xdr:colOff>
      <xdr:row>30</xdr:row>
      <xdr:rowOff>28575</xdr:rowOff>
    </xdr:from>
    <xdr:to>
      <xdr:col>14</xdr:col>
      <xdr:colOff>265480</xdr:colOff>
      <xdr:row>38</xdr:row>
      <xdr:rowOff>142689</xdr:rowOff>
    </xdr:to>
    <xdr:pic>
      <xdr:nvPicPr>
        <xdr:cNvPr id="7" name="图片 6">
          <a:extLst>
            <a:ext uri="{FF2B5EF4-FFF2-40B4-BE49-F238E27FC236}">
              <a16:creationId xmlns:a16="http://schemas.microsoft.com/office/drawing/2014/main" id="{301B04F7-822A-4371-BA22-5ECEF7407836}"/>
            </a:ext>
          </a:extLst>
        </xdr:cNvPr>
        <xdr:cNvPicPr>
          <a:picLocks noChangeAspect="1"/>
        </xdr:cNvPicPr>
      </xdr:nvPicPr>
      <xdr:blipFill>
        <a:blip xmlns:r="http://schemas.openxmlformats.org/officeDocument/2006/relationships" r:embed="rId6"/>
        <a:stretch>
          <a:fillRect/>
        </a:stretch>
      </xdr:blipFill>
      <xdr:spPr>
        <a:xfrm>
          <a:off x="104775" y="5172075"/>
          <a:ext cx="9761905" cy="1485714"/>
        </a:xfrm>
        <a:prstGeom prst="rect">
          <a:avLst/>
        </a:prstGeom>
      </xdr:spPr>
    </xdr:pic>
    <xdr:clientData/>
  </xdr:twoCellAnchor>
  <xdr:twoCellAnchor editAs="oneCell">
    <xdr:from>
      <xdr:col>15</xdr:col>
      <xdr:colOff>133350</xdr:colOff>
      <xdr:row>36</xdr:row>
      <xdr:rowOff>85725</xdr:rowOff>
    </xdr:from>
    <xdr:to>
      <xdr:col>29</xdr:col>
      <xdr:colOff>103578</xdr:colOff>
      <xdr:row>46</xdr:row>
      <xdr:rowOff>75987</xdr:rowOff>
    </xdr:to>
    <xdr:pic>
      <xdr:nvPicPr>
        <xdr:cNvPr id="8" name="图片 7">
          <a:extLst>
            <a:ext uri="{FF2B5EF4-FFF2-40B4-BE49-F238E27FC236}">
              <a16:creationId xmlns:a16="http://schemas.microsoft.com/office/drawing/2014/main" id="{1A340A2E-B678-4908-93EB-B8DA255BCE22}"/>
            </a:ext>
          </a:extLst>
        </xdr:cNvPr>
        <xdr:cNvPicPr>
          <a:picLocks noChangeAspect="1"/>
        </xdr:cNvPicPr>
      </xdr:nvPicPr>
      <xdr:blipFill>
        <a:blip xmlns:r="http://schemas.openxmlformats.org/officeDocument/2006/relationships" r:embed="rId7"/>
        <a:stretch>
          <a:fillRect/>
        </a:stretch>
      </xdr:blipFill>
      <xdr:spPr>
        <a:xfrm>
          <a:off x="10420350" y="6257925"/>
          <a:ext cx="9571428" cy="1704762"/>
        </a:xfrm>
        <a:prstGeom prst="rect">
          <a:avLst/>
        </a:prstGeom>
      </xdr:spPr>
    </xdr:pic>
    <xdr:clientData/>
  </xdr:twoCellAnchor>
  <xdr:twoCellAnchor editAs="oneCell">
    <xdr:from>
      <xdr:col>15</xdr:col>
      <xdr:colOff>0</xdr:colOff>
      <xdr:row>52</xdr:row>
      <xdr:rowOff>0</xdr:rowOff>
    </xdr:from>
    <xdr:to>
      <xdr:col>26</xdr:col>
      <xdr:colOff>456200</xdr:colOff>
      <xdr:row>80</xdr:row>
      <xdr:rowOff>56543</xdr:rowOff>
    </xdr:to>
    <xdr:pic>
      <xdr:nvPicPr>
        <xdr:cNvPr id="9" name="图片 8">
          <a:extLst>
            <a:ext uri="{FF2B5EF4-FFF2-40B4-BE49-F238E27FC236}">
              <a16:creationId xmlns:a16="http://schemas.microsoft.com/office/drawing/2014/main" id="{E27B3CB3-5304-4BF7-96EB-7828EC43A688}"/>
            </a:ext>
          </a:extLst>
        </xdr:cNvPr>
        <xdr:cNvPicPr>
          <a:picLocks noChangeAspect="1"/>
        </xdr:cNvPicPr>
      </xdr:nvPicPr>
      <xdr:blipFill>
        <a:blip xmlns:r="http://schemas.openxmlformats.org/officeDocument/2006/relationships" r:embed="rId8"/>
        <a:stretch>
          <a:fillRect/>
        </a:stretch>
      </xdr:blipFill>
      <xdr:spPr>
        <a:xfrm>
          <a:off x="10287000" y="8915400"/>
          <a:ext cx="8000000" cy="4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285200</xdr:colOff>
      <xdr:row>23</xdr:row>
      <xdr:rowOff>113757</xdr:rowOff>
    </xdr:to>
    <xdr:pic>
      <xdr:nvPicPr>
        <xdr:cNvPr id="2" name="图片 1">
          <a:extLst>
            <a:ext uri="{FF2B5EF4-FFF2-40B4-BE49-F238E27FC236}">
              <a16:creationId xmlns:a16="http://schemas.microsoft.com/office/drawing/2014/main" id="{8345413B-E765-CB5A-D036-66E23AB540DF}"/>
            </a:ext>
          </a:extLst>
        </xdr:cNvPr>
        <xdr:cNvPicPr>
          <a:picLocks noChangeAspect="1"/>
        </xdr:cNvPicPr>
      </xdr:nvPicPr>
      <xdr:blipFill>
        <a:blip xmlns:r="http://schemas.openxmlformats.org/officeDocument/2006/relationships" r:embed="rId1"/>
        <a:stretch>
          <a:fillRect/>
        </a:stretch>
      </xdr:blipFill>
      <xdr:spPr>
        <a:xfrm>
          <a:off x="0" y="0"/>
          <a:ext cx="4400000" cy="4342857"/>
        </a:xfrm>
        <a:prstGeom prst="rect">
          <a:avLst/>
        </a:prstGeom>
      </xdr:spPr>
    </xdr:pic>
    <xdr:clientData/>
  </xdr:twoCellAnchor>
  <xdr:twoCellAnchor editAs="oneCell">
    <xdr:from>
      <xdr:col>4</xdr:col>
      <xdr:colOff>466725</xdr:colOff>
      <xdr:row>13</xdr:row>
      <xdr:rowOff>66675</xdr:rowOff>
    </xdr:from>
    <xdr:to>
      <xdr:col>10</xdr:col>
      <xdr:colOff>683730</xdr:colOff>
      <xdr:row>21</xdr:row>
      <xdr:rowOff>78289</xdr:rowOff>
    </xdr:to>
    <xdr:pic>
      <xdr:nvPicPr>
        <xdr:cNvPr id="3" name="图片 2">
          <a:extLst>
            <a:ext uri="{FF2B5EF4-FFF2-40B4-BE49-F238E27FC236}">
              <a16:creationId xmlns:a16="http://schemas.microsoft.com/office/drawing/2014/main" id="{D48BADA9-C628-44DD-B458-1C19D599572A}"/>
            </a:ext>
          </a:extLst>
        </xdr:cNvPr>
        <xdr:cNvPicPr>
          <a:picLocks noChangeAspect="1"/>
        </xdr:cNvPicPr>
      </xdr:nvPicPr>
      <xdr:blipFill>
        <a:blip xmlns:r="http://schemas.openxmlformats.org/officeDocument/2006/relationships" r:embed="rId2"/>
        <a:stretch>
          <a:fillRect/>
        </a:stretch>
      </xdr:blipFill>
      <xdr:spPr>
        <a:xfrm>
          <a:off x="3209925" y="2390775"/>
          <a:ext cx="4331805" cy="15356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265044</xdr:colOff>
      <xdr:row>31</xdr:row>
      <xdr:rowOff>35004</xdr:rowOff>
    </xdr:from>
    <xdr:to>
      <xdr:col>11</xdr:col>
      <xdr:colOff>662609</xdr:colOff>
      <xdr:row>53</xdr:row>
      <xdr:rowOff>15994</xdr:rowOff>
    </xdr:to>
    <xdr:pic>
      <xdr:nvPicPr>
        <xdr:cNvPr id="2" name="图片 1">
          <a:extLst>
            <a:ext uri="{FF2B5EF4-FFF2-40B4-BE49-F238E27FC236}">
              <a16:creationId xmlns:a16="http://schemas.microsoft.com/office/drawing/2014/main" id="{D0C5C22F-333D-BA07-4738-CDBB98684F63}"/>
            </a:ext>
          </a:extLst>
        </xdr:cNvPr>
        <xdr:cNvPicPr>
          <a:picLocks noChangeAspect="1"/>
        </xdr:cNvPicPr>
      </xdr:nvPicPr>
      <xdr:blipFill>
        <a:blip xmlns:r="http://schemas.openxmlformats.org/officeDocument/2006/relationships" r:embed="rId1"/>
        <a:stretch>
          <a:fillRect/>
        </a:stretch>
      </xdr:blipFill>
      <xdr:spPr>
        <a:xfrm>
          <a:off x="7818783" y="5973634"/>
          <a:ext cx="5756413" cy="4337643"/>
        </a:xfrm>
        <a:prstGeom prst="rect">
          <a:avLst/>
        </a:prstGeom>
      </xdr:spPr>
    </xdr:pic>
    <xdr:clientData/>
  </xdr:twoCellAnchor>
  <xdr:twoCellAnchor editAs="oneCell">
    <xdr:from>
      <xdr:col>2</xdr:col>
      <xdr:colOff>1242391</xdr:colOff>
      <xdr:row>29</xdr:row>
      <xdr:rowOff>105347</xdr:rowOff>
    </xdr:from>
    <xdr:to>
      <xdr:col>5</xdr:col>
      <xdr:colOff>430696</xdr:colOff>
      <xdr:row>37</xdr:row>
      <xdr:rowOff>34134</xdr:rowOff>
    </xdr:to>
    <xdr:pic>
      <xdr:nvPicPr>
        <xdr:cNvPr id="3" name="图片 2">
          <a:extLst>
            <a:ext uri="{FF2B5EF4-FFF2-40B4-BE49-F238E27FC236}">
              <a16:creationId xmlns:a16="http://schemas.microsoft.com/office/drawing/2014/main" id="{EDE1D987-5F40-F263-0393-3A7CB170E44B}"/>
            </a:ext>
          </a:extLst>
        </xdr:cNvPr>
        <xdr:cNvPicPr>
          <a:picLocks noChangeAspect="1"/>
        </xdr:cNvPicPr>
      </xdr:nvPicPr>
      <xdr:blipFill>
        <a:blip xmlns:r="http://schemas.openxmlformats.org/officeDocument/2006/relationships" r:embed="rId2"/>
        <a:stretch>
          <a:fillRect/>
        </a:stretch>
      </xdr:blipFill>
      <xdr:spPr>
        <a:xfrm>
          <a:off x="3652630" y="5662977"/>
          <a:ext cx="4331805" cy="15356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589276</xdr:colOff>
      <xdr:row>67</xdr:row>
      <xdr:rowOff>74755</xdr:rowOff>
    </xdr:to>
    <xdr:pic>
      <xdr:nvPicPr>
        <xdr:cNvPr id="2" name="图片 1">
          <a:extLst>
            <a:ext uri="{FF2B5EF4-FFF2-40B4-BE49-F238E27FC236}">
              <a16:creationId xmlns:a16="http://schemas.microsoft.com/office/drawing/2014/main" id="{6C43890A-C79F-346C-D088-9D48923B5EA9}"/>
            </a:ext>
          </a:extLst>
        </xdr:cNvPr>
        <xdr:cNvPicPr>
          <a:picLocks noChangeAspect="1"/>
        </xdr:cNvPicPr>
      </xdr:nvPicPr>
      <xdr:blipFill>
        <a:blip xmlns:r="http://schemas.openxmlformats.org/officeDocument/2006/relationships" r:embed="rId1"/>
        <a:stretch>
          <a:fillRect/>
        </a:stretch>
      </xdr:blipFill>
      <xdr:spPr>
        <a:xfrm>
          <a:off x="0" y="0"/>
          <a:ext cx="10190476" cy="11561905"/>
        </a:xfrm>
        <a:prstGeom prst="rect">
          <a:avLst/>
        </a:prstGeom>
      </xdr:spPr>
    </xdr:pic>
    <xdr:clientData/>
  </xdr:twoCellAnchor>
  <xdr:twoCellAnchor editAs="oneCell">
    <xdr:from>
      <xdr:col>15</xdr:col>
      <xdr:colOff>342900</xdr:colOff>
      <xdr:row>29</xdr:row>
      <xdr:rowOff>147203</xdr:rowOff>
    </xdr:from>
    <xdr:to>
      <xdr:col>31</xdr:col>
      <xdr:colOff>569894</xdr:colOff>
      <xdr:row>53</xdr:row>
      <xdr:rowOff>75620</xdr:rowOff>
    </xdr:to>
    <xdr:pic>
      <xdr:nvPicPr>
        <xdr:cNvPr id="3" name="图片 2">
          <a:extLst>
            <a:ext uri="{FF2B5EF4-FFF2-40B4-BE49-F238E27FC236}">
              <a16:creationId xmlns:a16="http://schemas.microsoft.com/office/drawing/2014/main" id="{B2CF8940-6D3C-5116-C70E-6869F6C10313}"/>
            </a:ext>
          </a:extLst>
        </xdr:cNvPr>
        <xdr:cNvPicPr>
          <a:picLocks noChangeAspect="1"/>
        </xdr:cNvPicPr>
      </xdr:nvPicPr>
      <xdr:blipFill>
        <a:blip xmlns:r="http://schemas.openxmlformats.org/officeDocument/2006/relationships" r:embed="rId2"/>
        <a:stretch>
          <a:fillRect/>
        </a:stretch>
      </xdr:blipFill>
      <xdr:spPr>
        <a:xfrm>
          <a:off x="10629900" y="5119253"/>
          <a:ext cx="11199794" cy="4043217"/>
        </a:xfrm>
        <a:prstGeom prst="rect">
          <a:avLst/>
        </a:prstGeom>
      </xdr:spPr>
    </xdr:pic>
    <xdr:clientData/>
  </xdr:twoCellAnchor>
  <xdr:twoCellAnchor editAs="oneCell">
    <xdr:from>
      <xdr:col>15</xdr:col>
      <xdr:colOff>390525</xdr:colOff>
      <xdr:row>52</xdr:row>
      <xdr:rowOff>62802</xdr:rowOff>
    </xdr:from>
    <xdr:to>
      <xdr:col>30</xdr:col>
      <xdr:colOff>236532</xdr:colOff>
      <xdr:row>78</xdr:row>
      <xdr:rowOff>27880</xdr:rowOff>
    </xdr:to>
    <xdr:pic>
      <xdr:nvPicPr>
        <xdr:cNvPr id="4" name="图片 3">
          <a:extLst>
            <a:ext uri="{FF2B5EF4-FFF2-40B4-BE49-F238E27FC236}">
              <a16:creationId xmlns:a16="http://schemas.microsoft.com/office/drawing/2014/main" id="{DAD4009C-EFCD-42AA-28D9-1CB175C6599F}"/>
            </a:ext>
          </a:extLst>
        </xdr:cNvPr>
        <xdr:cNvPicPr>
          <a:picLocks noChangeAspect="1"/>
        </xdr:cNvPicPr>
      </xdr:nvPicPr>
      <xdr:blipFill>
        <a:blip xmlns:r="http://schemas.openxmlformats.org/officeDocument/2006/relationships" r:embed="rId3"/>
        <a:stretch>
          <a:fillRect/>
        </a:stretch>
      </xdr:blipFill>
      <xdr:spPr>
        <a:xfrm>
          <a:off x="10677525" y="8978202"/>
          <a:ext cx="10133007" cy="44227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Worksheet%20in%205241-2%202003%20Long%20Term%20Investment%20Breakdown"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Worksheet%20in%20(C)%205790%20Derivative%202005123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win10\Desktop\&#27979;&#31639;-&#39318;&#24320;&#29081;&#24742;&#22825;&#3490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28779;&#28844;&#22823;&#21414;\0805&#20462;&#25913;&#27979;&#31639;-&#39318;&#24320;&#21551;&#36842;&#31185;&#25216;&#22823;&#21414;.xlsx" TargetMode="External"/><Relationship Id="rId1" Type="http://schemas.openxmlformats.org/officeDocument/2006/relationships/externalLinkPath" Target="0805&#20462;&#25913;&#27979;&#31639;-&#39318;&#24320;&#21551;&#36842;&#31185;&#25216;&#22823;&#214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F:\&#28779;&#28844;&#22823;&#21414;\&#36164;&#26009;\&#28779;&#28844;&#25910;&#20837;&#21488;&#36134;-2024.xlsx" TargetMode="External"/><Relationship Id="rId1" Type="http://schemas.openxmlformats.org/officeDocument/2006/relationships/externalLinkPath" Target="&#36164;&#26009;/&#28779;&#28844;&#25910;&#20837;&#21488;&#36134;-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pmad2"/>
      <sheetName val="UFPrn20020708110604"/>
      <sheetName val="XL4Poppy"/>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M-5A"/>
      <sheetName val="应付－武汉运盛钢铁贸易有限公司"/>
      <sheetName val="襄樊鼎益机电有限公司"/>
      <sheetName val="企业表一"/>
      <sheetName val="M-5C"/>
      <sheetName val="Sheet1"/>
      <sheetName val="应收账款明细表"/>
      <sheetName val="平均年限法(基于入账原值和入账预计使用期间)"/>
      <sheetName val="资产分类信息"/>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会计科目"/>
      <sheetName val="#REF!"/>
      <sheetName val="Main"/>
      <sheetName val="Financ__Overview"/>
      <sheetName val="Toolbox"/>
      <sheetName val="盈余公积 （合并)"/>
      <sheetName val="固定资产明细表"/>
      <sheetName val="固及累及减值"/>
      <sheetName val="56261盘点"/>
      <sheetName val="货币资金"/>
      <sheetName val="包增减变动"/>
      <sheetName val="其他应收明细表"/>
      <sheetName val="在建工程审计说明"/>
      <sheetName val="124301 查询"/>
      <sheetName val="经贸库存商品"/>
      <sheetName val="总分类账"/>
      <sheetName val="inf"/>
      <sheetName val="封面"/>
      <sheetName val="长期股权投资"/>
      <sheetName val="CF"/>
      <sheetName val="户名"/>
      <sheetName val="表4-12"/>
      <sheetName val="Third party"/>
      <sheetName val="核算项目余额表"/>
      <sheetName val="82130其他"/>
      <sheetName val="G.1R-Shou COP Gf"/>
      <sheetName val=""/>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¹ÌÕ[£¨2£©"/>
      <sheetName val="????????"/>
      <sheetName val="_701"/>
      <sheetName val="_702"/>
      <sheetName val="_703"/>
      <sheetName val="_704"/>
      <sheetName val="_705"/>
      <sheetName val="_712"/>
      <sheetName val="新产品贡献率"/>
      <sheetName val="________"/>
      <sheetName val="KKKKKKKK"/>
      <sheetName val="4.3.1物料损耗率"/>
      <sheetName val="设定"/>
      <sheetName val="福华整理6月负债表"/>
      <sheetName val="YS02-02"/>
      <sheetName val="_x005f_x0000__x005f_x0000__x005f_x0000__x005f_x0000__x0"/>
      <sheetName val="_04009"/>
      <sheetName val="_0401"/>
      <sheetName val="UFPrn20040930171821"/>
      <sheetName val="4-货币资金-现金"/>
      <sheetName val="灰铁明细账"/>
      <sheetName val="国产化斜楔明细账"/>
      <sheetName val="600104(部门）"/>
      <sheetName val="改账前余额表"/>
      <sheetName val="帐务资料"/>
      <sheetName val="长期股权投资Cx"/>
      <sheetName val="长期股权投资Dy"/>
      <sheetName val="实收资本Cx"/>
      <sheetName val="资产减值损失Cx"/>
      <sheetName val="库存商品Cx"/>
      <sheetName val="#REF"/>
      <sheetName val="订单"/>
      <sheetName val="选项表"/>
      <sheetName val="其他货币资金.dbf"/>
      <sheetName val="银行存款.dbf"/>
      <sheetName val="_x005f_x005f_x005f_x0000__x005f_x005f_x005f_x0000__x005"/>
      <sheetName val="_x005f_x005f_x005f_x005f_x005f_x005f_x005f_x0000__x005f"/>
      <sheetName val="资产表横向"/>
      <sheetName val="目录"/>
      <sheetName val="期初调整"/>
      <sheetName val="SMCTSSP2"/>
      <sheetName val="Market share"/>
      <sheetName val="fs(for Consol)"/>
      <sheetName val="10-2.固定资产处置表"/>
      <sheetName val="收入"/>
      <sheetName val="物业类型"/>
      <sheetName val="表格索引"/>
      <sheetName val="应收电费情况一览表"/>
      <sheetName val="_x005f_x005f_x005f_x005f_x005f_x005f_x005f_x005f_x005f_x005f_"/>
      <sheetName val="分产品销售收入、成本分析表"/>
      <sheetName val="其他凭证抽查"/>
      <sheetName val="K3代码"/>
      <sheetName val="公司管理费用"/>
      <sheetName val="资产负债表及损益表"/>
      <sheetName val="重要内部交易"/>
      <sheetName val="财务费用"/>
      <sheetName val="管理费用"/>
      <sheetName val="营业费用"/>
      <sheetName val="制造费用"/>
      <sheetName val="Open"/>
      <sheetName val="56271-2"/>
      <sheetName val="所得税凭证抽查"/>
      <sheetName val="应交税费审定表"/>
      <sheetName val="Sheet9"/>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Sheet1 (11)"/>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成品计价测试"/>
      <sheetName val="基本信息"/>
      <sheetName val="3、工程在施情况明细表 "/>
      <sheetName val="营业收入程序表"/>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营业成本11"/>
      <sheetName val="营业成本程序表"/>
      <sheetName val="_x005f_x0000__x005f_x0000__x005"/>
      <sheetName val="_x005f_x005f_x005f_x0000__x005f"/>
      <sheetName val="_x005f_x005f_x005f_x005f_"/>
      <sheetName val="_x005f_x005f_x005f_x005f_x005f_x005f_x005f_x005f_"/>
      <sheetName val="_x005f_x0000__x005f"/>
      <sheetName val="_x005f_x005f_"/>
      <sheetName val="基础值集"/>
      <sheetName val="计算稿封面"/>
      <sheetName val="门窗表"/>
      <sheetName val="计算稿"/>
      <sheetName val="4"/>
      <sheetName val="5"/>
      <sheetName val="6"/>
      <sheetName val="7"/>
      <sheetName val="8"/>
      <sheetName val="9"/>
      <sheetName val="10"/>
      <sheetName val="11"/>
      <sheetName val="12"/>
      <sheetName val="材料采购－原材料（购价）"/>
      <sheetName val="收入明细－按客户"/>
      <sheetName val="�ܱȱ�2��"/>
      <sheetName val="�Ʊȱ�2��"/>
      <sheetName val="���ۣ�2��"/>
      <sheetName val="�ʸ���"/>
      <sheetName val="ë��"/>
      <sheetName val="�ܱȱ�"/>
      <sheetName val="�̶����ɱ�Ԥ��"/>
      <sheetName val="���ڷ���"/>
      <sheetName val="11�Ȼ���"/>
      <sheetName val="13�ȸ�Ũ"/>
      <sheetName val="13�ȷ����"/>
      <sheetName val="13.65��ѩ��"/>
      <sheetName val="13.6ѩ�������"/>
      <sheetName val="13.65����"/>
      <sheetName val="11�ȸ�ơ"/>
      <sheetName val="����úˮ��"/>
      <sheetName val="úˮ�籸�� "/>
      <sheetName val="10.5�ȳɱ���"/>
      <sheetName val="11��ѩ�ɱ���"/>
      <sheetName val="11�����سɱ���"/>
      <sheetName val="ѩ���ɳɱ���"/>
      <sheetName val="�����ɱ���"/>
      <sheetName val="11�������ʳɱ���"/>
      <sheetName val="��Ʒ����"/>
      <sheetName val="��Ʒúˮ��"/>
      <sheetName val="��Ʒƿ���̱�"/>
      <sheetName val="ѩ�������"/>
      <sheetName val="ѩ���ɷ����"/>
      <sheetName val="�����ʷ����"/>
      <sheetName val="Ͱ��15L"/>
      <sheetName val="Ͱ��20L"/>
      <sheetName val="Ͱ��30L"/>
      <sheetName val="Ͱ��10L"/>
      <sheetName val="Ͱ��5L"/>
      <sheetName val="Ͱ��20L (ѩ) "/>
      <sheetName val="Ͱ��30L (ѩ)  "/>
      <sheetName val="Ͱ��15L(����"/>
      <sheetName val="Ͱ��20L(ѩ���ɣ�"/>
      <sheetName val="����"/>
      <sheetName val="13_65��ѩ��"/>
      <sheetName val="13_6ѩ�������"/>
      <sheetName val="13_65����"/>
      <sheetName val="úˮ�籸��_"/>
      <sheetName val="10_5�ȳɱ���"/>
      <sheetName val="Ͱ��20L_(ѩ)_"/>
      <sheetName val="Ͱ��30L_(ѩ)__"/>
      <sheetName val="�ܱ@��2��"/>
      <sheetName val="�Ʊȱ�2�)"/>
      <sheetName val="K�"/>
      <sheetName val="���_��2��"/>
      <sheetName val="�$��m"/>
      <sheetName val="Wʸ�1m"/>
      <sheetName val="ë�{��"/>
      <sheetName val="ӦK�1�"/>
      <sheetName val="Ӧ˰��"/>
      <sheetName val="������˷���"/>
      <sheetName val="��ˮ�����"/>
      <sheetName val="���ܱ�"/>
      <sheetName val="˵��"/>
      <sheetName val="_"/>
      <sheetName val="Sheet3"/>
      <sheetName val="C4_"/>
      <sheetName val="SW-TEO"/>
      <sheetName val="���[��2��"/>
      <sheetName val="삅ོ䚋栠Ѫ"/>
      <sheetName val="삅ོ"/>
      <sheetName val="삅ོ䚋"/>
      <sheetName val="삅ོ䚋栠"/>
      <sheetName val="调整后报表"/>
      <sheetName val="B5"/>
      <sheetName val="现金流量表"/>
      <sheetName val="报表附注"/>
      <sheetName val="非流动资产汇总"/>
      <sheetName val="基础数据配置"/>
      <sheetName val="总人口"/>
      <sheetName val="雪花干成本詨"/>
      <sheetName val="_200209"/>
      <sheetName val="一般预算收入"/>
      <sheetName val="行政区划"/>
      <sheetName val="C01-1"/>
      <sheetName val="存货差异分析表"/>
      <sheetName val="单位库"/>
      <sheetName val="电视监控"/>
      <sheetName val="Financ. Overview"/>
      <sheetName val="经济指标"/>
      <sheetName val="钢筋计算表"/>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参数表"/>
      <sheetName val="1-4栋结算清单汇总表"/>
      <sheetName val="设计指标"/>
      <sheetName val="墙面工程"/>
      <sheetName val="改加胶玻璃、室外栏杆"/>
      <sheetName val="廊桥水乡"/>
      <sheetName val="中央公园城"/>
      <sheetName val="11年计划"/>
      <sheetName val="字段"/>
      <sheetName val="1.投标总价封面"/>
      <sheetName val="折线图2数据"/>
      <sheetName val="合计"/>
      <sheetName val="P1012001"/>
      <sheetName val="变更部分 (3) "/>
      <sheetName val="D栋计算式明细"/>
      <sheetName val="内围地梁钢筋说明"/>
      <sheetName val="经济指标分析表"/>
      <sheetName val="尬尀一吀"/>
      <sheetName val="07年产量预测"/>
      <sheetName val="萧山厂"/>
      <sheetName val="余杭厂"/>
      <sheetName val="嘉兴厂"/>
      <sheetName val="台州厂"/>
      <sheetName val="宁波厂"/>
      <sheetName val="温州厂"/>
      <sheetName val="西湖厂"/>
      <sheetName val="德清厂"/>
      <sheetName val="营销中心"/>
      <sheetName val="삅"/>
      <sheetName val="参数"/>
      <sheetName val="产能分析"/>
      <sheetName val="出厂前质量反馈 "/>
      <sheetName val="ADDITION"/>
      <sheetName val="BPR"/>
      <sheetName val="发出商品"/>
      <sheetName val="6月"/>
      <sheetName val="Register"/>
      <sheetName val="þ"/>
      <sheetName val="合并利"/>
      <sheetName val="E1020"/>
      <sheetName val="ZH封面"/>
      <sheetName val="ZH-1明细表"/>
      <sheetName val="预收账款明细表"/>
      <sheetName val="利润调整过程表"/>
      <sheetName val="基本调整分录"/>
      <sheetName val="基本内容"/>
      <sheetName val="德清_x0001_"/>
      <sheetName val="Var % Summary-TBR制造差异率汇总-全钢"/>
      <sheetName val="月度毛利率分析表"/>
      <sheetName val="12月-调整"/>
      <sheetName val="其他应付单位"/>
      <sheetName val="其他应付款程序表"/>
      <sheetName val="应付款项、应交税金申报表"/>
      <sheetName val="XREF"/>
      <sheetName val="新建工作表 "/>
      <sheetName val="明细分类账"/>
      <sheetName val="应收账款程序表"/>
      <sheetName val="应收账款明细表(2011)"/>
      <sheetName val="余良卿9月"/>
      <sheetName val="FA Breakdown"/>
      <sheetName val="PER SALES ORG"/>
      <sheetName val="索引"/>
      <sheetName val="_x005f_x0000_"/>
      <sheetName val="_x005f_x005f_x005f_x0000_"/>
      <sheetName val="提足折旧"/>
      <sheetName val="科目"/>
      <sheetName val="替代测试表"/>
      <sheetName val="无形资产明细表"/>
      <sheetName val="利过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未合并子公司"/>
      <sheetName val="未合并联营公司"/>
      <sheetName val="联营公司"/>
      <sheetName val="其他股权投资"/>
      <sheetName val="债权投资"/>
      <sheetName val="长期股权投资差额"/>
      <sheetName val="合并价差"/>
      <sheetName val="sheet1"/>
      <sheetName val="detail"/>
      <sheetName val="Tickmarks"/>
      <sheetName val="#REF!"/>
      <sheetName val="目录"/>
      <sheetName val="短期投资"/>
      <sheetName val="SW-TEO"/>
      <sheetName val="Sheet2"/>
      <sheetName val="Sheet3"/>
      <sheetName val="B"/>
      <sheetName val="POWER ASSUMPTIONS"/>
      <sheetName val="Open"/>
      <sheetName val="Valuation"/>
      <sheetName val="集团外部关联方往来函证控制"/>
      <sheetName val="集团外部关联方交易及往来"/>
      <sheetName val="G.1R-Shou COP Gf"/>
      <sheetName val="P&amp;L weekly"/>
      <sheetName val="Sch PR-2"/>
      <sheetName val="Sch PR-3"/>
      <sheetName val="eqpmad2"/>
      <sheetName val="索引"/>
      <sheetName val="应付账款Dy"/>
      <sheetName val="投保项目"/>
      <sheetName val="披露表(国资)"/>
      <sheetName val="Common Assumptions"/>
      <sheetName val="#REF"/>
      <sheetName val="XREF"/>
      <sheetName val="Sale breakdown"/>
      <sheetName val="2002年关联方余额及交易"/>
      <sheetName val="Market share"/>
      <sheetName val="27设备-设备成本"/>
      <sheetName val="25土建-全钢一期二期"/>
      <sheetName val="25土建-全钢三期"/>
      <sheetName val="26其他土建"/>
      <sheetName val="核算项目余额表"/>
      <sheetName val="10-3.采购固定资产清单"/>
      <sheetName val="Reconciliation"/>
      <sheetName val="固定资产2001年折旧"/>
      <sheetName val="所得税凭证抽查"/>
      <sheetName val="应收票据(关联方)"/>
      <sheetName val="param"/>
      <sheetName val="CMC"/>
      <sheetName val="Sales branch breakdown"/>
      <sheetName val="2012试算平衡"/>
      <sheetName val="2011试算平衡"/>
      <sheetName val="明细表"/>
      <sheetName val="说明"/>
      <sheetName val="收入"/>
      <sheetName val="Toolbox"/>
      <sheetName val="序时账"/>
      <sheetName val="UFPrn20090223104227"/>
      <sheetName val="未展开"/>
      <sheetName val="参数"/>
      <sheetName val="设定"/>
      <sheetName val="明细分类账"/>
      <sheetName val="工时统计"/>
      <sheetName val="YS02-02"/>
      <sheetName val="E1020"/>
      <sheetName val="内部购入存货明细表"/>
      <sheetName val="清单"/>
      <sheetName val="基本信息及要求"/>
      <sheetName val="附注"/>
      <sheetName val="试算表"/>
      <sheetName val="表7递延所得税"/>
      <sheetName val="R050资产减值明细表"/>
      <sheetName val="应收帐款"/>
      <sheetName val="EJE Entry"/>
      <sheetName val="bkd"/>
      <sheetName val="封面 Cover"/>
      <sheetName val="目录 Index"/>
      <sheetName val="填列说明"/>
      <sheetName val="2005-interco"/>
      <sheetName val="Detail Test&amp;函证明细"/>
      <sheetName val="breakdown 母分公司"/>
      <sheetName val="Summary"/>
      <sheetName val="Deferred tax"/>
      <sheetName val="应付职工薪酬"/>
      <sheetName val="item"/>
      <sheetName val="应交税金"/>
      <sheetName val="dm"/>
      <sheetName val="1"/>
      <sheetName val="QQ"/>
      <sheetName val="UFPrn20091031094822"/>
      <sheetName val="企业表一"/>
      <sheetName val="M-5C"/>
      <sheetName val="M-5A"/>
      <sheetName val="UFPrn20090217104332"/>
      <sheetName val="FA"/>
      <sheetName val="新城资金明细"/>
      <sheetName val="申鑫大厦租金明细"/>
      <sheetName val="三林明细"/>
      <sheetName val="东陆明细"/>
      <sheetName val="关联交易-存款"/>
      <sheetName val="预收帐款"/>
      <sheetName val="STATPARA"/>
      <sheetName val="9-1折旧"/>
      <sheetName val="XL4Poppy"/>
      <sheetName val="房屋建筑物"/>
      <sheetName val="Rental Commitment 06.01"/>
      <sheetName val="会计科目设置"/>
      <sheetName val="master"/>
      <sheetName val="Worksheet in 5241-2 2003 Long T"/>
      <sheetName val="原材料-纸张帐"/>
      <sheetName val="试算平衡表"/>
      <sheetName val="XBase"/>
      <sheetName val="13-1基准日营运资金测算表"/>
      <sheetName val="13-2营运资金预测"/>
      <sheetName val="2011-2013年财务指标表"/>
      <sheetName val="折现率"/>
      <sheetName val="summary "/>
      <sheetName val="CARPARK STORE"/>
      <sheetName val="C01-1"/>
      <sheetName val="GDP"/>
      <sheetName val="农业用地"/>
      <sheetName val="盘点表"/>
      <sheetName val="Suppliers"/>
      <sheetName val="数据表"/>
      <sheetName val="04.9.30"/>
      <sheetName val="基本信息输入表"/>
      <sheetName val="conWP"/>
      <sheetName val="Assump2"/>
      <sheetName val="其他应付款"/>
      <sheetName val="CQFMA"/>
      <sheetName val="KKKKKKKK"/>
      <sheetName val="Dic"/>
      <sheetName val="03资产负债表"/>
      <sheetName val="04利润表"/>
      <sheetName val="UFPrn20040930171821"/>
      <sheetName val="125PIECE"/>
      <sheetName val="选择键"/>
      <sheetName val="FBC86-07"/>
      <sheetName val="G9-1"/>
      <sheetName val="for disclosure"/>
      <sheetName val="FA Breakdown"/>
      <sheetName val="销售成本"/>
      <sheetName val="管理费用"/>
      <sheetName val="利润表"/>
      <sheetName val="财务费用"/>
      <sheetName val="材料"/>
      <sheetName val="银行借款-指南"/>
      <sheetName val="Sheet8"/>
      <sheetName val="附20-对外借款"/>
      <sheetName val="附19-经营租赁承诺"/>
      <sheetName val="附18-资本承诺"/>
      <sheetName val="附21-其他事项"/>
      <sheetName val="附26-股本实收资本"/>
      <sheetName val="附27-资本公积与盈余公积"/>
      <sheetName val="For Report"/>
      <sheetName val="基础资料"/>
      <sheetName val="AJE Entry-活塞"/>
      <sheetName val="培训中心"/>
      <sheetName val="UFPrn20090217100806"/>
      <sheetName val="基本信息"/>
      <sheetName val="投资&amp;权益披露"/>
      <sheetName val="清单12.31"/>
      <sheetName val="使用说明"/>
      <sheetName val="Semi-An CF"/>
      <sheetName val="K1 1 宁总"/>
      <sheetName val="O2"/>
      <sheetName val="G1"/>
      <sheetName val="Impairment losses"/>
      <sheetName val="wwtb"/>
      <sheetName val="AR"/>
      <sheetName val="Guidance-English"/>
      <sheetName val="PTC"/>
      <sheetName val="Validation"/>
      <sheetName val="Mov‘2008"/>
      <sheetName val="Mov‘2007"/>
      <sheetName val="Mov‘2005"/>
      <sheetName val="Mov‘2006"/>
      <sheetName val="MarketShare"/>
      <sheetName val="accode"/>
      <sheetName val="A16C"/>
      <sheetName val="审计调整"/>
      <sheetName val="DATA"/>
      <sheetName val="E3关联方余额20141231"/>
      <sheetName val="E3关联方余额2012"/>
      <sheetName val="loan database"/>
      <sheetName val="UFPrn20090217095917"/>
      <sheetName val="收入明细－按客户"/>
      <sheetName val="封面"/>
      <sheetName val="外地"/>
      <sheetName val="坯布"/>
      <sheetName val="外销"/>
      <sheetName val="UFPrn20040104084034"/>
      <sheetName val="A430"/>
      <sheetName val="UFPrn20090217100744"/>
      <sheetName val="递延所得税资产工作底稿"/>
      <sheetName val="UFPrn20100117103748"/>
      <sheetName val="表5销售费用分析预测表"/>
      <sheetName val="填表封面"/>
      <sheetName val="资产负债表（合并）"/>
      <sheetName val="表1销量、收入、成本及吨油毛利测算表"/>
      <sheetName val="利润表（合并）"/>
      <sheetName val="表3其他业务收支预测表"/>
      <sheetName val="5折旧预测ok"/>
      <sheetName val="ENT"/>
      <sheetName val="FTHL"/>
      <sheetName val="GX"/>
      <sheetName val="IN"/>
      <sheetName val="ITCD"/>
      <sheetName val="LVLT"/>
      <sheetName val="MFNX"/>
      <sheetName val="NOPT"/>
      <sheetName val="TCM"/>
      <sheetName val="TSIX"/>
      <sheetName val="WCG"/>
      <sheetName val="会计科目"/>
      <sheetName val="GenAssms"/>
      <sheetName val="数量金额总账"/>
      <sheetName val="销账"/>
      <sheetName val="银行存款明细G2001"/>
      <sheetName val="差异调整97"/>
      <sheetName val="“预收账款”余额明细表"/>
      <sheetName val="Financial Statement"/>
      <sheetName val="99累油"/>
      <sheetName val="代码分类"/>
      <sheetName val="2002Intra Tran"/>
      <sheetName val="2004"/>
      <sheetName val="_04009"/>
      <sheetName val="_0401"/>
      <sheetName val="工会"/>
      <sheetName val="社保"/>
      <sheetName val="完"/>
      <sheetName val="38-其他应付款明细表"/>
      <sheetName val="37-应交税费"/>
      <sheetName val="51-未分配利润"/>
      <sheetName val="48-股本(实收资本)"/>
      <sheetName val="其他应付款科目余额2005.12.31"/>
      <sheetName val="5-3工程物资"/>
      <sheetName val="5-4-2在建安装"/>
      <sheetName val="5-5固定清理"/>
      <sheetName val="5-6待处理固定损失"/>
      <sheetName val="Tai khoan"/>
      <sheetName val="Sale summary"/>
      <sheetName val="dxnsjtempsheet"/>
      <sheetName val="56271-2"/>
      <sheetName val="短期借款导引表"/>
      <sheetName val="OR Breakdown"/>
      <sheetName val="TBC2008"/>
      <sheetName val="主营成本"/>
      <sheetName val="预付清单"/>
      <sheetName val="中山低值"/>
      <sheetName val="资本承诺"/>
      <sheetName val="担保情况表"/>
      <sheetName val="变动"/>
      <sheetName val="户名"/>
      <sheetName val="合并报表编制资料目录"/>
      <sheetName val="T05"/>
      <sheetName val="MI movement"/>
      <sheetName val="2015 TB"/>
      <sheetName val="交叉持股"/>
      <sheetName val="投资收益"/>
      <sheetName val="감가상각누계액"/>
      <sheetName val=""/>
      <sheetName val="SHFMA"/>
      <sheetName val="CD FMA"/>
      <sheetName val="FMC"/>
      <sheetName val="FMT"/>
      <sheetName val="6月"/>
      <sheetName val="项目目录"/>
      <sheetName val="old STD"/>
      <sheetName val="new STD"/>
      <sheetName val="表头"/>
      <sheetName val="OTA"/>
      <sheetName val="FL2"/>
      <sheetName val="LG2"/>
      <sheetName val="INVDAYS"/>
      <sheetName val="基础信息表"/>
      <sheetName val="基准日营运资金"/>
      <sheetName val="PG-Y-2（1）营业收入"/>
      <sheetName val="PG-Y-6所得税费用调整表"/>
      <sheetName val="PG-Y-1（现金流量表）"/>
      <sheetName val="国债"/>
      <sheetName val="无形资产折现率"/>
      <sheetName val="76767"/>
      <sheetName val="List of Name"/>
      <sheetName val="毛利分析图"/>
      <sheetName val="_x005f_x0000__x005f_x0000__x005f_x0000__x005f_x0000__x0"/>
      <sheetName val="电子"/>
      <sheetName val="DWMC"/>
      <sheetName val="选择报表"/>
      <sheetName val="其他应付款账龄分析"/>
      <sheetName val="Parameters"/>
      <sheetName val="基本情况表"/>
      <sheetName val="生产数"/>
      <sheetName val="关联方—创斯达"/>
      <sheetName val="关联方—东风汽车"/>
      <sheetName val="2002.1-6管理费用"/>
      <sheetName val="表21 净利润调节表"/>
      <sheetName val="Financ. Overview"/>
      <sheetName val="Calculation"/>
      <sheetName val="UFPrn20090207132003"/>
      <sheetName val="08.8"/>
      <sheetName val="6BPRO"/>
      <sheetName val="G2TempSheet"/>
      <sheetName val="抵销分录"/>
      <sheetName val="Equity movment"/>
      <sheetName val="原币"/>
      <sheetName val="佳吉实业"/>
      <sheetName val="萨摩亚"/>
      <sheetName val="現金"/>
      <sheetName val="TB"/>
      <sheetName val="期初数调整"/>
      <sheetName val="Assumptions"/>
      <sheetName val="Pro Forma2 - 100% Stock"/>
      <sheetName val="通用设备折旧复核"/>
      <sheetName val="专用设备折旧复核"/>
      <sheetName val="运输设备折旧复核"/>
      <sheetName val="电子设备折旧复核"/>
      <sheetName val="其他设备折旧"/>
      <sheetName val="Cover"/>
      <sheetName val="Assumption"/>
      <sheetName val="经评"/>
      <sheetName val="W"/>
      <sheetName val="营业收入和税金及附加估算表"/>
      <sheetName val="固定资产折旧表"/>
      <sheetName val="内部往来"/>
      <sheetName val="SAD"/>
      <sheetName val="资产负债表"/>
      <sheetName val="SENSITIVITY"/>
      <sheetName val="original"/>
      <sheetName val="利润分析"/>
      <sheetName val="资产负债分析"/>
      <sheetName val="III-1-10"/>
      <sheetName val="III-1-7"/>
      <sheetName val="III-1-9"/>
      <sheetName val="III-1-6"/>
      <sheetName val="III-1-1"/>
      <sheetName val="III-1-8"/>
      <sheetName val="III-1-2-1"/>
      <sheetName val="III-1-5"/>
      <sheetName val="III-1-4"/>
      <sheetName val="Final sample listing"/>
      <sheetName val="披露表"/>
      <sheetName val="Repayment Summary"/>
      <sheetName val="月份分析"/>
      <sheetName val="I120-10"/>
      <sheetName val="Agt team"/>
      <sheetName val="Asset issues"/>
      <sheetName val="SAP估价明细"/>
      <sheetName val="F1_F2_PK"/>
      <sheetName val="TC"/>
      <sheetName val="TE"/>
      <sheetName val="TH"/>
      <sheetName val="TM"/>
      <sheetName val="TP"/>
      <sheetName val="TQ"/>
      <sheetName val="TS"/>
      <sheetName val="E140-1"/>
      <sheetName val="E15"/>
      <sheetName val="Deficiency"/>
      <sheetName val="目  录"/>
      <sheetName val="Lists"/>
      <sheetName val="财务费用明细表"/>
      <sheetName val="UFPrn20040214175648"/>
      <sheetName val="JANUARY 1996"/>
      <sheetName val="采购合同"/>
      <sheetName val="帐龄分析"/>
      <sheetName val="Analysis"/>
      <sheetName val="2-2.매출분석"/>
      <sheetName val="Don gia"/>
      <sheetName val="gvl"/>
      <sheetName val="Movement"/>
      <sheetName val="A6"/>
      <sheetName val="制造费用合计数"/>
      <sheetName val="其他货币资金.dbf"/>
      <sheetName val="银行存款.dbf"/>
      <sheetName val="明细账"/>
      <sheetName val="Detail Loan Move. &amp; Listing"/>
      <sheetName val="以前年度损益调整"/>
      <sheetName val="安全费购置设备用途字典"/>
      <sheetName val="预收账款"/>
      <sheetName val="其收"/>
      <sheetName val="2002-CMHK"/>
      <sheetName val="Supporting"/>
      <sheetName val="book1"/>
      <sheetName val="1月余额"/>
      <sheetName val="H2-1"/>
      <sheetName val="表二"/>
      <sheetName val="天朗地产会计科目"/>
      <sheetName val="??????"/>
      <sheetName val="______"/>
      <sheetName val="基本情况"/>
      <sheetName val="3-Payable"/>
      <sheetName val="预算执行总表"/>
      <sheetName val="Worksheet_in_5241-2_2003_Long_T"/>
      <sheetName val="Sch_PR-2"/>
      <sheetName val="Sch_PR-3"/>
      <sheetName val="Sale_breakdown"/>
      <sheetName val="Market_share"/>
      <sheetName val="10-3_采购固定资产清单"/>
      <sheetName val="Worksheet_in_5241-2_2003_Long_1"/>
      <sheetName val="Sch_PR-21"/>
      <sheetName val="Sch_PR-31"/>
      <sheetName val="Sale_breakdown1"/>
      <sheetName val="Market_share1"/>
      <sheetName val="10-3_采购固定资产清单1"/>
      <sheetName val="Worksheet_in_5241-2_2003_Long_2"/>
      <sheetName val="Sch_PR-22"/>
      <sheetName val="Sch_PR-32"/>
      <sheetName val="Sale_breakdown2"/>
      <sheetName val="Market_share2"/>
      <sheetName val="10-3_采购固定资产清单2"/>
      <sheetName val="单位列表"/>
      <sheetName val="期间列表"/>
      <sheetName val="表1应付款、表2本月付款、表3未付款"/>
      <sheetName val="Report-AP3种"/>
      <sheetName val="S'pore Summary"/>
      <sheetName val="S'pore Cost Detail"/>
      <sheetName val="Third party"/>
      <sheetName val="三家其他应付公司"/>
      <sheetName val="盘存还原"/>
      <sheetName val="P6产品别"/>
      <sheetName val="Time Series"/>
      <sheetName val="B30"/>
      <sheetName val="vendor"/>
      <sheetName val="Tax Rate"/>
      <sheetName val="2017全年应收账款明细账"/>
      <sheetName val="G&amp;A expense"/>
      <sheetName val="FA&amp;CIP list"/>
      <sheetName val="Sales Analyse"/>
      <sheetName val="IS"/>
      <sheetName val="3"/>
      <sheetName val="Trial Balance"/>
      <sheetName val="23"/>
      <sheetName val="中国制药-2012"/>
      <sheetName val="Consolidated PL"/>
      <sheetName val="20.Income tax expenses"/>
      <sheetName val="7.Inventories"/>
      <sheetName val="12.Taxes payable"/>
      <sheetName val="22.Notes to consolidated cashfl"/>
      <sheetName val="2.AR"/>
      <sheetName val="Consolidated BS"/>
      <sheetName val="Consolidated CF"/>
      <sheetName val="科目对照表"/>
      <sheetName val="HK BS"/>
      <sheetName val="Drop Down"/>
      <sheetName val="数据定义1"/>
      <sheetName val="Validation source"/>
      <sheetName val="设备部房屋"/>
      <sheetName val="source"/>
      <sheetName val="银行大额测试"/>
      <sheetName val="MOTO"/>
      <sheetName val="余蓓"/>
      <sheetName val="土建-全钢一期二期"/>
      <sheetName val="其他土建"/>
      <sheetName val="填表说明"/>
      <sheetName val="出租开发产品明细"/>
      <sheetName val="营业费用截止"/>
      <sheetName val="维护"/>
      <sheetName val="(10)武汉"/>
      <sheetName val="(13)青岛"/>
      <sheetName val="AMMORTAMENTI CESPITI DA TARGARE"/>
      <sheetName val="期间"/>
      <sheetName val="ZKA2_lista"/>
      <sheetName val="统计期"/>
      <sheetName val="CUSTOMER (DETAIL)"/>
      <sheetName val="报表封面"/>
      <sheetName val="VW 358 &amp; Gleichteile"/>
      <sheetName val="EJE_Entry"/>
      <sheetName val="封面_Cover"/>
      <sheetName val="目录_Index"/>
      <sheetName val="Detail_Test&amp;函证明细"/>
      <sheetName val="breakdown_母分公司"/>
      <sheetName val="Deferred_tax"/>
      <sheetName val="For_Report"/>
      <sheetName val="AJE_Entry-活塞"/>
      <sheetName val="summary_"/>
      <sheetName val="POWER_ASSUMPTIONS"/>
      <sheetName val="G_1R-Shou_COP_Gf"/>
      <sheetName val="P&amp;L_weekly"/>
      <sheetName val="Sales_branch_breakdown"/>
      <sheetName val="Common_Assumptions"/>
      <sheetName val="MI_movement"/>
      <sheetName val="2015_TB"/>
      <sheetName val="Semi-An_CF"/>
      <sheetName val="K1_1_宁总"/>
      <sheetName val="Impairment_losses"/>
      <sheetName val="Equity_movment"/>
      <sheetName val="08_8"/>
      <sheetName val="CARPARK_STORE"/>
      <sheetName val="Third_party"/>
      <sheetName val="Pro_Forma2_-_100%_Stock"/>
      <sheetName val="G&amp;A_expense"/>
      <sheetName val="FA&amp;CIP_list"/>
      <sheetName val="Sales_Analyse"/>
      <sheetName val="EJE_Entry1"/>
      <sheetName val="封面_Cover1"/>
      <sheetName val="目录_Index1"/>
      <sheetName val="Detail_Test&amp;函证明细1"/>
      <sheetName val="breakdown_母分公司1"/>
      <sheetName val="Deferred_tax1"/>
      <sheetName val="For_Report1"/>
      <sheetName val="AJE_Entry-活塞1"/>
      <sheetName val="summary_1"/>
      <sheetName val="POWER_ASSUMPTIONS1"/>
      <sheetName val="G_1R-Shou_COP_Gf1"/>
      <sheetName val="P&amp;L_weekly1"/>
      <sheetName val="Sales_branch_breakdown1"/>
      <sheetName val="Common_Assumptions1"/>
      <sheetName val="MI_movement1"/>
      <sheetName val="2015_TB1"/>
      <sheetName val="Semi-An_CF1"/>
      <sheetName val="K1_1_宁总1"/>
      <sheetName val="Impairment_losses1"/>
      <sheetName val="Equity_movment1"/>
      <sheetName val="08_81"/>
      <sheetName val="CARPARK_STORE1"/>
      <sheetName val="Third_party1"/>
      <sheetName val="Pro_Forma2_-_100%_Stock1"/>
      <sheetName val="G&amp;A_expense1"/>
      <sheetName val="FA&amp;CIP_list1"/>
      <sheetName val="Sales_Analyse1"/>
      <sheetName val="AMMORTAMENTI_CESPITI_DA_TARGARE"/>
      <sheetName val="_x005f_x005f_x005f_x0000__x005f_x005f_x005f_x0000__x005"/>
      <sheetName val="_x0000__x0000__x0000__x0000__x0"/>
      <sheetName val="待摊费用明细表"/>
      <sheetName val="工程量"/>
      <sheetName val="安平县"/>
      <sheetName val="PG-Y-4（4）财务费用"/>
      <sheetName val="PG-Y-7营运资金"/>
      <sheetName val="01基础信息表"/>
      <sheetName val="PG-Y-4（3）研发费用"/>
      <sheetName val="Contacts"/>
      <sheetName val="5-6#线预付款账"/>
      <sheetName val="5#6#费用账"/>
      <sheetName val="物资采购含税转出"/>
      <sheetName val="科目代码"/>
      <sheetName val="参数配置"/>
      <sheetName val="委托方承诺函"/>
      <sheetName val="企业应提供资料"/>
      <sheetName val="资产占有方承诺函"/>
      <sheetName val="其他收支明细表"/>
      <sheetName val="CDFMA"/>
      <sheetName val="WHFMA"/>
      <sheetName val="KMFMA"/>
      <sheetName val="内部往来明细帐"/>
      <sheetName val="合"/>
      <sheetName val="主营业务收入"/>
      <sheetName val="06财年料工费用发生额"/>
      <sheetName val="06-01-07-01-01"/>
      <sheetName val="档案"/>
      <sheetName val="BS"/>
      <sheetName val="PL"/>
      <sheetName val="BQ余额表"/>
      <sheetName val="MRC"/>
      <sheetName val="Sheet1 (11)"/>
      <sheetName val="初始设定"/>
      <sheetName val="UFPrn20080331140559"/>
      <sheetName val="科目表"/>
      <sheetName val="报表项目"/>
      <sheetName val="基础信息"/>
      <sheetName val="原报调整分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43">
          <cell r="E243">
            <v>13612514.73</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Breakdown"/>
      <sheetName val="disclosure"/>
      <sheetName val="Spot"/>
      <sheetName val="Forward (CNY)"/>
      <sheetName val="Forward(USD)"/>
      <sheetName val="SWAP(CNY)"/>
      <sheetName val="SWAP(USD)"/>
      <sheetName val="IRS"/>
      <sheetName val="option"/>
      <sheetName val="Ex. rate"/>
      <sheetName val="libor"/>
      <sheetName val="IRS(PBC)"/>
      <sheetName val="XREF"/>
      <sheetName val="Tickmarks"/>
      <sheetName val="披露表(国资)"/>
      <sheetName val="Movement Schedule"/>
      <sheetName val="资本支出承担sample design"/>
      <sheetName val="Rental Commitment 06.01"/>
      <sheetName val="3. 存放同业款项（财务管理部）"/>
      <sheetName val="ExchangeRate"/>
      <sheetName val="Links"/>
      <sheetName val="Lead"/>
      <sheetName val="3-1-1现金"/>
      <sheetName val="17应付票据明细表"/>
      <sheetName val="损益表"/>
      <sheetName val="B"/>
      <sheetName val="附表"/>
      <sheetName val="预收帐款"/>
      <sheetName val="Sheet1"/>
      <sheetName val="收入"/>
      <sheetName val="说明"/>
      <sheetName val="eqpmad2"/>
      <sheetName val="detail"/>
      <sheetName val="Common Assumptions"/>
      <sheetName val="yb"/>
      <sheetName val="#REF!"/>
      <sheetName val="Sch PR-2"/>
      <sheetName val="Sch PR-3"/>
      <sheetName val="Worksheet in (C) 5790 Derivativ"/>
      <sheetName val="HO Checking"/>
      <sheetName val="Sheet2"/>
      <sheetName val="Breakdown RMB"/>
      <sheetName val="Switch Pg."/>
      <sheetName val="其他应付款科目余额2005.12.31"/>
      <sheetName val="5-3工程物资"/>
      <sheetName val="5-4-2在建安装"/>
      <sheetName val="5-5固定清理"/>
      <sheetName val="5-6待处理固定损失"/>
      <sheetName val="客户基本概况表"/>
      <sheetName val="表二"/>
      <sheetName val="XL4Poppy"/>
      <sheetName val="以前年度损益调整"/>
      <sheetName val="关联交易-存款"/>
      <sheetName val="报表格式"/>
      <sheetName val="完"/>
      <sheetName val="资产负债表"/>
      <sheetName val="短期投资股票投资.dbf"/>
      <sheetName val="短期投资国债投资.dbf"/>
      <sheetName val="股票投资收益.dbf"/>
      <sheetName val="其他货币海通.dbf"/>
      <sheetName val="其他货币零领路.dbf"/>
      <sheetName val="投资收益债券.dbf"/>
      <sheetName val="表六 "/>
      <sheetName val="状态"/>
      <sheetName val="新城资金明细"/>
      <sheetName val="申鑫大厦租金明细"/>
      <sheetName val="三林明细"/>
      <sheetName val="东陆明细"/>
      <sheetName val="现金流量表"/>
      <sheetName val="目录"/>
      <sheetName val="短期投资"/>
      <sheetName val="UFPrn20071231185857"/>
      <sheetName val="E1020"/>
      <sheetName val="财务费用"/>
      <sheetName val="资产负债表及损益表"/>
      <sheetName val="制造费用"/>
      <sheetName val="重要内部交易"/>
      <sheetName val="威尚重要交易"/>
      <sheetName val="管理费用"/>
      <sheetName val="营业费用"/>
      <sheetName val="手续费收入检查情况表"/>
      <sheetName val="Cover"/>
      <sheetName val="EBIT"/>
      <sheetName val="Data"/>
      <sheetName val="Sensitivities"/>
      <sheetName val="Page 14"/>
      <sheetName val="定义"/>
      <sheetName val="G.1R-Shou COP Gf"/>
      <sheetName val="测算表"/>
      <sheetName val="工会"/>
      <sheetName val="社保"/>
      <sheetName val="内部往来明细帐"/>
      <sheetName val="原材料"/>
      <sheetName val="基本参数"/>
      <sheetName val="POWER ASSUMPTIONS"/>
      <sheetName val="现金流"/>
      <sheetName val="参数配置"/>
      <sheetName val="应收账款"/>
      <sheetName val="封面"/>
      <sheetName val="抵债资产汇总"/>
      <sheetName val="固定资产汇总"/>
      <sheetName val="定额"/>
      <sheetName val="基础条件"/>
      <sheetName val="Breakdown(bran)"/>
      <sheetName val="Breakdown(deo)"/>
      <sheetName val="表三"/>
      <sheetName val="Financ. Overview"/>
      <sheetName val="Toolbox"/>
      <sheetName val="2014年TB"/>
      <sheetName val="财务费用、营业外收支"/>
      <sheetName val="6-GZ"/>
      <sheetName val="数外余额"/>
      <sheetName val="索引"/>
      <sheetName val="payroll"/>
      <sheetName val="Summary"/>
      <sheetName val="内部往来"/>
      <sheetName val="CQFMA"/>
      <sheetName val="OTA"/>
      <sheetName val="评估假设"/>
      <sheetName val="清单12.31"/>
      <sheetName val="Open"/>
      <sheetName val="企业表一"/>
      <sheetName val="M-5C"/>
      <sheetName val="M-5A"/>
      <sheetName val="#REF"/>
      <sheetName val="珍珠串收发存"/>
      <sheetName val="饰品收发存"/>
      <sheetName val="项链收发存"/>
      <sheetName val="辅件收发存"/>
      <sheetName val="原珠收发存"/>
      <sheetName val="基本生产成本"/>
      <sheetName val="W"/>
      <sheetName val="账"/>
      <sheetName val="基本情况表"/>
      <sheetName val="1月固定资产清单"/>
      <sheetName val="Sheet1 (11)"/>
      <sheetName val="报表项目"/>
      <sheetName val="基础信息"/>
      <sheetName val="calendar"/>
      <sheetName val="BQ余额表"/>
      <sheetName val="2002.1-6管理费用"/>
      <sheetName val="YS02-02"/>
      <sheetName val="Suppliers"/>
      <sheetName val="工时统计"/>
      <sheetName val="12月发往外库产品明细表"/>
      <sheetName val="序列表"/>
      <sheetName val="其他货币资金.dbf"/>
      <sheetName val="银行存款.dbf"/>
      <sheetName val="Repayment Summary"/>
      <sheetName val="organization data"/>
      <sheetName val="Validation source"/>
      <sheetName val="面积指标"/>
      <sheetName val="P&amp;L weekly"/>
      <sheetName val="Valuation"/>
      <sheetName val="选择报表"/>
      <sheetName val="表头"/>
      <sheetName val="报表标准名称"/>
      <sheetName val="5-6#线预付款账"/>
      <sheetName val="5#6#费用账"/>
      <sheetName val="索引表"/>
      <sheetName val="无形资产摊销明细-企业提供 "/>
      <sheetName val="IRR"/>
      <sheetName val="EQUIPM"/>
      <sheetName val="银行存款明细G2001"/>
      <sheetName val="固定资产折旧表"/>
      <sheetName val="银行借款询证"/>
      <sheetName val="表21 净利润调节表"/>
      <sheetName val="销账"/>
      <sheetName val="07-所得税"/>
      <sheetName val="06-所得税"/>
      <sheetName val="05-所得税"/>
      <sheetName val="6月"/>
      <sheetName val="物资采购含税转出"/>
      <sheetName val="原报调整分录"/>
      <sheetName val="审计调整分录"/>
      <sheetName val="Assumption"/>
      <sheetName val="Parameters"/>
      <sheetName val="电子"/>
      <sheetName val="中山低值"/>
      <sheetName val="Parameter"/>
      <sheetName val="Collateral"/>
      <sheetName val="O adj"/>
      <sheetName val="成本估算"/>
      <sheetName val="SW-TEO"/>
      <sheetName val="现金"/>
      <sheetName val="建筑定额"/>
      <sheetName val="Project Details"/>
      <sheetName val="Part 1"/>
      <sheetName val="Part 2"/>
      <sheetName val="Part 3"/>
      <sheetName val="Part 5"/>
      <sheetName val="INVDAYS"/>
      <sheetName val="Furniture &amp; Fixture (F&amp;F)"/>
      <sheetName val="Invoiced as at Nov-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典型户型修正"/>
      <sheetName val="分套面积表"/>
      <sheetName val="Sheet1"/>
      <sheetName val="Sheet4"/>
      <sheetName val="结果"/>
      <sheetName val="结果汇总"/>
      <sheetName val="结果表1层商业"/>
      <sheetName val="租金比较法-商业"/>
      <sheetName val="商业租金案例"/>
      <sheetName val="收益法倒推租金"/>
      <sheetName val="比较法-商业售价"/>
      <sheetName val="房山区商业平均售价"/>
      <sheetName val="在售"/>
      <sheetName val="商住售价"/>
      <sheetName val="商业出售案例"/>
      <sheetName val="成本法-商业"/>
      <sheetName val="基准地价修正"/>
      <sheetName val="比较法-车位"/>
      <sheetName val="收益法-车位"/>
      <sheetName val="比较法-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办公"/>
      <sheetName val="比较法-工业"/>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系统读取表"/>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row r="33">
          <cell r="B33">
            <v>0.03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6"/>
      <sheetName val="结果"/>
      <sheetName val="Sheet2"/>
      <sheetName val="Sheet1"/>
      <sheetName val="面积"/>
      <sheetName val="数据-取费表"/>
      <sheetName val="估价对象房地状况"/>
      <sheetName val="结果表"/>
      <sheetName val="收益法倒推租金-商业"/>
      <sheetName val="售价比较法-商业"/>
      <sheetName val="商业售价案例"/>
      <sheetName val="租金比较法-商业"/>
      <sheetName val="商业租金案例"/>
      <sheetName val="成本法"/>
      <sheetName val="成本法 (元)"/>
      <sheetName val="假设开发法"/>
      <sheetName val="收益法"/>
      <sheetName val="收益法 (元)"/>
      <sheetName val="收益法-酒店模型"/>
      <sheetName val="收益法（汇总）"/>
      <sheetName val="比较法-住宅"/>
      <sheetName val="收益法倒推租金-办公"/>
      <sheetName val="售价比较法-办公 "/>
      <sheetName val="办公售价案例"/>
      <sheetName val="租金比较法-办公"/>
      <sheetName val="办公租金案例"/>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系统读取表"/>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3">
          <cell r="E3">
            <v>2414.4300000000003</v>
          </cell>
        </row>
        <row r="17">
          <cell r="C17" t="str">
            <v>项目类型</v>
          </cell>
        </row>
        <row r="19">
          <cell r="C19" t="str">
            <v>商业</v>
          </cell>
          <cell r="E19">
            <v>1078.0900000000001</v>
          </cell>
        </row>
        <row r="20">
          <cell r="C20" t="str">
            <v>办公</v>
          </cell>
          <cell r="E20">
            <v>1336.34</v>
          </cell>
        </row>
        <row r="21">
          <cell r="E21">
            <v>0</v>
          </cell>
        </row>
        <row r="22">
          <cell r="E22">
            <v>0</v>
          </cell>
        </row>
        <row r="23">
          <cell r="E23">
            <v>0</v>
          </cell>
        </row>
        <row r="24">
          <cell r="E24">
            <v>0</v>
          </cell>
        </row>
        <row r="25">
          <cell r="E25">
            <v>0</v>
          </cell>
        </row>
        <row r="26">
          <cell r="E26">
            <v>0</v>
          </cell>
        </row>
        <row r="27">
          <cell r="C27" t="str">
            <v>小计</v>
          </cell>
          <cell r="E27">
            <v>2414.4300000000003</v>
          </cell>
        </row>
        <row r="28">
          <cell r="C28" t="str">
            <v>设备及其他</v>
          </cell>
          <cell r="E28">
            <v>0</v>
          </cell>
        </row>
        <row r="29">
          <cell r="C29" t="str">
            <v>公共配套及物业（住宅）</v>
          </cell>
          <cell r="E29">
            <v>0</v>
          </cell>
        </row>
        <row r="30">
          <cell r="C30" t="str">
            <v>小计</v>
          </cell>
          <cell r="E30">
            <v>0</v>
          </cell>
        </row>
        <row r="31">
          <cell r="C31" t="str">
            <v>合计</v>
          </cell>
          <cell r="E31">
            <v>2414.4300000000003</v>
          </cell>
        </row>
        <row r="32">
          <cell r="E32">
            <v>0</v>
          </cell>
        </row>
      </sheetData>
      <sheetData sheetId="14"/>
      <sheetData sheetId="15">
        <row r="13">
          <cell r="F13">
            <v>734.88</v>
          </cell>
        </row>
      </sheetData>
      <sheetData sheetId="16"/>
      <sheetData sheetId="17">
        <row r="2">
          <cell r="B2">
            <v>285.33</v>
          </cell>
        </row>
        <row r="3">
          <cell r="B3">
            <v>135.06</v>
          </cell>
        </row>
        <row r="4">
          <cell r="B4">
            <v>646.01</v>
          </cell>
        </row>
        <row r="5">
          <cell r="B5">
            <v>796.76</v>
          </cell>
        </row>
        <row r="7">
          <cell r="B7">
            <v>321.22000000000003</v>
          </cell>
        </row>
        <row r="8">
          <cell r="B8">
            <v>413.66</v>
          </cell>
        </row>
        <row r="10">
          <cell r="B10">
            <v>1002.32</v>
          </cell>
        </row>
        <row r="12">
          <cell r="B12">
            <v>1320.97</v>
          </cell>
        </row>
        <row r="14">
          <cell r="B14">
            <v>1488.24</v>
          </cell>
        </row>
        <row r="16">
          <cell r="B16">
            <v>1435.93</v>
          </cell>
        </row>
        <row r="18">
          <cell r="B18">
            <v>1435.93</v>
          </cell>
        </row>
        <row r="20">
          <cell r="B20">
            <v>1488.24</v>
          </cell>
        </row>
        <row r="22">
          <cell r="B22">
            <v>1435.93</v>
          </cell>
        </row>
        <row r="24">
          <cell r="B24">
            <v>1435.93</v>
          </cell>
        </row>
        <row r="26">
          <cell r="B26">
            <v>1488.24</v>
          </cell>
        </row>
        <row r="28">
          <cell r="B28">
            <v>1435.93</v>
          </cell>
        </row>
        <row r="30">
          <cell r="B30">
            <v>1435.93</v>
          </cell>
        </row>
        <row r="32">
          <cell r="B32">
            <v>1488.24</v>
          </cell>
        </row>
        <row r="34">
          <cell r="B34">
            <v>1435.93</v>
          </cell>
        </row>
        <row r="36">
          <cell r="B36">
            <v>1435.93</v>
          </cell>
        </row>
        <row r="38">
          <cell r="B38">
            <v>1488.24</v>
          </cell>
        </row>
        <row r="40">
          <cell r="B40">
            <v>1435.93</v>
          </cell>
        </row>
        <row r="42">
          <cell r="B42">
            <v>1435.93</v>
          </cell>
        </row>
        <row r="44">
          <cell r="B44">
            <v>1488.24</v>
          </cell>
        </row>
        <row r="46">
          <cell r="B46">
            <v>1435.93</v>
          </cell>
        </row>
        <row r="48">
          <cell r="B48">
            <v>1435.93</v>
          </cell>
        </row>
        <row r="50">
          <cell r="B50">
            <v>1488.24</v>
          </cell>
        </row>
        <row r="52">
          <cell r="B52">
            <v>1429.77</v>
          </cell>
        </row>
        <row r="54">
          <cell r="B54">
            <v>1429.77</v>
          </cell>
        </row>
      </sheetData>
      <sheetData sheetId="18"/>
      <sheetData sheetId="19">
        <row r="2">
          <cell r="B2">
            <v>45478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21"/>
      <sheetData sheetId="22"/>
      <sheetData sheetId="23">
        <row r="5">
          <cell r="C5" t="str">
            <v>启迪科技大厦</v>
          </cell>
        </row>
      </sheetData>
      <sheetData sheetId="24"/>
      <sheetData sheetId="25">
        <row r="61">
          <cell r="A61" t="str">
            <v>交易情况</v>
          </cell>
          <cell r="C61" t="str">
            <v>正常</v>
          </cell>
        </row>
        <row r="63">
          <cell r="B63" t="str">
            <v>用途</v>
          </cell>
          <cell r="C63" t="str">
            <v>商业</v>
          </cell>
        </row>
        <row r="86">
          <cell r="B86" t="str">
            <v>临街状况</v>
          </cell>
          <cell r="C86" t="str">
            <v>双面临界</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row>
        <row r="100">
          <cell r="B100" t="str">
            <v>商业类型</v>
          </cell>
          <cell r="C100" t="str">
            <v>综合体</v>
          </cell>
          <cell r="D100" t="str">
            <v>商业街商铺</v>
          </cell>
          <cell r="E100" t="str">
            <v>写字楼底商</v>
          </cell>
          <cell r="F100" t="str">
            <v>住宅底商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row>
        <row r="114">
          <cell r="B114" t="str">
            <v>业态</v>
          </cell>
          <cell r="C114" t="str">
            <v>非餐饮</v>
          </cell>
        </row>
        <row r="116">
          <cell r="B116" t="str">
            <v>层高</v>
          </cell>
          <cell r="C116" t="str">
            <v>标准层高</v>
          </cell>
        </row>
        <row r="120">
          <cell r="B120" t="str">
            <v>进深比</v>
          </cell>
          <cell r="C120" t="str">
            <v>正常</v>
          </cell>
        </row>
        <row r="122">
          <cell r="B122" t="str">
            <v>内部装修</v>
          </cell>
        </row>
      </sheetData>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sheetData sheetId="36">
        <row r="34">
          <cell r="C34">
            <v>1435.93</v>
          </cell>
        </row>
      </sheetData>
      <sheetData sheetId="37"/>
      <sheetData sheetId="38">
        <row r="62">
          <cell r="A62" t="str">
            <v>交易情况</v>
          </cell>
          <cell r="C62" t="str">
            <v>正常</v>
          </cell>
        </row>
        <row r="64">
          <cell r="B64" t="str">
            <v>用途</v>
          </cell>
          <cell r="C64" t="str">
            <v>办公</v>
          </cell>
        </row>
        <row r="87">
          <cell r="B87" t="str">
            <v>毗邻道路的类型与等级</v>
          </cell>
          <cell r="C87" t="str">
            <v>城市主干道-中关村东路</v>
          </cell>
          <cell r="D87" t="str">
            <v>城市主干道-成府路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row>
        <row r="119">
          <cell r="B119" t="str">
            <v>层高</v>
          </cell>
        </row>
        <row r="123">
          <cell r="B123" t="str">
            <v>内部装修</v>
          </cell>
        </row>
      </sheetData>
      <sheetData sheetId="39"/>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sheetData sheetId="47"/>
      <sheetData sheetId="4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9"/>
      <sheetData sheetId="50"/>
      <sheetData sheetId="51"/>
      <sheetData sheetId="52"/>
      <sheetData sheetId="53"/>
      <sheetData sheetId="54"/>
      <sheetData sheetId="55"/>
      <sheetData sheetId="56"/>
      <sheetData sheetId="5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租户信息表"/>
      <sheetName val="租赁情况统计表"/>
      <sheetName val="收入统计表-2021"/>
      <sheetName val="Sheet1"/>
      <sheetName val="Sheet2"/>
      <sheetName val="Sheet3"/>
      <sheetName val="Sheet4"/>
      <sheetName val="虾皮租赁信息"/>
      <sheetName val="辅-测绘报告"/>
      <sheetName val="辅-投资部测算版"/>
      <sheetName val="辅-面积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4">
          <cell r="C4">
            <v>993.59</v>
          </cell>
        </row>
        <row r="5">
          <cell r="C5">
            <v>1336.34</v>
          </cell>
        </row>
        <row r="7">
          <cell r="C7">
            <v>1472.3000000000002</v>
          </cell>
        </row>
        <row r="10">
          <cell r="C10">
            <v>1456.02</v>
          </cell>
        </row>
        <row r="11">
          <cell r="C11">
            <v>1456.02</v>
          </cell>
        </row>
        <row r="12">
          <cell r="C12">
            <v>1511</v>
          </cell>
        </row>
        <row r="13">
          <cell r="C13">
            <v>1456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估价对象为北京市房地产，为所有。根据《国有土地使用证》[]，估价对象（分摊）出让国有建设用地使用权面积为4831.42平方米，建筑面积为46330.33平方米。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估价对象为北京市房地产,属开发建设的，该项目尚在开发建设中。根据《国有土地使用证》[]，估价对象（分摊）出让国有建设用地使用权面积为4831.42平方米，规划建筑面积为46330.33平方米。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2024年6月30日</v>
      </c>
    </row>
    <row r="13" spans="1:2">
      <c r="A13" s="1119" t="s">
        <v>529</v>
      </c>
      <c r="B13" s="1120" t="str">
        <f>'预评函-1'!A18</f>
        <v>本次估价的“房地产价值”是指在正常市场情况下，在价值时点2024年6月30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本次评估采用的主估价方法为收益法和成本法。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46330.329999999994</v>
      </c>
    </row>
    <row r="44" spans="1:2">
      <c r="A44" s="1119" t="s">
        <v>575</v>
      </c>
      <c r="B44" s="1120" t="str">
        <f>'预评函-3'!C2</f>
        <v>(分摊)土地面积</v>
      </c>
    </row>
    <row r="45" spans="1:2">
      <c r="A45" s="1119" t="s">
        <v>547</v>
      </c>
      <c r="B45" s="1120">
        <f>'预评函-3'!C4</f>
        <v>4831.42</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34" sqref="F34"/>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3717</v>
      </c>
      <c r="C19" s="1442"/>
    </row>
    <row r="20" spans="1:3">
      <c r="A20" s="1441" t="s">
        <v>1048</v>
      </c>
      <c r="B20" s="1441" t="s">
        <v>3719</v>
      </c>
      <c r="C20" s="1442"/>
    </row>
    <row r="21" spans="1:3">
      <c r="A21" s="1441" t="s">
        <v>1049</v>
      </c>
      <c r="B21" s="1441" t="s">
        <v>3721</v>
      </c>
      <c r="C21" s="1442"/>
    </row>
    <row r="22" spans="1:3">
      <c r="A22" s="1441" t="s">
        <v>1050</v>
      </c>
      <c r="B22" s="1441" t="s">
        <v>3817</v>
      </c>
      <c r="C22" s="1442"/>
    </row>
    <row r="23" spans="1:3">
      <c r="A23" s="1441" t="s">
        <v>1051</v>
      </c>
      <c r="B23" s="1441" t="s">
        <v>3859</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68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84"/>
      <c r="B54" s="1447" t="s">
        <v>385</v>
      </c>
      <c r="C54" s="1445" t="s">
        <v>583</v>
      </c>
    </row>
    <row r="55" spans="1:4">
      <c r="A55" s="3684"/>
      <c r="B55" s="1447" t="s">
        <v>386</v>
      </c>
      <c r="C55" s="1445" t="s">
        <v>584</v>
      </c>
    </row>
    <row r="56" spans="1:4">
      <c r="A56" s="3684"/>
      <c r="B56" s="1447" t="s">
        <v>387</v>
      </c>
      <c r="C56" s="1445" t="s">
        <v>588</v>
      </c>
    </row>
    <row r="57" spans="1:4">
      <c r="A57" s="368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685" t="s">
        <v>2582</v>
      </c>
      <c r="J2" s="3685"/>
      <c r="K2" s="3685"/>
      <c r="L2" s="3685"/>
      <c r="M2" s="3685"/>
      <c r="N2" s="3685"/>
      <c r="O2" s="3685"/>
      <c r="P2" s="3685"/>
      <c r="Q2" s="3685"/>
      <c r="R2" s="3685"/>
    </row>
    <row r="3" spans="1:18">
      <c r="A3" s="2763" t="s">
        <v>2503</v>
      </c>
      <c r="B3" s="2764">
        <f>项目基本情况!D3</f>
        <v>45473</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2.4700000000000002</v>
      </c>
      <c r="D5" s="2768">
        <f>IF(ISERROR(ROUND(POWER(1+E5,A5-C5)*(POWER(1+E5,C5)-1)/(POWER(1+E5,A5)-1),3)),0,ROUND(POWER(1+E5,A5-C5)*(POWER(1+E5,C5)-1)/(POWER(1+E5,A5)-1),4))</f>
        <v>0.1166</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12.47</v>
      </c>
      <c r="D6" s="2768">
        <f>IF(ISERROR(ROUND(POWER(1+E6,A6-C6)*(POWER(1+E6,C6)-1)/(POWER(1+E6,A6)-1),3)),0,ROUND(POWER(1+E6,A6-C6)*(POWER(1+E6,C6)-1)/(POWER(1+E6,A6)-1),4))</f>
        <v>0.45019999999999999</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32.49</v>
      </c>
      <c r="D7" s="2768">
        <f>IF(ISERROR(ROUND(POWER(1+E7,A7-C7)*(POWER(1+E7,C7)-1)/(POWER(1+E7,A7)-1),3)),0,ROUND(POWER(1+E7,A7-C7)*(POWER(1+E7,C7)-1)/(POWER(1+E7,A7)-1),4))</f>
        <v>0.76980000000000004</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4.25" thickBot="1">
      <c r="A18" s="2773" t="s">
        <v>2518</v>
      </c>
      <c r="B18" s="2774">
        <f>ROUND(B17*F11/F12,2)</f>
        <v>5541.87</v>
      </c>
      <c r="C18" s="2774">
        <f>ROUND(F11/F12,4)</f>
        <v>1.1521999999999999</v>
      </c>
      <c r="D18" s="2775"/>
      <c r="E18" s="2775"/>
      <c r="F18" s="2776"/>
    </row>
    <row r="19" spans="1:13" ht="14.25" thickBot="1"/>
    <row r="20" spans="1:13" s="2809" customFormat="1" ht="14.2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4.2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37" sqref="C37:C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693" t="str">
        <f>IF(B10="北京市","北京市",C10)&amp;F10&amp;IF(结果表!G1="在建","出让国有建设用地使用权及在建建筑物",IF(结果表!G1="土地","出让国有建设用地使用权",))&amp;B9&amp;"预评估"</f>
        <v>北京市房地产市场价值预评估</v>
      </c>
      <c r="C1" s="3694"/>
      <c r="D1" s="3694"/>
      <c r="E1" s="3694"/>
      <c r="F1" s="3694"/>
      <c r="G1" s="3694"/>
      <c r="H1" s="3694"/>
      <c r="I1" s="369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45473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3393</v>
      </c>
      <c r="C8" s="2201"/>
      <c r="D8" s="3696" t="s">
        <v>2177</v>
      </c>
      <c r="E8" s="2202"/>
      <c r="F8" s="2203"/>
      <c r="G8" s="2442"/>
      <c r="H8" s="2442"/>
      <c r="I8" s="2442"/>
      <c r="J8" s="2245"/>
      <c r="K8" s="2400"/>
      <c r="L8" s="2399"/>
      <c r="M8" s="2399"/>
      <c r="N8" s="2245"/>
      <c r="O8" s="1670"/>
      <c r="P8" s="2245"/>
      <c r="Q8" s="2245"/>
      <c r="R8" s="2245"/>
    </row>
    <row r="9" spans="1:30" ht="13.5" thickBot="1">
      <c r="A9" s="2204" t="s">
        <v>2178</v>
      </c>
      <c r="B9" s="2205" t="s">
        <v>3390</v>
      </c>
      <c r="C9" s="2206"/>
      <c r="D9" s="3697"/>
      <c r="E9" s="2205"/>
      <c r="F9" s="2207"/>
      <c r="G9" s="2443"/>
      <c r="H9" s="2443"/>
      <c r="I9" s="2443"/>
      <c r="J9" s="2245"/>
      <c r="K9" s="2402"/>
      <c r="L9" s="2399"/>
      <c r="M9" s="2399"/>
      <c r="N9" s="2245"/>
      <c r="O9" s="1670"/>
      <c r="P9" s="2245"/>
      <c r="Q9" s="2245"/>
      <c r="R9" s="2245"/>
    </row>
    <row r="10" spans="1:30" ht="13.5" thickTop="1">
      <c r="A10" s="2208" t="s">
        <v>2179</v>
      </c>
      <c r="B10" s="2209" t="s">
        <v>3391</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3392</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2" t="s">
        <v>3334</v>
      </c>
      <c r="B13" s="2218" t="s">
        <v>2190</v>
      </c>
      <c r="C13" s="803"/>
      <c r="D13" s="803"/>
      <c r="E13" s="803">
        <v>56227</v>
      </c>
      <c r="F13" s="803"/>
      <c r="G13" s="803"/>
      <c r="H13" s="803">
        <v>56227</v>
      </c>
      <c r="I13" s="803">
        <v>56227</v>
      </c>
      <c r="J13" s="2803"/>
      <c r="K13" s="2399"/>
      <c r="L13" s="2399"/>
      <c r="M13" s="2245"/>
      <c r="N13" s="1670"/>
      <c r="O13" s="2245"/>
      <c r="P13" s="2245"/>
      <c r="Q13" s="2245"/>
      <c r="AD13" s="1618"/>
    </row>
    <row r="14" spans="1:30">
      <c r="A14" s="1018"/>
      <c r="B14" s="2218" t="s">
        <v>2191</v>
      </c>
      <c r="C14" s="2219"/>
      <c r="D14" s="2219"/>
      <c r="E14" s="2219">
        <v>50</v>
      </c>
      <c r="F14" s="2219"/>
      <c r="G14" s="2219"/>
      <c r="H14" s="2219">
        <v>50</v>
      </c>
      <c r="I14" s="2219">
        <v>40</v>
      </c>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29.46</v>
      </c>
      <c r="F15" s="2221" t="str">
        <f>IF(A13="出让",IF(F13="","",ROUNDDOWN(MIN((F13-$D$3)/365,F14),2)),F14)</f>
        <v/>
      </c>
      <c r="G15" s="2221" t="str">
        <f>IF(A13="出让",IF(G13="","",ROUNDDOWN(MIN((G13-$D$3)/365,G14),2)),G14)</f>
        <v/>
      </c>
      <c r="H15" s="2221">
        <f>IF(A13="出让",IF(H13="","",ROUNDDOWN(MIN((H13-$D$3)/365,H14),2)),H14)</f>
        <v>29.46</v>
      </c>
      <c r="I15" s="2221">
        <f>IF(A13="出让",IF(I13="","",ROUNDDOWN(MIN((I13-$D$3)/365,I14),2)),I14)</f>
        <v>29.46</v>
      </c>
      <c r="J15" s="2805"/>
      <c r="K15" s="1670"/>
      <c r="L15" s="1670"/>
      <c r="M15" s="2245"/>
      <c r="N15" s="1670"/>
      <c r="O15" s="2245"/>
      <c r="P15" s="2245"/>
      <c r="Q15" s="2245"/>
      <c r="AD15" s="1618"/>
    </row>
    <row r="16" spans="1:30">
      <c r="A16" s="2211" t="s">
        <v>2193</v>
      </c>
      <c r="B16" s="3703"/>
      <c r="C16" s="3704"/>
      <c r="D16" s="3705"/>
      <c r="E16" s="2222" t="s">
        <v>2194</v>
      </c>
      <c r="F16" s="3706"/>
      <c r="G16" s="3707"/>
      <c r="H16" s="3707"/>
      <c r="I16" s="3708"/>
      <c r="J16" s="2245"/>
      <c r="K16" s="2403"/>
      <c r="L16" s="1670"/>
      <c r="M16" s="1670"/>
      <c r="N16" s="2245"/>
      <c r="O16" s="1670"/>
      <c r="P16" s="2245"/>
      <c r="Q16" s="2245"/>
      <c r="R16" s="2245"/>
    </row>
    <row r="17" spans="1:28">
      <c r="A17" s="305" t="s">
        <v>2195</v>
      </c>
      <c r="B17" s="294" t="s">
        <v>2196</v>
      </c>
      <c r="C17" s="8">
        <f>'数据-汇总表'!E3</f>
        <v>46330.329999999994</v>
      </c>
      <c r="D17" s="1256" t="s">
        <v>2197</v>
      </c>
      <c r="E17" s="3709" t="s">
        <v>2198</v>
      </c>
      <c r="F17" s="3710"/>
      <c r="G17" s="3710"/>
      <c r="H17" s="3710"/>
      <c r="I17" s="371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4831.42</v>
      </c>
      <c r="D18" s="1029" t="s">
        <v>2201</v>
      </c>
      <c r="E18" s="3712" t="s">
        <v>2202</v>
      </c>
      <c r="F18" s="3713"/>
      <c r="G18" s="3713"/>
      <c r="H18" s="3713"/>
      <c r="I18" s="371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699" t="s">
        <v>2206</v>
      </c>
      <c r="C20" s="3700"/>
      <c r="D20" s="3701" t="s">
        <v>2207</v>
      </c>
      <c r="E20" s="3702"/>
      <c r="F20" s="2430" t="s">
        <v>1056</v>
      </c>
      <c r="G20" s="2442"/>
      <c r="H20" s="2442"/>
      <c r="I20" s="2442"/>
      <c r="J20" s="2245"/>
      <c r="K20" s="369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69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69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68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68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68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688"/>
      <c r="B30" s="294" t="s">
        <v>2218</v>
      </c>
      <c r="C30" s="3689"/>
      <c r="D30" s="3690"/>
      <c r="E30" s="2442"/>
      <c r="F30" s="2442"/>
      <c r="G30" s="2442"/>
      <c r="H30" s="2442"/>
      <c r="I30" s="2442"/>
      <c r="J30" s="2245"/>
      <c r="K30" s="2402"/>
      <c r="L30" s="2399"/>
      <c r="M30" s="2399"/>
      <c r="N30" s="2245"/>
      <c r="O30" s="1670"/>
      <c r="P30" s="2245"/>
      <c r="Q30" s="2245"/>
      <c r="R30" s="2245"/>
      <c r="S30" s="2245"/>
      <c r="T30" s="2245"/>
      <c r="U30" s="2245"/>
      <c r="V30" s="2245"/>
    </row>
    <row r="31" spans="1:28">
      <c r="A31" s="369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69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69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686" t="s">
        <v>2228</v>
      </c>
      <c r="T34" s="315" t="str">
        <f>NUMBERSTRING(7-K34,1)&amp;"通"</f>
        <v>七通</v>
      </c>
      <c r="U34" s="2245"/>
      <c r="V34" s="2245"/>
    </row>
    <row r="35" spans="1:30">
      <c r="A35" s="2236"/>
      <c r="B35" s="3686" t="s">
        <v>2229</v>
      </c>
      <c r="C35" s="3686"/>
      <c r="D35" s="3686"/>
      <c r="E35" s="368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68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110</v>
      </c>
      <c r="D37" s="2237"/>
      <c r="E37" s="2237" t="s">
        <v>110</v>
      </c>
      <c r="F37" s="2237" t="s">
        <v>110</v>
      </c>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130</v>
      </c>
      <c r="D38" s="2238"/>
      <c r="E38" s="2238" t="s">
        <v>3722</v>
      </c>
      <c r="F38" s="2238" t="s">
        <v>130</v>
      </c>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hidden="1" customWidth="1"/>
    <col min="18" max="18" width="9.25" style="1463" hidden="1" customWidth="1"/>
    <col min="19" max="19" width="10.875" style="1463" hidden="1" customWidth="1"/>
    <col min="20" max="21" width="10.75" style="1463" hidden="1" customWidth="1"/>
    <col min="22" max="22" width="10.875" style="1463" hidden="1" customWidth="1"/>
    <col min="23" max="27" width="10.75" style="1463" hidden="1" customWidth="1"/>
    <col min="28" max="28" width="10.875" style="1463" hidden="1"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4831.42</v>
      </c>
      <c r="B3" s="11">
        <f>IF(C3="否",G5-AT5,G5)</f>
        <v>46330.329999999994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46330.329999999994</v>
      </c>
      <c r="H5" s="13">
        <f t="shared" ref="H5:AT5" si="0">SUM(H13:H656)</f>
        <v>46286.559999999998</v>
      </c>
      <c r="I5" s="13">
        <f t="shared" si="0"/>
        <v>38160.79</v>
      </c>
      <c r="J5" s="13">
        <f t="shared" si="0"/>
        <v>0</v>
      </c>
      <c r="K5" s="13">
        <f t="shared" si="0"/>
        <v>8125.77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43.769999999999996</v>
      </c>
      <c r="AD5" s="13">
        <f t="shared" si="0"/>
        <v>0</v>
      </c>
      <c r="AE5" s="13">
        <f t="shared" si="0"/>
        <v>0</v>
      </c>
      <c r="AF5" s="13">
        <f t="shared" si="0"/>
        <v>0</v>
      </c>
      <c r="AG5" s="13">
        <f t="shared" si="0"/>
        <v>0</v>
      </c>
      <c r="AH5" s="13">
        <f t="shared" si="0"/>
        <v>0</v>
      </c>
      <c r="AI5" s="13">
        <f t="shared" si="0"/>
        <v>0</v>
      </c>
      <c r="AJ5" s="13">
        <f t="shared" si="0"/>
        <v>0</v>
      </c>
      <c r="AK5" s="13">
        <f t="shared" si="0"/>
        <v>0</v>
      </c>
      <c r="AL5" s="13">
        <f t="shared" si="0"/>
        <v>43.769999999999996</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46330.329999999994</v>
      </c>
      <c r="BA5" s="15">
        <f t="shared" si="1"/>
        <v>46286.559999999998</v>
      </c>
      <c r="BB5" s="15">
        <f t="shared" si="1"/>
        <v>38160.79</v>
      </c>
      <c r="BC5" s="15">
        <f t="shared" si="1"/>
        <v>8125.77</v>
      </c>
      <c r="BD5" s="15">
        <f t="shared" si="1"/>
        <v>0</v>
      </c>
      <c r="BE5" s="15">
        <f t="shared" si="1"/>
        <v>0</v>
      </c>
      <c r="BF5" s="15">
        <f t="shared" si="1"/>
        <v>0</v>
      </c>
      <c r="BG5" s="15">
        <f t="shared" si="1"/>
        <v>0</v>
      </c>
      <c r="BH5" s="15">
        <f t="shared" si="1"/>
        <v>0</v>
      </c>
      <c r="BI5" s="15">
        <f t="shared" si="1"/>
        <v>0</v>
      </c>
      <c r="BJ5" s="15">
        <f t="shared" si="1"/>
        <v>0</v>
      </c>
      <c r="BK5" s="15">
        <f t="shared" si="1"/>
        <v>0</v>
      </c>
      <c r="BL5" s="15">
        <f t="shared" si="1"/>
        <v>43.769999999999996</v>
      </c>
      <c r="BM5" s="15">
        <f t="shared" si="1"/>
        <v>0</v>
      </c>
      <c r="BN5" s="15">
        <f t="shared" si="1"/>
        <v>0</v>
      </c>
      <c r="BO5" s="15">
        <f t="shared" si="1"/>
        <v>0</v>
      </c>
      <c r="BP5" s="15">
        <f t="shared" si="1"/>
        <v>0</v>
      </c>
      <c r="BQ5" s="15">
        <f t="shared" si="1"/>
        <v>43.769999999999996</v>
      </c>
      <c r="BR5" s="15">
        <f t="shared" si="1"/>
        <v>0</v>
      </c>
      <c r="BS5" s="15">
        <f t="shared" si="1"/>
        <v>0</v>
      </c>
      <c r="BT5" s="16">
        <f t="shared" si="1"/>
        <v>0</v>
      </c>
    </row>
    <row r="6" spans="1:72" s="1477" customFormat="1" ht="12.75">
      <c r="A6" s="12" t="s">
        <v>1072</v>
      </c>
      <c r="B6" s="1474"/>
      <c r="C6" s="1474"/>
      <c r="D6" s="1475"/>
      <c r="E6" s="13">
        <f>H6+AC6+AT6</f>
        <v>4831.4100000000008</v>
      </c>
      <c r="F6" s="13" t="s">
        <v>0</v>
      </c>
      <c r="G6" s="13" t="s">
        <v>1</v>
      </c>
      <c r="H6" s="17">
        <f>SUMIF(I$12:AB$12,"总值",I6:AB6)</f>
        <v>4826.8500000000004</v>
      </c>
      <c r="I6" s="13">
        <f t="shared" ref="I6:AB6" si="2">ROUND($A$3*I5/$B$3,2)</f>
        <v>3979.48</v>
      </c>
      <c r="J6" s="13">
        <f t="shared" si="2"/>
        <v>0</v>
      </c>
      <c r="K6" s="13">
        <f t="shared" si="2"/>
        <v>847.37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4.5599999999999996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4.5599999999999996</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4831.42</v>
      </c>
      <c r="AZ6" s="13" t="s">
        <v>2</v>
      </c>
      <c r="BA6" s="13">
        <f>ROUND($AY$6*BA5/$AZ$5,2)</f>
        <v>4826.8599999999997</v>
      </c>
      <c r="BB6" s="13">
        <f>ROUND($AY$6*BB5/$AZ$5,2)</f>
        <v>3979.48</v>
      </c>
      <c r="BC6" s="13">
        <f t="shared" ref="BC6:BH6" si="4">ROUND($AY$6*BC5/$AZ$5,2)</f>
        <v>847.37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4.5599999999999996</v>
      </c>
      <c r="BM6" s="13">
        <f t="shared" si="5"/>
        <v>0</v>
      </c>
      <c r="BN6" s="13">
        <f t="shared" si="5"/>
        <v>0</v>
      </c>
      <c r="BO6" s="13">
        <f t="shared" si="5"/>
        <v>0</v>
      </c>
      <c r="BP6" s="13">
        <f t="shared" si="5"/>
        <v>0</v>
      </c>
      <c r="BQ6" s="13">
        <f t="shared" si="5"/>
        <v>4.5599999999999996</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3625</v>
      </c>
      <c r="J9" s="761"/>
      <c r="K9" s="1491" t="s">
        <v>3623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3698</v>
      </c>
      <c r="E13" s="13">
        <f>IF($C$3="是",ROUND($A$3*G13/$B$3,2),ROUND($A$3*(G13-AT13)/$B$3,2))</f>
        <v>4831.42</v>
      </c>
      <c r="F13" s="29"/>
      <c r="G13" s="30">
        <f>H13+AC13+AT13</f>
        <v>46330.329999999994</v>
      </c>
      <c r="H13" s="17">
        <f>SUMIF(I$12:AB$12,"总值",I13:AB13)</f>
        <v>46286.559999999998</v>
      </c>
      <c r="I13" s="1514">
        <f>面积指标!K43</f>
        <v>38160.79</v>
      </c>
      <c r="J13" s="1514"/>
      <c r="K13" s="1514">
        <f>面积指标!K44+面积指标!K45</f>
        <v>8125.77</v>
      </c>
      <c r="L13" s="1514"/>
      <c r="M13" s="1514"/>
      <c r="N13" s="1514"/>
      <c r="O13" s="1514"/>
      <c r="P13" s="1514"/>
      <c r="Q13" s="1514"/>
      <c r="R13" s="1514"/>
      <c r="S13" s="1514"/>
      <c r="T13" s="1514"/>
      <c r="U13" s="1514"/>
      <c r="V13" s="1514"/>
      <c r="W13" s="1514"/>
      <c r="X13" s="1514"/>
      <c r="Y13" s="1514"/>
      <c r="Z13" s="1514"/>
      <c r="AA13" s="1514"/>
      <c r="AB13" s="1514"/>
      <c r="AC13" s="13">
        <f>SUMIF(AD$12:AS$12,"总值",AD13:AS13)</f>
        <v>43.769999999999996</v>
      </c>
      <c r="AD13" s="989"/>
      <c r="AE13" s="989"/>
      <c r="AF13" s="989"/>
      <c r="AG13" s="989"/>
      <c r="AH13" s="989"/>
      <c r="AI13" s="989"/>
      <c r="AJ13" s="989"/>
      <c r="AK13" s="989"/>
      <c r="AL13" s="989">
        <f>面积指标!U39</f>
        <v>43.769999999999996</v>
      </c>
      <c r="AM13" s="989"/>
      <c r="AN13" s="989"/>
      <c r="AO13" s="989"/>
      <c r="AP13" s="989"/>
      <c r="AQ13" s="989"/>
      <c r="AR13" s="989"/>
      <c r="AS13" s="989"/>
      <c r="AT13" s="29"/>
      <c r="AU13" s="1515"/>
      <c r="AV13" s="8">
        <f t="shared" ref="AV13:AX17" si="6">A13</f>
        <v>0</v>
      </c>
      <c r="AW13" s="8">
        <f t="shared" si="6"/>
        <v>0</v>
      </c>
      <c r="AX13" s="8">
        <f t="shared" si="6"/>
        <v>0</v>
      </c>
      <c r="AY13" s="1260">
        <f>ROUND($AY$6*AZ13/$AZ$5,2)</f>
        <v>4831.42</v>
      </c>
      <c r="AZ13" s="13">
        <f>BA13+BL13</f>
        <v>46330.329999999994</v>
      </c>
      <c r="BA13" s="13">
        <f>SUM(BB13:BK13)</f>
        <v>46286.559999999998</v>
      </c>
      <c r="BB13" s="13">
        <f>IF($D13="是",I13-J13,0)</f>
        <v>38160.79</v>
      </c>
      <c r="BC13" s="13">
        <f>IF($D13="是",K13-L13,0)</f>
        <v>8125.77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43.769999999999996</v>
      </c>
      <c r="BM13" s="13">
        <f>IF($D13="是",AD13-AE13,0)</f>
        <v>0</v>
      </c>
      <c r="BN13" s="13">
        <f>IF($D13="是",AF13-AG13,0)</f>
        <v>0</v>
      </c>
      <c r="BO13" s="13">
        <f>IF($D13="是",AH13-AI13,0)</f>
        <v>0</v>
      </c>
      <c r="BP13" s="13">
        <f>IF($D13="是",AJ13-AK13,0)</f>
        <v>0</v>
      </c>
      <c r="BQ13" s="13">
        <f>IF($D13="是",AL13-AM13,0)</f>
        <v>43.769999999999996</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G22" sqref="G2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724" t="s">
        <v>1131</v>
      </c>
      <c r="B2" s="3724"/>
      <c r="C2" s="3724"/>
      <c r="D2" s="748" t="s">
        <v>1107</v>
      </c>
      <c r="E2" s="1523" t="s">
        <v>1108</v>
      </c>
      <c r="F2" s="2439"/>
      <c r="G2" s="2432"/>
      <c r="H2" s="2433"/>
      <c r="I2" s="2146" t="s">
        <v>1132</v>
      </c>
      <c r="J2" s="2439"/>
      <c r="K2" s="2439"/>
      <c r="L2" s="2439"/>
      <c r="M2" s="2439"/>
      <c r="N2" s="2440"/>
      <c r="O2" s="2439"/>
      <c r="P2" s="2439"/>
    </row>
    <row r="3" spans="1:16" ht="15.75" thickBot="1">
      <c r="A3" s="3725" t="s">
        <v>1105</v>
      </c>
      <c r="B3" s="3725"/>
      <c r="C3" s="3725"/>
      <c r="D3" s="41">
        <f>'数据-基础表'!AY6</f>
        <v>4831.42</v>
      </c>
      <c r="E3" s="41">
        <f>'数据-基础表'!AZ5</f>
        <v>46330.329999999994</v>
      </c>
      <c r="F3" s="2439"/>
      <c r="G3" s="42"/>
      <c r="H3" s="43" t="s">
        <v>1106</v>
      </c>
      <c r="I3" s="802">
        <f>ROUND('数据-基础表'!B3/'数据-基础表'!A3,2)</f>
        <v>9.59</v>
      </c>
      <c r="J3" s="2439"/>
      <c r="K3" s="2439"/>
      <c r="L3" s="2439"/>
      <c r="M3" s="2439"/>
      <c r="N3" s="2440"/>
      <c r="O3" s="2439"/>
      <c r="P3" s="2439"/>
    </row>
    <row r="4" spans="1:16" ht="15">
      <c r="A4" s="3726"/>
      <c r="B4" s="3727"/>
      <c r="C4" s="3728"/>
      <c r="D4" s="1524" t="s">
        <v>1107</v>
      </c>
      <c r="E4" s="1525" t="s">
        <v>1108</v>
      </c>
      <c r="F4" s="2439"/>
      <c r="G4" s="2434" t="s">
        <v>1133</v>
      </c>
      <c r="H4" s="43" t="s">
        <v>1113</v>
      </c>
      <c r="I4" s="802">
        <f>ROUND(SUMIF('数据-基础表'!I9:AS9,"地上",'数据-基础表'!I5:AS5)/'数据-基础表'!A3,2)</f>
        <v>7.91</v>
      </c>
      <c r="J4" s="2439"/>
      <c r="K4" s="2439"/>
      <c r="L4" s="2439"/>
      <c r="M4" s="2439"/>
      <c r="N4" s="2440"/>
      <c r="O4" s="2439"/>
      <c r="P4" s="2439"/>
    </row>
    <row r="5" spans="1:16">
      <c r="A5" s="42" t="s">
        <v>1109</v>
      </c>
      <c r="B5" s="3729" t="s">
        <v>1110</v>
      </c>
      <c r="C5" s="3729"/>
      <c r="D5" s="43">
        <f>ROUND($D$3*E5/$E$3,2)</f>
        <v>0</v>
      </c>
      <c r="E5" s="44">
        <f>SUMIF('数据-基础表'!$11:$11,"住宅",'数据-基础表'!$5:$5)</f>
        <v>0</v>
      </c>
      <c r="F5" s="2439"/>
      <c r="G5" s="42"/>
      <c r="H5" s="43" t="s">
        <v>1106</v>
      </c>
      <c r="I5" s="802">
        <f>ROUND(E31/D31,2)</f>
        <v>9.59</v>
      </c>
      <c r="J5" s="2439"/>
      <c r="K5" s="2439"/>
      <c r="L5" s="2439"/>
      <c r="M5" s="2439"/>
      <c r="N5" s="2439"/>
      <c r="O5" s="2439"/>
      <c r="P5" s="2439"/>
    </row>
    <row r="6" spans="1:16" ht="15" thickBot="1">
      <c r="A6" s="1527"/>
      <c r="B6" s="3729" t="s">
        <v>1111</v>
      </c>
      <c r="C6" s="3729"/>
      <c r="D6" s="43">
        <f>ROUND($D$3*E6/$E$3,2)</f>
        <v>4831.42</v>
      </c>
      <c r="E6" s="44">
        <f>E3-E5</f>
        <v>46330.329999999994</v>
      </c>
      <c r="F6" s="2439"/>
      <c r="G6" s="1529" t="s">
        <v>1112</v>
      </c>
      <c r="H6" s="45" t="s">
        <v>1113</v>
      </c>
      <c r="I6" s="2435">
        <f>ROUND(F31/D31,2)</f>
        <v>7.91</v>
      </c>
      <c r="J6" s="2439"/>
      <c r="K6" s="2439"/>
      <c r="L6" s="2439"/>
      <c r="M6" s="2439"/>
      <c r="N6" s="2439"/>
      <c r="O6" s="2439"/>
      <c r="P6" s="2439"/>
    </row>
    <row r="7" spans="1:16" ht="15.75" thickBot="1">
      <c r="A7" s="3721"/>
      <c r="B7" s="3722"/>
      <c r="C7" s="3723"/>
      <c r="D7" s="1524" t="s">
        <v>1107</v>
      </c>
      <c r="E7" s="1528" t="s">
        <v>1114</v>
      </c>
      <c r="F7" s="2439"/>
      <c r="G7" s="2436" t="s">
        <v>1115</v>
      </c>
      <c r="H7" s="95"/>
      <c r="I7" s="2437">
        <v>7.13</v>
      </c>
      <c r="J7" s="2439"/>
      <c r="K7" s="2439"/>
      <c r="L7" s="2439"/>
      <c r="M7" s="2439"/>
      <c r="N7" s="2439"/>
      <c r="O7" s="2439"/>
      <c r="P7" s="2439"/>
    </row>
    <row r="8" spans="1:16">
      <c r="A8" s="42" t="s">
        <v>1116</v>
      </c>
      <c r="B8" s="45" t="s">
        <v>1117</v>
      </c>
      <c r="C8" s="43" t="s">
        <v>1118</v>
      </c>
      <c r="D8" s="43">
        <f t="shared" ref="D8:D15" si="0">ROUND($D$3*E8/$E$3,2)</f>
        <v>3979.48</v>
      </c>
      <c r="E8" s="46">
        <f>SUMIF('数据-基础表'!BB10:BK10,"地上",'数据-基础表'!BB5:BK5)</f>
        <v>38160.79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3979.48</v>
      </c>
      <c r="E16" s="48">
        <f>SUM(E8:E15)</f>
        <v>38160.79</v>
      </c>
      <c r="F16" s="2439"/>
      <c r="G16" s="2439"/>
      <c r="H16" s="1531" t="s">
        <v>1135</v>
      </c>
      <c r="I16" s="1532"/>
      <c r="J16" s="1071"/>
      <c r="K16" s="3718" t="s">
        <v>1135</v>
      </c>
      <c r="L16" s="3719"/>
      <c r="M16" s="3719"/>
      <c r="N16" s="3719"/>
      <c r="O16" s="3719"/>
      <c r="P16" s="3720"/>
    </row>
    <row r="17" spans="1:19" ht="15">
      <c r="A17" s="1533" t="s">
        <v>1136</v>
      </c>
      <c r="B17" s="1534" t="s">
        <v>1137</v>
      </c>
      <c r="C17" s="1535" t="s">
        <v>1138</v>
      </c>
      <c r="D17" s="1536" t="s">
        <v>1126</v>
      </c>
      <c r="E17" s="1537" t="s">
        <v>1127</v>
      </c>
      <c r="F17" s="1538"/>
      <c r="G17" s="1539"/>
      <c r="H17" s="1540" t="s">
        <v>1139</v>
      </c>
      <c r="I17" s="1541" t="s">
        <v>1124</v>
      </c>
      <c r="J17" s="1071"/>
      <c r="K17" s="3715" t="s">
        <v>1140</v>
      </c>
      <c r="L17" s="3716"/>
      <c r="M17" s="3717"/>
      <c r="N17" s="3715" t="s">
        <v>1141</v>
      </c>
      <c r="O17" s="3716"/>
      <c r="P17" s="371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3713</v>
      </c>
      <c r="D19" s="43">
        <f>ROUND($D$3*E19/$E$3,2)</f>
        <v>0</v>
      </c>
      <c r="E19" s="51">
        <f t="shared" ref="E19:E26" si="1">SUM(F19:G19)</f>
        <v>0</v>
      </c>
      <c r="F19" s="2558">
        <f>面积指标!V36</f>
        <v>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0</v>
      </c>
    </row>
    <row r="20" spans="1:19">
      <c r="A20" s="1549"/>
      <c r="B20" s="45" t="s">
        <v>1153</v>
      </c>
      <c r="C20" s="3116" t="s">
        <v>3856</v>
      </c>
      <c r="D20" s="43">
        <f t="shared" ref="D20:D26" si="6">ROUND($D$3*E20/$E$3,2)</f>
        <v>775.35</v>
      </c>
      <c r="E20" s="51">
        <f t="shared" si="1"/>
        <v>7435.17</v>
      </c>
      <c r="F20" s="2558"/>
      <c r="G20" s="1243">
        <f>面积指标!K44</f>
        <v>7435.17</v>
      </c>
      <c r="H20" s="637">
        <f t="shared" ref="H20:H26" si="7">ROUND($D$3*I20/$E$3,2)</f>
        <v>0.73</v>
      </c>
      <c r="I20" s="46">
        <f t="shared" si="2"/>
        <v>7.03</v>
      </c>
      <c r="J20" s="1071"/>
      <c r="K20" s="637">
        <f t="shared" si="3"/>
        <v>7.03</v>
      </c>
      <c r="L20" s="43">
        <f t="shared" si="4"/>
        <v>0</v>
      </c>
      <c r="M20" s="46">
        <f t="shared" ref="M20:M26" si="8">K20+L20</f>
        <v>7.03</v>
      </c>
      <c r="N20" s="1550"/>
      <c r="O20" s="1551"/>
      <c r="P20" s="46">
        <f t="shared" ref="P20:P26" si="9">N20+O20</f>
        <v>0</v>
      </c>
      <c r="R20" s="43">
        <f t="shared" si="5"/>
        <v>776.08</v>
      </c>
      <c r="S20" s="51">
        <f t="shared" si="5"/>
        <v>7442.2</v>
      </c>
    </row>
    <row r="21" spans="1:19">
      <c r="A21" s="1549"/>
      <c r="B21" s="45" t="s">
        <v>1153</v>
      </c>
      <c r="C21" s="3116" t="s">
        <v>3715</v>
      </c>
      <c r="D21" s="43">
        <f t="shared" si="6"/>
        <v>3979.48</v>
      </c>
      <c r="E21" s="51">
        <f t="shared" si="1"/>
        <v>38160.79</v>
      </c>
      <c r="F21" s="2558">
        <f>面积指标!X36</f>
        <v>38160.79</v>
      </c>
      <c r="G21" s="1243"/>
      <c r="H21" s="637">
        <f t="shared" si="7"/>
        <v>3.76</v>
      </c>
      <c r="I21" s="46">
        <f t="shared" si="2"/>
        <v>36.090000000000003</v>
      </c>
      <c r="J21" s="1071"/>
      <c r="K21" s="637">
        <f t="shared" si="3"/>
        <v>36.090000000000003</v>
      </c>
      <c r="L21" s="43">
        <f t="shared" si="4"/>
        <v>0</v>
      </c>
      <c r="M21" s="46">
        <f t="shared" si="8"/>
        <v>36.090000000000003</v>
      </c>
      <c r="N21" s="1550"/>
      <c r="O21" s="1551"/>
      <c r="P21" s="46">
        <f t="shared" si="9"/>
        <v>0</v>
      </c>
      <c r="R21" s="43">
        <f t="shared" si="5"/>
        <v>3983.2400000000002</v>
      </c>
      <c r="S21" s="51">
        <f t="shared" si="5"/>
        <v>38196.879999999997</v>
      </c>
    </row>
    <row r="22" spans="1:19">
      <c r="A22" s="1549"/>
      <c r="B22" s="45" t="s">
        <v>1153</v>
      </c>
      <c r="C22" s="3117" t="s">
        <v>3857</v>
      </c>
      <c r="D22" s="43">
        <f t="shared" si="6"/>
        <v>72.02</v>
      </c>
      <c r="E22" s="51">
        <f t="shared" si="1"/>
        <v>690.59999999999991</v>
      </c>
      <c r="F22" s="2559"/>
      <c r="G22" s="2560">
        <f>面积指标!K45</f>
        <v>690.59999999999991</v>
      </c>
      <c r="H22" s="637">
        <f t="shared" si="7"/>
        <v>7.0000000000000007E-2</v>
      </c>
      <c r="I22" s="46">
        <f t="shared" si="2"/>
        <v>0.65</v>
      </c>
      <c r="J22" s="1071"/>
      <c r="K22" s="637">
        <f t="shared" si="3"/>
        <v>0.65</v>
      </c>
      <c r="L22" s="43">
        <f t="shared" si="4"/>
        <v>0</v>
      </c>
      <c r="M22" s="46">
        <f t="shared" si="8"/>
        <v>0.65</v>
      </c>
      <c r="N22" s="1550"/>
      <c r="O22" s="1551"/>
      <c r="P22" s="46">
        <f t="shared" si="9"/>
        <v>0</v>
      </c>
      <c r="R22" s="43">
        <f t="shared" si="5"/>
        <v>72.089999999999989</v>
      </c>
      <c r="S22" s="51">
        <f t="shared" si="5"/>
        <v>691.24999999999989</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29.25" thickBot="1">
      <c r="A27" s="1549"/>
      <c r="B27" s="43"/>
      <c r="C27" s="1554" t="s">
        <v>1154</v>
      </c>
      <c r="D27" s="1072">
        <f>SUM(D19:D26)</f>
        <v>4826.8500000000004</v>
      </c>
      <c r="E27" s="1073">
        <f>IF(SUM(E19:E26)='数据-基础表'!BA5,SUM(E19:E26),IF(F27="地上面积有误","面积有误","地下面积有误"))</f>
        <v>46286.559999999998</v>
      </c>
      <c r="F27" s="1072">
        <f>IF(SUM(F19:F26)=E8,SUM(F19:F26),"地上面积有误")</f>
        <v>38160.79</v>
      </c>
      <c r="G27" s="1074">
        <f>SUM(G19:G26)</f>
        <v>8125.77</v>
      </c>
      <c r="H27" s="1075">
        <f>SUM(H19:H26)</f>
        <v>4.5600000000000005</v>
      </c>
      <c r="I27" s="1076">
        <f>SUM(I19:I26)</f>
        <v>43.77</v>
      </c>
      <c r="J27" s="1071"/>
      <c r="K27" s="1077">
        <f>SUM(K19:K26)</f>
        <v>43.77</v>
      </c>
      <c r="L27" s="785">
        <f>SUM(L19:L26)</f>
        <v>0</v>
      </c>
      <c r="M27" s="1078">
        <f>SUM(M19:M26)</f>
        <v>43.77</v>
      </c>
      <c r="N27" s="1077">
        <f t="shared" ref="N27:O27" si="10">SUM(N19:N26)</f>
        <v>0</v>
      </c>
      <c r="O27" s="785">
        <f t="shared" si="10"/>
        <v>0</v>
      </c>
      <c r="P27" s="94">
        <f>SUM(P19:P26)</f>
        <v>0</v>
      </c>
      <c r="R27" s="968" t="str">
        <f>IF(SUM(R19:R26)=$D$3,SUM(R19:R26),SUM(R19:R26)&amp;"误差"&amp;ROUND(SUM(R19:R26)-$D$3,2))</f>
        <v>4831.41误差-0.01</v>
      </c>
      <c r="S27" s="43">
        <f>IF(SUM(S19:S26)=$E$3,SUM(S19:S26),SUM(S19:S26)&amp;"误差"&amp;ROUND(SUM(S19:S26)-E3,2))</f>
        <v>46330.329999999994</v>
      </c>
    </row>
    <row r="28" spans="1:19">
      <c r="A28" s="1549"/>
      <c r="B28" s="45" t="s">
        <v>1155</v>
      </c>
      <c r="C28" s="54" t="s">
        <v>1156</v>
      </c>
      <c r="D28" s="43">
        <f>ROUND($D$3*E28/$E$3,2)</f>
        <v>4.5599999999999996</v>
      </c>
      <c r="E28" s="51">
        <f>SUM(F28:G28)</f>
        <v>43.769999999999996</v>
      </c>
      <c r="F28" s="54">
        <f>'数据-基础表'!BQ5+'数据-基础表'!BS5</f>
        <v>43.769999999999996</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4.5599999999999996</v>
      </c>
      <c r="E30" s="1072">
        <f>SUM(E28:E29)</f>
        <v>43.769999999999996</v>
      </c>
      <c r="F30" s="1072">
        <f>SUM(F28:F29)</f>
        <v>43.769999999999996</v>
      </c>
      <c r="G30" s="1074">
        <f>SUM(G28:G29)</f>
        <v>0</v>
      </c>
      <c r="H30" s="2439"/>
      <c r="I30" s="2439"/>
      <c r="J30" s="2439"/>
      <c r="K30" s="2439"/>
      <c r="L30" s="2439"/>
      <c r="M30" s="2439"/>
      <c r="N30" s="2439"/>
      <c r="O30" s="2439"/>
      <c r="P30" s="2439"/>
    </row>
    <row r="31" spans="1:19" ht="15.75" thickBot="1">
      <c r="A31" s="1557"/>
      <c r="B31" s="96"/>
      <c r="C31" s="785" t="s">
        <v>1158</v>
      </c>
      <c r="D31" s="643">
        <f>D27+D30</f>
        <v>4831.4100000000008</v>
      </c>
      <c r="E31" s="643">
        <f>E27+E30</f>
        <v>46330.329999999994</v>
      </c>
      <c r="F31" s="644">
        <f>F27+F30</f>
        <v>38204.559999999998</v>
      </c>
      <c r="G31" s="645">
        <f>G27+G30</f>
        <v>8125.77</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3.625" style="1561" bestFit="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45473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3699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办公-已出租</v>
      </c>
      <c r="B6" s="1587" t="str">
        <f>IF(A6=0,"","经营性")</f>
        <v>经营性</v>
      </c>
      <c r="C6" s="1588" t="s">
        <v>21</v>
      </c>
      <c r="D6" s="805">
        <f>SUMIF(项目基本情况!C$12:I$12,C6,项目基本情况!C$14:I$14)</f>
        <v>50</v>
      </c>
      <c r="E6" s="804">
        <f>IF(B6="","",SUMIF(项目基本情况!C$12:I$12,C6,项目基本情况!C$13:I$13))</f>
        <v>56227</v>
      </c>
      <c r="F6" s="61">
        <f>SUMIF(项目基本情况!C$12:I$12,C6,项目基本情况!C$15:I$15)</f>
        <v>29.46</v>
      </c>
      <c r="G6" s="62">
        <f>IF(ISERROR(ROUND(POWER(1+H6,D6-F6)*(POWER(1+H6,F6)-1)/(POWER(1+H6,D6)-1),3)),0,ROUND(POWER(1+H6,D6-F6)*(POWER(1+H6,F6)-1)/(POWER(1+H6,D6)-1),3))</f>
        <v>0.85199999999999998</v>
      </c>
      <c r="H6" s="691">
        <f>基准地价修正!G24</f>
        <v>5.5E-2</v>
      </c>
      <c r="I6" s="691">
        <v>4.4999999999999998E-2</v>
      </c>
      <c r="J6" s="63">
        <v>0.06</v>
      </c>
      <c r="K6" s="970">
        <f>SUMIF('数据-汇总表'!C$19:C$33,A6,'数据-汇总表'!E$19:E$33)</f>
        <v>0</v>
      </c>
      <c r="L6" s="692">
        <v>4500</v>
      </c>
      <c r="M6" s="64">
        <f t="shared" ref="M6:M14" si="0">ROUND(K6*L6/10000,0)</f>
        <v>0</v>
      </c>
      <c r="N6" s="690">
        <v>0.74</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f>'4-21火炬大厦'!U32</f>
        <v>14.92</v>
      </c>
      <c r="V6" s="67">
        <v>2.5000000000000001E-2</v>
      </c>
      <c r="W6" s="67">
        <v>0</v>
      </c>
      <c r="X6" s="979"/>
      <c r="Y6" s="68">
        <f>N6</f>
        <v>0.74</v>
      </c>
      <c r="Z6" s="69">
        <f>'4-21火炬大厦'!U36</f>
        <v>8.52</v>
      </c>
      <c r="AA6" s="63">
        <f>V8</f>
        <v>0.03</v>
      </c>
      <c r="AB6" s="63">
        <f>W8</f>
        <v>0.05</v>
      </c>
      <c r="AC6" s="979"/>
      <c r="AD6" s="70">
        <v>0.72499999999999998</v>
      </c>
      <c r="AE6" s="980">
        <f ca="1">IF(AN6="",0,SUMIF(INDIRECT("'"&amp;AN6&amp;"'"&amp;"!E:E"),$AE$5,INDIRECT("'"&amp;AN6&amp;"'"&amp;"!F:F")))</f>
        <v>29.46</v>
      </c>
      <c r="AF6" s="74">
        <f>'4-21火炬大厦'!S39</f>
        <v>2.25</v>
      </c>
      <c r="AG6" s="130">
        <f ca="1">IF(AF6="",0,AE6-AF6)</f>
        <v>27.21</v>
      </c>
      <c r="AH6" s="71"/>
      <c r="AI6" s="73">
        <v>365</v>
      </c>
      <c r="AJ6" s="74"/>
      <c r="AK6" s="75">
        <v>2E-3</v>
      </c>
      <c r="AL6" s="76">
        <v>2E-3</v>
      </c>
      <c r="AM6" s="77">
        <v>0.01</v>
      </c>
      <c r="AN6" s="1589" t="s">
        <v>3716</v>
      </c>
      <c r="AO6" s="50">
        <f ca="1">SUMIF(INDIRECT("'"&amp;AN6&amp;"'"&amp;"!A:A"),"总价",INDIRECT("'"&amp;AN6&amp;"'"&amp;"!B:B"))</f>
        <v>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车库</v>
      </c>
      <c r="B7" s="1587" t="str">
        <f t="shared" ref="B7:B13" si="1">IF(A7=0,"","经营性")</f>
        <v>经营性</v>
      </c>
      <c r="C7" s="1588" t="s">
        <v>21</v>
      </c>
      <c r="D7" s="805">
        <f>SUMIF(项目基本情况!C$12:I$12,C7,项目基本情况!C$14:I$14)</f>
        <v>50</v>
      </c>
      <c r="E7" s="804">
        <f>IF(B7="","",SUMIF(项目基本情况!C$12:I$12,C7,项目基本情况!C$13:I$13))</f>
        <v>56227</v>
      </c>
      <c r="F7" s="61">
        <f>SUMIF(项目基本情况!C$12:I$12,C7,项目基本情况!C$15:I$15)</f>
        <v>29.46</v>
      </c>
      <c r="G7" s="62">
        <f t="shared" ref="G7:G11" si="2">IF(ISERROR(ROUND(POWER(1+H7,D7-F7)*(POWER(1+H7,F7)-1)/(POWER(1+H7,D7)-1),3)),0,ROUND(POWER(1+H7,D7-F7)*(POWER(1+H7,F7)-1)/(POWER(1+H7,D7)-1),3))</f>
        <v>0</v>
      </c>
      <c r="H7" s="691"/>
      <c r="I7" s="691">
        <f>I6</f>
        <v>4.4999999999999998E-2</v>
      </c>
      <c r="J7" s="63"/>
      <c r="K7" s="970">
        <f>SUMIF('数据-汇总表'!C$19:C$33,A7,'数据-汇总表'!E$19:E$33)</f>
        <v>7435.17</v>
      </c>
      <c r="L7" s="692">
        <f>L6</f>
        <v>4500</v>
      </c>
      <c r="M7" s="64">
        <f t="shared" si="0"/>
        <v>3346</v>
      </c>
      <c r="N7" s="690">
        <f>N6</f>
        <v>0.74</v>
      </c>
      <c r="O7" s="64" t="str">
        <f t="shared" ref="O7:O14" si="3">IF($N$5="成新度","——",ROUND(M7*N7,0))</f>
        <v>——</v>
      </c>
      <c r="P7" s="65" t="str">
        <f t="shared" ref="P7:P14" si="4">IF($N$5="成新度","——",M7-O7)</f>
        <v>——</v>
      </c>
      <c r="Q7" s="693">
        <v>0.05</v>
      </c>
      <c r="R7" s="66">
        <f ca="1">SUMIF('数据-汇总表'!C$19:C$33,A7,'数据-汇总表'!R$19:R$27)</f>
        <v>776.08</v>
      </c>
      <c r="S7" s="49">
        <f>IF('数据-汇总表'!$I$17="按面积比例",SUMIF('数据-汇总表'!C$19:C$33,A7,'数据-汇总表'!K$19:K$33),SUMIF('数据-汇总表'!C$19:C$33,A7,'数据-汇总表'!N$19:N$33))</f>
        <v>7.03</v>
      </c>
      <c r="T7" s="1092">
        <f t="shared" ref="T7:T13" si="5">ROUND($L$14*S7/10000,0)</f>
        <v>3</v>
      </c>
      <c r="U7" s="3127">
        <v>800</v>
      </c>
      <c r="V7" s="67">
        <v>0.01</v>
      </c>
      <c r="W7" s="67">
        <v>0.1</v>
      </c>
      <c r="X7" s="979"/>
      <c r="Y7" s="68">
        <f>Y6</f>
        <v>0.74</v>
      </c>
      <c r="Z7" s="69"/>
      <c r="AA7" s="63"/>
      <c r="AB7" s="63"/>
      <c r="AC7" s="979"/>
      <c r="AD7" s="70"/>
      <c r="AE7" s="980">
        <f t="shared" ref="AE7:AE13" ca="1" si="6">IF(AN7="",0,SUMIF(INDIRECT("'"&amp;AN7&amp;"'"&amp;"!E:E"),$AE$5,INDIRECT("'"&amp;AN7&amp;"'"&amp;"!F:F")))</f>
        <v>29.46</v>
      </c>
      <c r="AF7" s="74"/>
      <c r="AG7" s="130">
        <f t="shared" ref="AG7:AG13" si="7">IF(AF7="",0,AE7-AF7)</f>
        <v>0</v>
      </c>
      <c r="AH7" s="71">
        <v>172</v>
      </c>
      <c r="AI7" s="73">
        <v>12</v>
      </c>
      <c r="AJ7" s="74"/>
      <c r="AK7" s="75">
        <f>AK6</f>
        <v>2E-3</v>
      </c>
      <c r="AL7" s="76">
        <f>AL6</f>
        <v>2E-3</v>
      </c>
      <c r="AM7" s="77">
        <f>AM6</f>
        <v>0.01</v>
      </c>
      <c r="AN7" s="1589" t="s">
        <v>3720</v>
      </c>
      <c r="AO7" s="50">
        <f t="shared" ref="AO7:AO13" ca="1" si="8">SUMIF(INDIRECT("'"&amp;AN7&amp;"'"&amp;"!A:A"),"总价",INDIRECT("'"&amp;AN7&amp;"'"&amp;"!B:B"))</f>
        <v>1937</v>
      </c>
      <c r="AP7" s="1590">
        <f t="shared" ref="AP7:AP13" si="9">IF(C7="住宅",K7*L7,0)</f>
        <v>0</v>
      </c>
      <c r="AQ7" s="50">
        <f t="shared" ref="AQ7:AQ13" si="10">ROUND($L$14*$N$14*S7/10000,0)</f>
        <v>2</v>
      </c>
      <c r="AR7" s="50">
        <f t="shared" ref="AR7:AR13" si="11">ROUND($L$14*(1-$N$14)*S7/10000,0)</f>
        <v>1</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办公-未出租</v>
      </c>
      <c r="B8" s="1587" t="str">
        <f t="shared" si="1"/>
        <v>经营性</v>
      </c>
      <c r="C8" s="1588" t="s">
        <v>21</v>
      </c>
      <c r="D8" s="805">
        <f>SUMIF(项目基本情况!C$12:I$12,C8,项目基本情况!C$14:I$14)</f>
        <v>50</v>
      </c>
      <c r="E8" s="804">
        <f>IF(B8="","",SUMIF(项目基本情况!C$12:I$12,C8,项目基本情况!C$13:I$13))</f>
        <v>56227</v>
      </c>
      <c r="F8" s="61">
        <f>SUMIF(项目基本情况!C$12:I$12,C8,项目基本情况!C$15:I$15)</f>
        <v>29.46</v>
      </c>
      <c r="G8" s="62">
        <f t="shared" si="2"/>
        <v>0</v>
      </c>
      <c r="H8" s="691"/>
      <c r="I8" s="691">
        <f>I6</f>
        <v>4.4999999999999998E-2</v>
      </c>
      <c r="J8" s="63"/>
      <c r="K8" s="970">
        <f>SUMIF('数据-汇总表'!C$19:C$33,A8,'数据-汇总表'!E$19:E$33)</f>
        <v>38160.79</v>
      </c>
      <c r="L8" s="692">
        <f>L6</f>
        <v>4500</v>
      </c>
      <c r="M8" s="64">
        <f>ROUND(K8*L8/10000,0)</f>
        <v>17172</v>
      </c>
      <c r="N8" s="690">
        <f>N7</f>
        <v>0.74</v>
      </c>
      <c r="O8" s="64" t="str">
        <f t="shared" si="3"/>
        <v>——</v>
      </c>
      <c r="P8" s="65" t="str">
        <f t="shared" si="4"/>
        <v>——</v>
      </c>
      <c r="Q8" s="693">
        <f>Q6</f>
        <v>0.2</v>
      </c>
      <c r="R8" s="66">
        <f ca="1">SUMIF('数据-汇总表'!C$19:C$33,A8,'数据-汇总表'!R$19:R$27)</f>
        <v>3983.2400000000002</v>
      </c>
      <c r="S8" s="49">
        <f>IF('数据-汇总表'!$I$17="按面积比例",SUMIF('数据-汇总表'!C$19:C$33,A8,'数据-汇总表'!K$19:K$33),SUMIF('数据-汇总表'!C$19:C$33,A8,'数据-汇总表'!N$19:N$33))</f>
        <v>36.090000000000003</v>
      </c>
      <c r="T8" s="1092">
        <f t="shared" si="5"/>
        <v>16</v>
      </c>
      <c r="U8" s="3128">
        <f>面积指标!Y37</f>
        <v>8.1999999999999993</v>
      </c>
      <c r="V8" s="694">
        <v>0.03</v>
      </c>
      <c r="W8" s="694">
        <v>0.05</v>
      </c>
      <c r="X8" s="979"/>
      <c r="Y8" s="68">
        <f>Y6</f>
        <v>0.74</v>
      </c>
      <c r="Z8" s="69"/>
      <c r="AA8" s="63"/>
      <c r="AB8" s="63"/>
      <c r="AC8" s="979"/>
      <c r="AD8" s="70"/>
      <c r="AE8" s="980">
        <f t="shared" ca="1" si="6"/>
        <v>29.46</v>
      </c>
      <c r="AF8" s="74"/>
      <c r="AG8" s="130">
        <f t="shared" si="7"/>
        <v>0</v>
      </c>
      <c r="AH8" s="695"/>
      <c r="AI8" s="73">
        <v>365</v>
      </c>
      <c r="AJ8" s="74"/>
      <c r="AK8" s="696">
        <f>AK6</f>
        <v>2E-3</v>
      </c>
      <c r="AL8" s="697">
        <f>AL6</f>
        <v>2E-3</v>
      </c>
      <c r="AM8" s="106">
        <f>AM6</f>
        <v>0.01</v>
      </c>
      <c r="AN8" s="1589" t="s">
        <v>3718</v>
      </c>
      <c r="AO8" s="50">
        <f t="shared" ca="1" si="8"/>
        <v>204521</v>
      </c>
      <c r="AP8" s="1590">
        <f t="shared" si="9"/>
        <v>0</v>
      </c>
      <c r="AQ8" s="50">
        <f t="shared" si="10"/>
        <v>12</v>
      </c>
      <c r="AR8" s="50">
        <f t="shared" si="11"/>
        <v>4</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t="str">
        <f>'数据-汇总表'!C22</f>
        <v>库房</v>
      </c>
      <c r="B9" s="1587" t="str">
        <f t="shared" si="1"/>
        <v>经营性</v>
      </c>
      <c r="C9" s="1588" t="s">
        <v>21</v>
      </c>
      <c r="D9" s="805">
        <f>SUMIF(项目基本情况!C$12:I$12,C9,项目基本情况!C$14:I$14)</f>
        <v>50</v>
      </c>
      <c r="E9" s="804">
        <f>IF(B9="","",SUMIF(项目基本情况!C$12:I$12,C9,项目基本情况!C$13:I$13))</f>
        <v>56227</v>
      </c>
      <c r="F9" s="61">
        <f>SUMIF(项目基本情况!C$12:I$12,C9,项目基本情况!C$15:I$15)</f>
        <v>29.46</v>
      </c>
      <c r="G9" s="62">
        <f t="shared" si="2"/>
        <v>0</v>
      </c>
      <c r="H9" s="63"/>
      <c r="I9" s="63">
        <f>I8</f>
        <v>4.4999999999999998E-2</v>
      </c>
      <c r="J9" s="63"/>
      <c r="K9" s="970">
        <f>SUMIF('数据-汇总表'!C$19:C$33,A9,'数据-汇总表'!E$19:E$33)</f>
        <v>690.59999999999991</v>
      </c>
      <c r="L9" s="692">
        <f>L8</f>
        <v>4500</v>
      </c>
      <c r="M9" s="64">
        <f t="shared" si="0"/>
        <v>311</v>
      </c>
      <c r="N9" s="690">
        <f>N8</f>
        <v>0.74</v>
      </c>
      <c r="O9" s="64" t="str">
        <f t="shared" si="3"/>
        <v>——</v>
      </c>
      <c r="P9" s="65" t="str">
        <f t="shared" si="4"/>
        <v>——</v>
      </c>
      <c r="Q9" s="78">
        <v>0.05</v>
      </c>
      <c r="R9" s="66">
        <f ca="1">SUMIF('数据-汇总表'!C$19:C$33,A9,'数据-汇总表'!R$19:R$27)</f>
        <v>72.089999999999989</v>
      </c>
      <c r="S9" s="49">
        <f>IF('数据-汇总表'!$I$17="按面积比例",SUMIF('数据-汇总表'!C$19:C$33,A9,'数据-汇总表'!K$19:K$33),SUMIF('数据-汇总表'!C$19:C$33,A9,'数据-汇总表'!N$19:N$33))</f>
        <v>0.65</v>
      </c>
      <c r="T9" s="1092">
        <f t="shared" si="5"/>
        <v>0</v>
      </c>
      <c r="U9" s="3127">
        <v>0.15</v>
      </c>
      <c r="V9" s="67">
        <v>1.4999999999999999E-2</v>
      </c>
      <c r="W9" s="67">
        <v>0.05</v>
      </c>
      <c r="X9" s="979"/>
      <c r="Y9" s="68">
        <f>Y8</f>
        <v>0.74</v>
      </c>
      <c r="Z9" s="69"/>
      <c r="AA9" s="63"/>
      <c r="AB9" s="63"/>
      <c r="AC9" s="979"/>
      <c r="AD9" s="70"/>
      <c r="AE9" s="980">
        <f t="shared" ca="1" si="6"/>
        <v>29.46</v>
      </c>
      <c r="AF9" s="74"/>
      <c r="AG9" s="130">
        <f t="shared" si="7"/>
        <v>0</v>
      </c>
      <c r="AH9" s="71"/>
      <c r="AI9" s="73">
        <v>365</v>
      </c>
      <c r="AJ9" s="74"/>
      <c r="AK9" s="75">
        <f>AK8</f>
        <v>2E-3</v>
      </c>
      <c r="AL9" s="76">
        <f>AL8</f>
        <v>2E-3</v>
      </c>
      <c r="AM9" s="77">
        <f>AM8</f>
        <v>0.01</v>
      </c>
      <c r="AN9" s="1589" t="s">
        <v>3858</v>
      </c>
      <c r="AO9" s="50">
        <f t="shared" ca="1" si="8"/>
        <v>38</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43.769999999999996</v>
      </c>
      <c r="L14" s="79">
        <f>L9</f>
        <v>4500</v>
      </c>
      <c r="M14" s="64">
        <f t="shared" si="0"/>
        <v>20</v>
      </c>
      <c r="N14" s="80">
        <f>N9</f>
        <v>0.74</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46330.329999999994</v>
      </c>
      <c r="L16" s="87">
        <f>ROUND(M16*10000/SUM(K6:K14),0)</f>
        <v>4500</v>
      </c>
      <c r="M16" s="87">
        <f>SUM(M6:M14)</f>
        <v>20849</v>
      </c>
      <c r="N16" s="88">
        <f>ROUND(SUMPRODUCT(M6:M14,N6:N14)/M16,3)</f>
        <v>0.74</v>
      </c>
      <c r="O16" s="87">
        <f>SUM(O6:O14)</f>
        <v>0</v>
      </c>
      <c r="P16" s="87">
        <f>SUM(P6:P14)</f>
        <v>0</v>
      </c>
      <c r="Q16" s="89">
        <f>ROUND(SUMPRODUCT(Q6:Q13,K6:K13)/SUMPRODUCT((Q6:Q13&gt;0)*(K6:K13)),2)</f>
        <v>0.17</v>
      </c>
      <c r="R16" s="974">
        <f ca="1">SUM(R6:R13)</f>
        <v>4831.4100000000008</v>
      </c>
      <c r="S16" s="90">
        <f>SUM(S6:S13)</f>
        <v>43.77</v>
      </c>
      <c r="T16" s="91" t="str">
        <f>IF(SUMIF(T6:T13,"&lt;9E307")=M14,SUMIF(T6:T13,"&lt;9E307"),"有误，请检查")</f>
        <v>有误，请检查</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2005</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2303</v>
      </c>
      <c r="D19" s="2452"/>
      <c r="E19" s="2439"/>
      <c r="F19" s="2439"/>
      <c r="G19" s="2439"/>
      <c r="H19" s="2439"/>
      <c r="I19" s="2439"/>
      <c r="J19" s="2439"/>
      <c r="K19" s="2450"/>
      <c r="L19" s="2450"/>
      <c r="M19" s="2449"/>
      <c r="N19" s="2449">
        <f>ROUND(1-(2024-N18)/60,2)</f>
        <v>0.68</v>
      </c>
      <c r="O19" s="2449"/>
      <c r="P19" s="2449"/>
      <c r="Q19" s="2449"/>
      <c r="R19" s="2449"/>
      <c r="S19" s="2449"/>
      <c r="T19" s="2449"/>
      <c r="U19" s="2449"/>
      <c r="V19" s="2449"/>
      <c r="W19" s="2449"/>
      <c r="X19" s="2449"/>
      <c r="Y19" s="2449"/>
      <c r="Z19" s="2449">
        <f>1-(2026-N18)/60</f>
        <v>0.65</v>
      </c>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2301</v>
      </c>
      <c r="D20" s="2452"/>
      <c r="E20" s="2439"/>
      <c r="F20" s="2439"/>
      <c r="G20" s="2439"/>
      <c r="H20" s="2439"/>
      <c r="I20" s="2439"/>
      <c r="J20" s="2439"/>
      <c r="K20" s="2450"/>
      <c r="L20" s="2450"/>
      <c r="M20" s="2449"/>
      <c r="N20" s="2449">
        <v>0.8</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927</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3378</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3379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0.01</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2312</v>
      </c>
      <c r="B40" s="1015">
        <f ca="1">IF(A40="利息：取LPR",存贷款利率!G1,存贷款利率!G1+C40)</f>
        <v>3.4500000000000003E-2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12</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110</v>
      </c>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730" t="s">
        <v>2286</v>
      </c>
      <c r="B1" s="3731"/>
      <c r="C1" s="3731"/>
      <c r="D1" s="3731"/>
      <c r="E1" s="3731"/>
      <c r="F1" s="3731"/>
      <c r="G1" s="373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46330.329999999994</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45473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206496</v>
      </c>
      <c r="C5" s="2300">
        <f ca="1">IF(B5=D14,结果表!H102,ROUND(B5*10000/$B$1,0))</f>
        <v>0</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3358</v>
      </c>
      <c r="D10" s="2300" t="s">
        <v>3359</v>
      </c>
      <c r="E10" s="3137"/>
      <c r="F10" s="3141" t="s">
        <v>3360</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46330.329999999994</v>
      </c>
      <c r="C14" s="2306"/>
      <c r="D14" s="2306">
        <f ca="1">'收益法（汇总）'!B2</f>
        <v>206496</v>
      </c>
      <c r="E14" s="2306">
        <f ca="1">ROUND(D14*10000/B14,0)</f>
        <v>44570</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766" t="str">
        <f>项目基本情况!S2</f>
        <v>北京市房地产</v>
      </c>
      <c r="B2" s="3767"/>
      <c r="C2" s="3767"/>
      <c r="D2" s="3767"/>
      <c r="E2" s="3767"/>
      <c r="F2" s="3767"/>
      <c r="G2" s="3767"/>
      <c r="H2" s="3767"/>
      <c r="I2" s="3768"/>
    </row>
    <row r="3" spans="1:12" ht="12.75">
      <c r="A3" s="3770" t="s">
        <v>1264</v>
      </c>
      <c r="B3" s="3771"/>
      <c r="C3" s="3771"/>
      <c r="D3" s="3771"/>
      <c r="E3" s="3771"/>
      <c r="F3" s="3771"/>
      <c r="G3" s="3771"/>
      <c r="H3" s="3771"/>
      <c r="I3" s="3771"/>
    </row>
    <row r="4" spans="1:12" ht="14.25">
      <c r="A4" s="1624" t="s">
        <v>1265</v>
      </c>
      <c r="B4" s="1625" t="s">
        <v>1266</v>
      </c>
      <c r="C4" s="1626" t="s">
        <v>3730</v>
      </c>
      <c r="D4" s="1626" t="s">
        <v>3731</v>
      </c>
      <c r="E4" s="3772" t="s">
        <v>1267</v>
      </c>
      <c r="F4" s="3773"/>
      <c r="G4" s="3773"/>
      <c r="H4" s="3773"/>
      <c r="I4" s="3774"/>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746" t="s">
        <v>1268</v>
      </c>
      <c r="B5" s="3733">
        <v>25</v>
      </c>
      <c r="C5" s="3749"/>
      <c r="D5" s="3769"/>
      <c r="E5" s="123" t="s">
        <v>1269</v>
      </c>
      <c r="F5" s="1627"/>
      <c r="G5" s="1627"/>
      <c r="H5" s="1627"/>
      <c r="I5" s="1281"/>
    </row>
    <row r="6" spans="1:12" ht="12.75">
      <c r="A6" s="3746"/>
      <c r="B6" s="3733"/>
      <c r="C6" s="3750"/>
      <c r="D6" s="3769"/>
      <c r="E6" s="123" t="s">
        <v>1270</v>
      </c>
      <c r="F6" s="1627"/>
      <c r="G6" s="1627"/>
      <c r="H6" s="1627"/>
      <c r="I6" s="1281"/>
    </row>
    <row r="7" spans="1:12" ht="12.75">
      <c r="A7" s="3746"/>
      <c r="B7" s="3733"/>
      <c r="C7" s="3751"/>
      <c r="D7" s="3769"/>
      <c r="E7" s="123" t="s">
        <v>1271</v>
      </c>
      <c r="F7" s="1627"/>
      <c r="G7" s="1627"/>
      <c r="H7" s="1627"/>
      <c r="I7" s="1281"/>
    </row>
    <row r="8" spans="1:12" ht="12.75">
      <c r="A8" s="3746" t="s">
        <v>1272</v>
      </c>
      <c r="B8" s="3733">
        <v>15</v>
      </c>
      <c r="C8" s="3749"/>
      <c r="D8" s="3769"/>
      <c r="E8" s="123" t="s">
        <v>1273</v>
      </c>
      <c r="F8" s="1627"/>
      <c r="G8" s="1627"/>
      <c r="H8" s="1627"/>
      <c r="I8" s="1281"/>
    </row>
    <row r="9" spans="1:12" ht="12.75">
      <c r="A9" s="3746"/>
      <c r="B9" s="3733"/>
      <c r="C9" s="3751"/>
      <c r="D9" s="3769"/>
      <c r="E9" s="123" t="s">
        <v>1274</v>
      </c>
      <c r="F9" s="1627"/>
      <c r="G9" s="1627"/>
      <c r="H9" s="1627"/>
      <c r="I9" s="1281"/>
    </row>
    <row r="10" spans="1:12" ht="12.75">
      <c r="A10" s="3746" t="s">
        <v>1275</v>
      </c>
      <c r="B10" s="3733">
        <v>15</v>
      </c>
      <c r="C10" s="3749"/>
      <c r="D10" s="3769"/>
      <c r="E10" s="123" t="s">
        <v>1276</v>
      </c>
      <c r="F10" s="1627"/>
      <c r="G10" s="1627"/>
      <c r="H10" s="1627"/>
      <c r="I10" s="1281"/>
    </row>
    <row r="11" spans="1:12" ht="12.75">
      <c r="A11" s="3746"/>
      <c r="B11" s="3733"/>
      <c r="C11" s="3751"/>
      <c r="D11" s="3769"/>
      <c r="E11" s="123" t="s">
        <v>1277</v>
      </c>
      <c r="F11" s="1627"/>
      <c r="G11" s="1627"/>
      <c r="H11" s="1627"/>
      <c r="I11" s="1281"/>
    </row>
    <row r="12" spans="1:12" ht="12.75">
      <c r="A12" s="3746" t="s">
        <v>1278</v>
      </c>
      <c r="B12" s="3733">
        <v>15</v>
      </c>
      <c r="C12" s="3749"/>
      <c r="D12" s="3769"/>
      <c r="E12" s="123" t="s">
        <v>1279</v>
      </c>
      <c r="F12" s="1627"/>
      <c r="G12" s="1627"/>
      <c r="H12" s="1627"/>
      <c r="I12" s="1281"/>
    </row>
    <row r="13" spans="1:12" ht="12.75">
      <c r="A13" s="3746"/>
      <c r="B13" s="3733"/>
      <c r="C13" s="3751"/>
      <c r="D13" s="3769"/>
      <c r="E13" s="123" t="s">
        <v>1280</v>
      </c>
      <c r="F13" s="1627"/>
      <c r="G13" s="1627"/>
      <c r="H13" s="1627"/>
      <c r="I13" s="1281"/>
    </row>
    <row r="14" spans="1:12" ht="12.75">
      <c r="A14" s="3746" t="s">
        <v>1281</v>
      </c>
      <c r="B14" s="3733">
        <v>30</v>
      </c>
      <c r="C14" s="3749">
        <v>1</v>
      </c>
      <c r="D14" s="3769">
        <f>1-C14</f>
        <v>0</v>
      </c>
      <c r="E14" s="123" t="s">
        <v>1282</v>
      </c>
      <c r="F14" s="1627"/>
      <c r="G14" s="1627"/>
      <c r="H14" s="1627"/>
      <c r="I14" s="1281"/>
    </row>
    <row r="15" spans="1:12" ht="12.75">
      <c r="A15" s="3746"/>
      <c r="B15" s="3733"/>
      <c r="C15" s="3750"/>
      <c r="D15" s="3769"/>
      <c r="E15" s="123" t="s">
        <v>1283</v>
      </c>
      <c r="F15" s="1627"/>
      <c r="G15" s="1627"/>
      <c r="H15" s="1627"/>
      <c r="I15" s="1281"/>
    </row>
    <row r="16" spans="1:12" ht="12.75">
      <c r="A16" s="3746"/>
      <c r="B16" s="3733"/>
      <c r="C16" s="3751"/>
      <c r="D16" s="3769"/>
      <c r="E16" s="123" t="s">
        <v>1284</v>
      </c>
      <c r="F16" s="1627"/>
      <c r="G16" s="1627"/>
      <c r="H16" s="1627"/>
      <c r="I16" s="1281"/>
    </row>
    <row r="17" spans="1:36" ht="15">
      <c r="A17" s="1628" t="s">
        <v>1285</v>
      </c>
      <c r="B17" s="54"/>
      <c r="C17" s="124">
        <f>SUM(C5:C16)</f>
        <v>1</v>
      </c>
      <c r="D17" s="124">
        <f>SUM(D5:D16)</f>
        <v>0</v>
      </c>
      <c r="E17" s="121"/>
      <c r="F17" s="121"/>
      <c r="G17" s="121"/>
      <c r="H17" s="121"/>
      <c r="I17" s="121"/>
      <c r="K17" s="294"/>
      <c r="L17" s="294" t="s">
        <v>1286</v>
      </c>
      <c r="M17" s="294" t="s">
        <v>1287</v>
      </c>
    </row>
    <row r="18" spans="1:36" ht="31.9" customHeight="1" thickBot="1">
      <c r="A18" s="1629" t="s">
        <v>1288</v>
      </c>
      <c r="B18" s="1542"/>
      <c r="C18" s="125">
        <f>ROUND(C17/SUM(C17:D17),2)</f>
        <v>1</v>
      </c>
      <c r="D18" s="125">
        <f>1-C18</f>
        <v>0</v>
      </c>
      <c r="E18" s="3756" t="s">
        <v>2131</v>
      </c>
      <c r="F18" s="3757"/>
      <c r="G18" s="3757"/>
      <c r="H18" s="3757"/>
      <c r="I18" s="3757"/>
      <c r="K18" s="294" t="s">
        <v>1289</v>
      </c>
      <c r="L18" s="294">
        <f>IF(C1="",'数据-汇总表'!E3,SUMIF(项目类型,C1,'数据-汇总表'!E17:E26)+SUMIF(项目类型,C1,'数据-汇总表'!I17:I26))</f>
        <v>46330.329999999994</v>
      </c>
      <c r="M18" s="294">
        <f>IF(C1="",'数据-汇总表'!E3,SUMIF(项目类型,C1,'数据-汇总表'!E17:E26))</f>
        <v>46330.329999999994</v>
      </c>
    </row>
    <row r="19" spans="1:36" ht="15">
      <c r="A19" s="1630" t="s">
        <v>1290</v>
      </c>
      <c r="B19" s="1631" t="s">
        <v>1291</v>
      </c>
      <c r="C19" s="126">
        <f ca="1">SUMIF(INDIRECT("'"&amp;C4&amp;"'"&amp;"!A:A"),结果表!B19,INDIRECT("'"&amp;C4&amp;"'"&amp;"!B:B"))</f>
        <v>206496</v>
      </c>
      <c r="D19" s="127">
        <f ca="1">SUMIF(INDIRECT("'"&amp;D4&amp;"'"&amp;"!A:A"),结果表!B19,INDIRECT("'"&amp;D4&amp;"'"&amp;"!B:B"))</f>
        <v>105915</v>
      </c>
      <c r="E19" s="1630" t="s">
        <v>1292</v>
      </c>
      <c r="F19" s="1631" t="s">
        <v>1291</v>
      </c>
      <c r="G19" s="128">
        <f ca="1">ROUND(C19*$C$18+D19*$D$18,0)</f>
        <v>206496</v>
      </c>
      <c r="H19" s="1632" t="s">
        <v>1293</v>
      </c>
      <c r="I19" s="121"/>
      <c r="K19" s="294" t="s">
        <v>1294</v>
      </c>
      <c r="L19" s="294">
        <f>IF(C1="",'数据-汇总表'!D3,SUMIF(项目类型,C1,'数据-汇总表'!D17:D26)+SUMIF(项目类型,C1,'数据-汇总表'!H17:H27))</f>
        <v>4831.42</v>
      </c>
      <c r="M19" s="294">
        <f>IF(C1="",'数据-汇总表'!D3,SUMIF(项目类型,C1,'数据-汇总表'!D17:D26))</f>
        <v>4831.42</v>
      </c>
    </row>
    <row r="20" spans="1:36" ht="15">
      <c r="A20" s="1633"/>
      <c r="B20" s="43" t="s">
        <v>1295</v>
      </c>
      <c r="C20" s="129">
        <f ca="1">SUMIF(INDIRECT("'"&amp;C4&amp;"'"&amp;"!A:A"),结果表!B20,INDIRECT("'"&amp;C4&amp;"'"&amp;"!B:B"))</f>
        <v>44570</v>
      </c>
      <c r="D20" s="130">
        <f ca="1">SUMIF(INDIRECT("'"&amp;D4&amp;"'"&amp;"!A:A"),结果表!B20,INDIRECT("'"&amp;D4&amp;"'"&amp;"!B:B"))</f>
        <v>22861</v>
      </c>
      <c r="E20" s="1633"/>
      <c r="F20" s="43" t="s">
        <v>1295</v>
      </c>
      <c r="G20" s="131">
        <f ca="1">ROUND(C20*$C$18+D20*$D$18,0)</f>
        <v>44570</v>
      </c>
      <c r="H20" s="760" t="s">
        <v>1296</v>
      </c>
      <c r="I20" s="121"/>
    </row>
    <row r="21" spans="1:36" ht="15" customHeight="1" thickBot="1">
      <c r="A21" s="449"/>
      <c r="B21" s="93" t="s">
        <v>1297</v>
      </c>
      <c r="C21" s="678">
        <f ca="1">ROUND(C19*10000/L19,0)</f>
        <v>427402</v>
      </c>
      <c r="D21" s="679">
        <f ca="1">ROUND(D19*10000/L19,0)</f>
        <v>219221</v>
      </c>
      <c r="E21" s="449"/>
      <c r="F21" s="93" t="s">
        <v>1297</v>
      </c>
      <c r="G21" s="132">
        <f ca="1">ROUND(G19*10000/L19,0)</f>
        <v>427402</v>
      </c>
      <c r="H21" s="1634" t="s">
        <v>1296</v>
      </c>
      <c r="I21" s="121"/>
    </row>
    <row r="22" spans="1:36" ht="15" thickBot="1">
      <c r="A22" s="1564" t="s">
        <v>1298</v>
      </c>
      <c r="B22" s="1635"/>
      <c r="C22" s="1636"/>
      <c r="D22" s="680">
        <f ca="1">IF(C19&lt;D19,D19/C19-1,C19/D19-1)</f>
        <v>0.94963886135108333</v>
      </c>
      <c r="E22" s="121"/>
      <c r="F22" s="121"/>
      <c r="G22" s="121"/>
      <c r="H22" s="121"/>
      <c r="I22" s="121"/>
    </row>
    <row r="23" spans="1:36" ht="13.5" thickBot="1">
      <c r="A23" s="646"/>
      <c r="B23" s="646"/>
      <c r="C23" s="646"/>
      <c r="D23" s="646"/>
      <c r="E23" s="121"/>
      <c r="F23" s="121"/>
      <c r="G23" s="121"/>
      <c r="H23" s="121"/>
      <c r="I23" s="121"/>
    </row>
    <row r="24" spans="1:36" ht="14.25">
      <c r="A24" s="3740" t="s">
        <v>1299</v>
      </c>
      <c r="B24" s="1631" t="s">
        <v>1291</v>
      </c>
      <c r="C24" s="128">
        <f>IF(B30=0,0,D30)</f>
        <v>0</v>
      </c>
      <c r="D24" s="1637"/>
      <c r="E24" s="121"/>
      <c r="F24" s="121"/>
      <c r="G24" s="121"/>
      <c r="H24" s="121"/>
      <c r="I24" s="121"/>
    </row>
    <row r="25" spans="1:36" ht="14.25">
      <c r="A25" s="374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44570</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760" t="s">
        <v>1312</v>
      </c>
      <c r="B36" s="1652" t="s">
        <v>1313</v>
      </c>
      <c r="C36" s="137"/>
      <c r="D36" s="1653"/>
      <c r="E36" s="1567"/>
      <c r="F36" s="1654"/>
      <c r="G36" s="121"/>
      <c r="H36" s="121"/>
      <c r="I36" s="121"/>
    </row>
    <row r="37" spans="1:15" ht="15.75" thickBot="1">
      <c r="A37" s="3761"/>
      <c r="B37" s="1555" t="s">
        <v>1314</v>
      </c>
      <c r="C37" s="139"/>
      <c r="D37" s="1071"/>
      <c r="E37" s="1071"/>
      <c r="F37" s="1654"/>
      <c r="G37" s="121"/>
      <c r="H37" s="121"/>
      <c r="I37" s="121"/>
    </row>
    <row r="38" spans="1:15" ht="15.75" thickBot="1">
      <c r="A38" s="376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737" t="s">
        <v>1326</v>
      </c>
      <c r="B45" s="3738"/>
      <c r="C45" s="3739"/>
      <c r="D45" s="147" t="e">
        <f ca="1">ROUND(H101*F45,0)</f>
        <v>#REF!</v>
      </c>
      <c r="E45" s="148" t="s">
        <v>1327</v>
      </c>
      <c r="F45" s="149">
        <v>1</v>
      </c>
      <c r="G45" s="150" t="s">
        <v>1328</v>
      </c>
      <c r="H45" s="121"/>
      <c r="I45" s="121"/>
      <c r="J45" s="3815" t="s">
        <v>1329</v>
      </c>
      <c r="K45" s="3815"/>
      <c r="L45" s="3815"/>
      <c r="M45" s="3815"/>
      <c r="N45" s="3815"/>
      <c r="O45" s="3815"/>
    </row>
    <row r="46" spans="1:15" ht="14.25" customHeight="1">
      <c r="A46" s="3734" t="s">
        <v>1330</v>
      </c>
      <c r="B46" s="3735"/>
      <c r="C46" s="3735"/>
      <c r="D46" s="3735"/>
      <c r="E46" s="3735"/>
      <c r="F46" s="3735"/>
      <c r="G46" s="3736"/>
      <c r="H46" s="1668"/>
      <c r="I46" s="151"/>
      <c r="J46" s="2310">
        <v>1</v>
      </c>
      <c r="K46" s="3796" t="s">
        <v>1331</v>
      </c>
      <c r="L46" s="3796"/>
      <c r="M46" s="3816"/>
      <c r="N46" s="3816"/>
      <c r="O46" s="3816"/>
    </row>
    <row r="47" spans="1:15" ht="12" customHeight="1">
      <c r="A47" s="152" t="s">
        <v>1332</v>
      </c>
      <c r="B47" s="153"/>
      <c r="C47" s="154"/>
      <c r="D47" s="1024" t="s">
        <v>1333</v>
      </c>
      <c r="E47" s="294" t="s">
        <v>1334</v>
      </c>
      <c r="F47" s="155" t="s">
        <v>1335</v>
      </c>
      <c r="G47" s="2333" t="s">
        <v>1336</v>
      </c>
      <c r="H47" s="2334"/>
      <c r="I47" s="151"/>
      <c r="J47" s="2310">
        <v>2</v>
      </c>
      <c r="K47" s="3796" t="s">
        <v>1337</v>
      </c>
      <c r="L47" s="3796"/>
      <c r="M47" s="3817">
        <f>'数据-取费表'!B2</f>
        <v>45473</v>
      </c>
      <c r="N47" s="3817"/>
      <c r="O47" s="3817"/>
    </row>
    <row r="48" spans="1:15" ht="25.5">
      <c r="A48" s="3765" t="s">
        <v>1338</v>
      </c>
      <c r="B48" s="3748"/>
      <c r="C48" s="374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796" t="s">
        <v>1340</v>
      </c>
      <c r="L48" s="3796"/>
      <c r="M48" s="3818" t="e">
        <f ca="1">H101</f>
        <v>#REF!</v>
      </c>
      <c r="N48" s="3818"/>
      <c r="O48" s="3818"/>
    </row>
    <row r="49" spans="1:35" ht="25.5" customHeight="1">
      <c r="A49" s="2152" t="s">
        <v>1341</v>
      </c>
      <c r="B49" s="3732" t="s">
        <v>1342</v>
      </c>
      <c r="C49" s="3732"/>
      <c r="D49" s="1478">
        <v>0</v>
      </c>
      <c r="E49" s="316" t="s">
        <v>1343</v>
      </c>
      <c r="F49" s="2233" t="s">
        <v>28</v>
      </c>
      <c r="G49" s="3802"/>
      <c r="H49" s="2134" t="s">
        <v>2134</v>
      </c>
      <c r="I49" s="2135"/>
      <c r="J49" s="2310">
        <v>4</v>
      </c>
      <c r="K49" s="3796" t="str">
        <f>IF(项目基本情况!E8="房地产抵押价值","房地产抵押价值","抵押担保权已注销时的房地产抵押价值")</f>
        <v>抵押担保权已注销时的房地产抵押价值</v>
      </c>
      <c r="L49" s="3796"/>
      <c r="M49" s="3818" t="str">
        <f>IF(项目基本情况!E8="房地产抵押价值",H107,H109)</f>
        <v>——</v>
      </c>
      <c r="N49" s="3818"/>
      <c r="O49" s="3818"/>
    </row>
    <row r="50" spans="1:35" ht="25.5" customHeight="1">
      <c r="A50" s="2338"/>
      <c r="B50" s="3732" t="s">
        <v>1344</v>
      </c>
      <c r="C50" s="3732"/>
      <c r="D50" s="2189"/>
      <c r="E50" s="323"/>
      <c r="F50" s="2233"/>
      <c r="G50" s="3803"/>
      <c r="H50" s="2136" t="s">
        <v>2135</v>
      </c>
      <c r="I50" s="2135"/>
      <c r="J50" s="3815" t="s">
        <v>1345</v>
      </c>
      <c r="K50" s="3815"/>
      <c r="L50" s="3815"/>
      <c r="M50" s="3815"/>
      <c r="N50" s="3815"/>
      <c r="O50" s="3815"/>
    </row>
    <row r="51" spans="1:35" ht="20.45" customHeight="1">
      <c r="A51" s="2339"/>
      <c r="B51" s="3732" t="s">
        <v>1346</v>
      </c>
      <c r="C51" s="3732"/>
      <c r="D51" s="1024"/>
      <c r="E51" s="319"/>
      <c r="F51" s="2233"/>
      <c r="G51" s="3804"/>
      <c r="H51" s="2136" t="s">
        <v>2136</v>
      </c>
      <c r="I51" s="2135"/>
      <c r="J51" s="2311" t="s">
        <v>1347</v>
      </c>
      <c r="K51" s="3796" t="s">
        <v>1348</v>
      </c>
      <c r="L51" s="3796"/>
      <c r="M51" s="2311" t="s">
        <v>1349</v>
      </c>
      <c r="N51" s="2311" t="s">
        <v>1350</v>
      </c>
      <c r="O51" s="2311" t="s">
        <v>1351</v>
      </c>
    </row>
    <row r="52" spans="1:35" ht="24" customHeight="1">
      <c r="A52" s="2153" t="s">
        <v>1352</v>
      </c>
      <c r="B52" s="3732" t="s">
        <v>1353</v>
      </c>
      <c r="C52" s="3732"/>
      <c r="D52" s="1024" t="e">
        <f ca="1">ROUND(D45*'数据-取费表'!B41/(1+'数据-取费表'!C42),0)</f>
        <v>#REF!</v>
      </c>
      <c r="E52" s="1256" t="s">
        <v>1354</v>
      </c>
      <c r="F52" s="2340">
        <f>'数据-取费表'!B41</f>
        <v>5.6000000000000001E-2</v>
      </c>
      <c r="G52" s="2341"/>
      <c r="H52" s="2331"/>
      <c r="I52" s="1669"/>
      <c r="J52" s="2310">
        <v>1</v>
      </c>
      <c r="K52" s="3797" t="s">
        <v>1355</v>
      </c>
      <c r="L52" s="3797"/>
      <c r="M52" s="2312" t="b">
        <f>D48</f>
        <v>0</v>
      </c>
      <c r="N52" s="2310" t="str">
        <f>E48</f>
        <v>销售额×税（费）率</v>
      </c>
      <c r="O52" s="2313">
        <f>F48</f>
        <v>5.6000000000000001E-2</v>
      </c>
    </row>
    <row r="53" spans="1:35" ht="12" customHeight="1">
      <c r="A53" s="2153" t="s">
        <v>1356</v>
      </c>
      <c r="B53" s="3758" t="s">
        <v>2291</v>
      </c>
      <c r="C53" s="3759"/>
      <c r="D53" s="1024" t="e">
        <f ca="1">ROUND(D45*'数据-取费表'!B41/(1+'数据-取费表'!C42),0)</f>
        <v>#REF!</v>
      </c>
      <c r="E53" s="1256" t="s">
        <v>1354</v>
      </c>
      <c r="F53" s="2340">
        <f>'数据-取费表'!B41</f>
        <v>5.6000000000000001E-2</v>
      </c>
      <c r="G53" s="2341"/>
      <c r="H53" s="2331"/>
      <c r="I53" s="1669"/>
      <c r="J53" s="2310">
        <v>2</v>
      </c>
      <c r="K53" s="3797" t="s">
        <v>1357</v>
      </c>
      <c r="L53" s="3797"/>
      <c r="M53" s="2312" t="e">
        <f t="shared" ref="M53:O54" ca="1" si="0">D55</f>
        <v>#REF!</v>
      </c>
      <c r="N53" s="2310" t="str">
        <f t="shared" si="0"/>
        <v>销售额×税（费）率</v>
      </c>
      <c r="O53" s="2313" t="str">
        <f t="shared" si="0"/>
        <v>免征</v>
      </c>
    </row>
    <row r="54" spans="1:35" ht="12" customHeight="1">
      <c r="A54" s="2153" t="s">
        <v>1358</v>
      </c>
      <c r="B54" s="3758" t="s">
        <v>2292</v>
      </c>
      <c r="C54" s="3759"/>
      <c r="D54" s="1024" t="e">
        <f ca="1">C68</f>
        <v>#REF!</v>
      </c>
      <c r="E54" s="319" t="s">
        <v>1359</v>
      </c>
      <c r="F54" s="2340">
        <f>'数据-取费表'!B41</f>
        <v>5.6000000000000001E-2</v>
      </c>
      <c r="G54" s="2341"/>
      <c r="H54" s="2342"/>
      <c r="I54" s="1669"/>
      <c r="J54" s="2310">
        <v>3</v>
      </c>
      <c r="K54" s="3797" t="s">
        <v>1360</v>
      </c>
      <c r="L54" s="3797"/>
      <c r="M54" s="2312" t="e">
        <f t="shared" ca="1" si="0"/>
        <v>#REF!</v>
      </c>
      <c r="N54" s="2310" t="str">
        <f t="shared" si="0"/>
        <v>增值额×税（费）率</v>
      </c>
      <c r="O54" s="2314" t="str">
        <f t="shared" si="0"/>
        <v>免征</v>
      </c>
    </row>
    <row r="55" spans="1:35" ht="24" customHeight="1">
      <c r="A55" s="3747" t="s">
        <v>1361</v>
      </c>
      <c r="B55" s="3748"/>
      <c r="C55" s="3748"/>
      <c r="D55" s="12" t="e">
        <f ca="1">IF(H55="个人住宅",0,ROUND(D45*I55,0))</f>
        <v>#REF!</v>
      </c>
      <c r="E55" s="1256" t="s">
        <v>1362</v>
      </c>
      <c r="F55" s="2340" t="str">
        <f>IF(H55="正常",I55,"免征")</f>
        <v>免征</v>
      </c>
      <c r="G55" s="2341"/>
      <c r="H55" s="2337"/>
      <c r="I55" s="157">
        <f>'数据-取费表'!B49</f>
        <v>5.0000000000000001E-4</v>
      </c>
      <c r="J55" s="2310">
        <f>IF(H59="非个人房产","",4)</f>
        <v>4</v>
      </c>
      <c r="K55" s="3797" t="str">
        <f>IF(H59="非个人房产","——","个人所得税")</f>
        <v>个人所得税</v>
      </c>
      <c r="L55" s="3797"/>
      <c r="M55" s="2315" t="e">
        <f ca="1">D59</f>
        <v>#REF!</v>
      </c>
      <c r="N55" s="1883" t="str">
        <f>E59</f>
        <v>差额计税</v>
      </c>
      <c r="O55" s="2316">
        <f>F59</f>
        <v>0.01</v>
      </c>
    </row>
    <row r="56" spans="1:35" ht="24.75">
      <c r="A56" s="3747" t="s">
        <v>1363</v>
      </c>
      <c r="B56" s="3748"/>
      <c r="C56" s="3748"/>
      <c r="D56" s="12" t="e">
        <f ca="1">IF(H56="个人住宅",D57,D58)</f>
        <v>#REF!</v>
      </c>
      <c r="E56" s="1256" t="s">
        <v>1364</v>
      </c>
      <c r="F56" s="2340" t="str">
        <f>IF(H56="正常",F58,"免征")</f>
        <v>免征</v>
      </c>
      <c r="G56" s="2343" t="s">
        <v>1365</v>
      </c>
      <c r="H56" s="2344"/>
      <c r="I56" s="1670"/>
      <c r="J56" s="2310" t="str">
        <f>IF(项目基本情况!K6="上海银行",IF(J55="",4,J55+1),"")</f>
        <v/>
      </c>
      <c r="K56" s="3820" t="str">
        <f>IF(项目基本情况!K6="上海银行","其他处置费用","")</f>
        <v/>
      </c>
      <c r="L56" s="3821"/>
      <c r="M56" s="2312" t="str">
        <f>IF(项目基本情况!K6="上海银行",M69,"")</f>
        <v/>
      </c>
      <c r="N56" s="3820" t="str">
        <f>IF(项目基本情况!K6="上海银行","包含处置中涉及的律师、诉讼、拍卖、评估等费用","")</f>
        <v/>
      </c>
      <c r="O56" s="3823"/>
    </row>
    <row r="57" spans="1:35" ht="12.75">
      <c r="A57" s="2153" t="s">
        <v>1341</v>
      </c>
      <c r="B57" s="3758" t="s">
        <v>1366</v>
      </c>
      <c r="C57" s="3759"/>
      <c r="D57" s="1478">
        <v>0</v>
      </c>
      <c r="E57" s="316" t="s">
        <v>1343</v>
      </c>
      <c r="F57" s="294"/>
      <c r="G57" s="2341"/>
      <c r="H57" s="2345"/>
      <c r="I57" s="1670"/>
      <c r="J57" s="3797">
        <f>IF(AND(J55="",J56=""),4,IF(项目基本情况!K6="上海银行",结果表!J56+1,结果表!J55+1))</f>
        <v>5</v>
      </c>
      <c r="K57" s="3797" t="s">
        <v>1367</v>
      </c>
      <c r="L57" s="2317" t="s">
        <v>1368</v>
      </c>
      <c r="M57" s="2318"/>
      <c r="N57" s="2319">
        <f ca="1">SUMIF(M52:M56,"&lt;9e307")</f>
        <v>0</v>
      </c>
      <c r="O57" s="2320"/>
      <c r="P57" s="2465" t="e">
        <f ca="1">N57/M49</f>
        <v>#VALUE!</v>
      </c>
    </row>
    <row r="58" spans="1:35" ht="24.75">
      <c r="A58" s="2153" t="s">
        <v>1352</v>
      </c>
      <c r="B58" s="3758" t="s">
        <v>1369</v>
      </c>
      <c r="C58" s="3732"/>
      <c r="D58" s="12" t="e">
        <f ca="1">IF(H58="转让取得",C81,C97)</f>
        <v>#REF!</v>
      </c>
      <c r="E58" s="1256" t="s">
        <v>1364</v>
      </c>
      <c r="F58" s="294" t="s">
        <v>28</v>
      </c>
      <c r="G58" s="2341"/>
      <c r="H58" s="2344"/>
      <c r="I58" s="1670"/>
      <c r="J58" s="3797"/>
      <c r="K58" s="3797"/>
      <c r="L58" s="2317" t="s">
        <v>1370</v>
      </c>
      <c r="M58" s="2321"/>
      <c r="N58" s="2322" t="str">
        <f ca="1">NUMBERSTRING(INT(N57*10000),2)&amp;"元整"</f>
        <v>零元整</v>
      </c>
      <c r="O58" s="2323"/>
    </row>
    <row r="59" spans="1:35" ht="24.75" thickBot="1">
      <c r="A59" s="3800" t="s">
        <v>1371</v>
      </c>
      <c r="B59" s="3801"/>
      <c r="C59" s="3801"/>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798">
        <f>J57+1</f>
        <v>6</v>
      </c>
      <c r="K59" s="3797" t="s">
        <v>1372</v>
      </c>
      <c r="L59" s="2310" t="s">
        <v>1368</v>
      </c>
      <c r="M59" s="2324"/>
      <c r="N59" s="2325" t="e">
        <f ca="1">M49-N57</f>
        <v>#VALUE!</v>
      </c>
      <c r="O59" s="2326"/>
    </row>
    <row r="60" spans="1:35" ht="12" customHeight="1">
      <c r="A60" s="1671"/>
      <c r="B60" s="646"/>
      <c r="C60" s="646"/>
      <c r="D60" s="646"/>
      <c r="E60" s="1466"/>
      <c r="F60" s="1670"/>
      <c r="G60" s="1670"/>
      <c r="H60" s="151"/>
      <c r="I60" s="121"/>
      <c r="J60" s="3799"/>
      <c r="K60" s="3797"/>
      <c r="L60" s="2317" t="s">
        <v>1370</v>
      </c>
      <c r="M60" s="2321"/>
      <c r="N60" s="2322" t="e">
        <f ca="1">NUMBERSTRING(INT(N59*10000),2)&amp;"元整"</f>
        <v>#VALUE!</v>
      </c>
      <c r="O60" s="2323"/>
    </row>
    <row r="61" spans="1:35" ht="13.5" thickBot="1">
      <c r="A61" s="3745" t="s">
        <v>1373</v>
      </c>
      <c r="B61" s="3745"/>
      <c r="C61" s="3745"/>
      <c r="D61" s="3745"/>
      <c r="E61" s="3745"/>
      <c r="F61" s="1670"/>
      <c r="G61" s="1670"/>
      <c r="H61" s="151"/>
      <c r="I61" s="121"/>
      <c r="J61" s="2310">
        <f>J59+1</f>
        <v>7</v>
      </c>
      <c r="K61" s="3797" t="s">
        <v>1374</v>
      </c>
      <c r="L61" s="3797"/>
      <c r="M61" s="2327"/>
      <c r="N61" s="2328" t="e">
        <f ca="1">ROUND(N59*10000/'数据-汇总表'!E3,0)</f>
        <v>#VALUE!</v>
      </c>
      <c r="O61" s="2329"/>
    </row>
    <row r="62" spans="1:35" ht="12.75">
      <c r="A62" s="3763" t="s">
        <v>1375</v>
      </c>
      <c r="B62" s="3764"/>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822"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82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822"/>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822"/>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82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822"/>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822"/>
      <c r="K69" s="1245" t="s">
        <v>1393</v>
      </c>
      <c r="L69" s="1245"/>
      <c r="M69" s="294" t="e">
        <f>ROUND(SUM(M63:M68),0)</f>
        <v>#VALUE!</v>
      </c>
      <c r="N69" s="2332" t="e">
        <f>M69/M49</f>
        <v>#VALUE!</v>
      </c>
      <c r="Z69" s="1623"/>
      <c r="AI69" s="1561"/>
    </row>
    <row r="70" spans="1:35" s="642" customFormat="1" ht="15" thickBot="1">
      <c r="A70" s="3784" t="s">
        <v>1394</v>
      </c>
      <c r="B70" s="3785"/>
      <c r="C70" s="3785"/>
      <c r="D70" s="3785"/>
      <c r="E70" s="3785"/>
      <c r="F70" s="3785"/>
      <c r="G70" s="3785"/>
      <c r="H70" s="378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763" t="s">
        <v>1375</v>
      </c>
      <c r="B71" s="376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758" t="s">
        <v>1402</v>
      </c>
      <c r="F76" s="3732"/>
      <c r="G76" s="3732"/>
      <c r="H76" s="378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742" t="s">
        <v>1406</v>
      </c>
      <c r="F78" s="3743"/>
      <c r="G78" s="3743"/>
      <c r="H78" s="375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784" t="s">
        <v>1410</v>
      </c>
      <c r="B83" s="3785"/>
      <c r="C83" s="3785"/>
      <c r="D83" s="3785"/>
      <c r="E83" s="3785"/>
      <c r="F83" s="3785"/>
      <c r="G83" s="3785"/>
      <c r="H83" s="378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763" t="s">
        <v>1375</v>
      </c>
      <c r="B84" s="376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824" t="s">
        <v>2129</v>
      </c>
      <c r="H90" s="382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742" t="s">
        <v>1419</v>
      </c>
      <c r="F91" s="3743"/>
      <c r="G91" s="374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742" t="s">
        <v>1422</v>
      </c>
      <c r="F92" s="3743"/>
      <c r="G92" s="3743"/>
      <c r="H92" s="375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742" t="s">
        <v>1406</v>
      </c>
      <c r="F93" s="3743"/>
      <c r="G93" s="3743"/>
      <c r="H93" s="375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753" t="s">
        <v>1426</v>
      </c>
      <c r="F94" s="3754"/>
      <c r="G94" s="3754"/>
      <c r="H94" s="375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726" t="s">
        <v>1428</v>
      </c>
      <c r="B100" s="3727"/>
      <c r="C100" s="3727"/>
      <c r="D100" s="3744"/>
      <c r="E100" s="3727" t="s">
        <v>1429</v>
      </c>
      <c r="F100" s="3727"/>
      <c r="G100" s="3727"/>
      <c r="H100" s="3744"/>
      <c r="I100" s="121"/>
    </row>
    <row r="101" spans="1:35" ht="18.75" customHeight="1">
      <c r="A101" s="3805" t="s">
        <v>1430</v>
      </c>
      <c r="B101" s="3806"/>
      <c r="C101" s="2371" t="str">
        <f>C4</f>
        <v>收益法（汇总）</v>
      </c>
      <c r="D101" s="2372" t="str">
        <f>D4</f>
        <v>成本法</v>
      </c>
      <c r="E101" s="3819" t="s">
        <v>1431</v>
      </c>
      <c r="F101" s="3776"/>
      <c r="G101" s="1687" t="s">
        <v>1432</v>
      </c>
      <c r="H101" s="2381" t="e">
        <f ca="1">H118</f>
        <v>#REF!</v>
      </c>
      <c r="I101" s="121"/>
    </row>
    <row r="102" spans="1:35" ht="18.75" customHeight="1">
      <c r="A102" s="3778" t="s">
        <v>1433</v>
      </c>
      <c r="B102" s="2370" t="s">
        <v>1432</v>
      </c>
      <c r="C102" s="2371">
        <f ca="1">IF(D32="楼面单价",ROUND(C19,0),C19)</f>
        <v>206496</v>
      </c>
      <c r="D102" s="2372">
        <f ca="1">IF(D32="楼面单价",ROUND(D19,0),D19)</f>
        <v>105915</v>
      </c>
      <c r="E102" s="3819"/>
      <c r="F102" s="3776"/>
      <c r="G102" s="1687" t="s">
        <v>1434</v>
      </c>
      <c r="H102" s="2341" t="e">
        <f ca="1">I118</f>
        <v>#REF!</v>
      </c>
      <c r="I102" s="121"/>
    </row>
    <row r="103" spans="1:35" ht="42.75" customHeight="1">
      <c r="A103" s="3778"/>
      <c r="B103" s="2370" t="s">
        <v>1434</v>
      </c>
      <c r="C103" s="2373">
        <f ca="1">C20</f>
        <v>44570</v>
      </c>
      <c r="D103" s="2374">
        <f ca="1">D20</f>
        <v>22861</v>
      </c>
      <c r="E103" s="3813" t="s">
        <v>1435</v>
      </c>
      <c r="F103" s="3814"/>
      <c r="G103" s="1688" t="s">
        <v>1436</v>
      </c>
      <c r="H103" s="2381">
        <f>IF(D36="正常操作",H104+H105+H106,H105+H106)</f>
        <v>0</v>
      </c>
      <c r="I103" s="121"/>
    </row>
    <row r="104" spans="1:35" ht="18.75" customHeight="1">
      <c r="A104" s="3778"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77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775" t="str">
        <f>IF(项目基本情况!E8="已注销","——","3.房地产抵押价值")</f>
        <v>3.房地产抵押价值</v>
      </c>
      <c r="F107" s="3776"/>
      <c r="G107" s="1687" t="s">
        <v>1432</v>
      </c>
      <c r="H107" s="2381" t="e">
        <f ca="1">IF(E107="——","——",H101-H103)</f>
        <v>#REF!</v>
      </c>
      <c r="I107" s="121"/>
    </row>
    <row r="108" spans="1:35" ht="18.75" customHeight="1">
      <c r="A108" s="121"/>
      <c r="B108" s="121"/>
      <c r="C108" s="121"/>
      <c r="D108" s="121"/>
      <c r="E108" s="3775"/>
      <c r="F108" s="3776"/>
      <c r="G108" s="1687" t="s">
        <v>1434</v>
      </c>
      <c r="H108" s="2341">
        <f ca="1">IF(H107=H101,H102,ROUND(H107*10000/'数据-汇总表'!E3,0))</f>
        <v>0</v>
      </c>
      <c r="I108" s="121"/>
    </row>
    <row r="109" spans="1:35" ht="18.75" customHeight="1">
      <c r="A109" s="121"/>
      <c r="B109" s="121"/>
      <c r="C109" s="121"/>
      <c r="D109" s="121"/>
      <c r="E109" s="3775" t="str">
        <f>IF(项目基本情况!E8="已注销及未注销","4.抵押担保权已注销时的房地产抵押价值",IF(项目基本情况!E8="已注销","3.抵押担保权已注销时的房地产抵押价值","——"))</f>
        <v>——</v>
      </c>
      <c r="F109" s="3776"/>
      <c r="G109" s="1687" t="s">
        <v>1432</v>
      </c>
      <c r="H109" s="2384" t="str">
        <f>IF(E109="——","——",H101-H105-H106)</f>
        <v>——</v>
      </c>
      <c r="I109" s="121"/>
    </row>
    <row r="110" spans="1:35" ht="18.75" customHeight="1">
      <c r="A110" s="121"/>
      <c r="B110" s="121"/>
      <c r="C110" s="121"/>
      <c r="D110" s="121"/>
      <c r="E110" s="3775"/>
      <c r="F110" s="3776"/>
      <c r="G110" s="1687" t="s">
        <v>1434</v>
      </c>
      <c r="H110" s="2341" t="str">
        <f>IF(H109="——","——",ROUND(H109*10000/'数据-汇总表'!E3,0))</f>
        <v>——</v>
      </c>
      <c r="I110" s="121"/>
    </row>
    <row r="111" spans="1:35" ht="18.75" customHeight="1">
      <c r="A111" s="121"/>
      <c r="B111" s="121"/>
      <c r="C111" s="121"/>
      <c r="D111" s="121"/>
      <c r="E111" s="3807" t="str">
        <f>IF(项目基本情况!E9="抵押净值",IF(OR(项目基本情况!E8="已注销",项目基本情况!E8="房地产抵押价值"),"4.抵押净值","5.抵押净值"),"——")</f>
        <v>——</v>
      </c>
      <c r="F111" s="3777"/>
      <c r="G111" s="1687" t="s">
        <v>1432</v>
      </c>
      <c r="H111" s="2381" t="str">
        <f>IF(E111="——","——",N59)</f>
        <v>——</v>
      </c>
      <c r="I111" s="121"/>
    </row>
    <row r="112" spans="1:35" ht="18.75" customHeight="1" thickBot="1">
      <c r="A112" s="121"/>
      <c r="B112" s="121"/>
      <c r="C112" s="121"/>
      <c r="D112" s="121"/>
      <c r="E112" s="3808"/>
      <c r="F112" s="3809"/>
      <c r="G112" s="1690" t="s">
        <v>1434</v>
      </c>
      <c r="H112" s="2385" t="str">
        <f>IF(E111="——","——",N61)</f>
        <v>——</v>
      </c>
      <c r="I112" s="121"/>
    </row>
    <row r="113" spans="1:27" ht="18.75" customHeight="1">
      <c r="A113" s="121"/>
      <c r="B113" s="121"/>
      <c r="C113" s="121"/>
      <c r="D113" s="121"/>
      <c r="E113" s="3780" t="s">
        <v>1440</v>
      </c>
      <c r="F113" s="3780"/>
      <c r="G113" s="3780"/>
      <c r="H113" s="3780"/>
      <c r="I113" s="121"/>
    </row>
    <row r="114" spans="1:27" ht="3.75" customHeight="1">
      <c r="A114" s="646"/>
      <c r="B114" s="646"/>
      <c r="C114" s="646"/>
      <c r="D114" s="646"/>
      <c r="E114" s="1671"/>
      <c r="F114" s="1671"/>
      <c r="G114" s="1671"/>
      <c r="H114" s="1671"/>
      <c r="I114" s="646"/>
    </row>
    <row r="115" spans="1:27" ht="18.75" customHeight="1">
      <c r="A115" s="3790" t="s">
        <v>1442</v>
      </c>
      <c r="B115" s="3791"/>
      <c r="C115" s="3791"/>
      <c r="D115" s="3791"/>
      <c r="E115" s="3791"/>
      <c r="F115" s="3791"/>
      <c r="G115" s="3791"/>
      <c r="H115" s="3791"/>
      <c r="I115" s="3792"/>
    </row>
    <row r="116" spans="1:27" ht="27" customHeight="1">
      <c r="A116" s="3746" t="s">
        <v>1443</v>
      </c>
      <c r="B116" s="3781" t="s">
        <v>1444</v>
      </c>
      <c r="C116" s="3781" t="s">
        <v>1445</v>
      </c>
      <c r="D116" s="3794" t="s">
        <v>1446</v>
      </c>
      <c r="E116" s="3795"/>
      <c r="F116" s="3789" t="s">
        <v>1447</v>
      </c>
      <c r="G116" s="3789"/>
      <c r="H116" s="3746" t="s">
        <v>1448</v>
      </c>
      <c r="I116" s="3746"/>
    </row>
    <row r="117" spans="1:27" ht="18.75" customHeight="1">
      <c r="A117" s="3746"/>
      <c r="B117" s="3782"/>
      <c r="C117" s="378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46330.329999999994</v>
      </c>
      <c r="C118" s="2150">
        <f>M19</f>
        <v>4831.42</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746" t="s">
        <v>1452</v>
      </c>
      <c r="B119" s="3746"/>
      <c r="C119" s="3746"/>
      <c r="D119" s="3786" t="e">
        <f ca="1">NUMBERSTRING(INT(D118*10000),2)&amp;"元整"</f>
        <v>#REF!</v>
      </c>
      <c r="E119" s="3788"/>
      <c r="F119" s="3786" t="e">
        <f ca="1">NUMBERSTRING(INT(F118*10000),2)&amp;"元整"</f>
        <v>#REF!</v>
      </c>
      <c r="G119" s="3788"/>
      <c r="H119" s="3786" t="e">
        <f ca="1">NUMBERSTRING(INT(H118*10000),2)&amp;"元整"</f>
        <v>#REF!</v>
      </c>
      <c r="I119" s="3788"/>
    </row>
    <row r="120" spans="1:27" ht="18.75" customHeight="1">
      <c r="A120" s="3810" t="str">
        <f>IF(项目基本情况!B9="房地产市场价值","",MID(E103,3,LEN(E103)-2))</f>
        <v/>
      </c>
      <c r="B120" s="3811"/>
      <c r="C120" s="3812"/>
      <c r="D120" s="3810">
        <f>H103</f>
        <v>0</v>
      </c>
      <c r="E120" s="3811"/>
      <c r="F120" s="3811"/>
      <c r="G120" s="3811"/>
      <c r="H120" s="3811"/>
      <c r="I120" s="381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786" t="s">
        <v>1452</v>
      </c>
      <c r="B121" s="3787"/>
      <c r="C121" s="3788"/>
      <c r="D121" s="3786" t="str">
        <f>IF(D120=0,"零元整",NUMBERSTRING(INT(D120*10000),2)&amp;"元整")</f>
        <v>零元整</v>
      </c>
      <c r="E121" s="3787"/>
      <c r="F121" s="3787"/>
      <c r="G121" s="3787"/>
      <c r="H121" s="3787"/>
      <c r="I121" s="3788"/>
      <c r="AA121" s="684"/>
    </row>
    <row r="122" spans="1:27" ht="18.75" customHeight="1">
      <c r="A122" s="3777" t="str">
        <f>IF(项目基本情况!B9="房地产市场价值","",MID(E107,3,LEN(E107)-2))</f>
        <v/>
      </c>
      <c r="B122" s="3777"/>
      <c r="C122" s="3777"/>
      <c r="D122" s="3810" t="e">
        <f ca="1">H107</f>
        <v>#REF!</v>
      </c>
      <c r="E122" s="3811"/>
      <c r="F122" s="3811"/>
      <c r="G122" s="3811"/>
      <c r="H122" s="3811"/>
      <c r="I122" s="3812"/>
      <c r="AA122" s="684"/>
    </row>
    <row r="123" spans="1:27" ht="18.75" customHeight="1">
      <c r="A123" s="3746" t="s">
        <v>1452</v>
      </c>
      <c r="B123" s="3746"/>
      <c r="C123" s="3746"/>
      <c r="D123" s="3786" t="e">
        <f ca="1">NUMBERSTRING(INT(D122*10000),2)&amp;"元整"</f>
        <v>#REF!</v>
      </c>
      <c r="E123" s="3787"/>
      <c r="F123" s="3787"/>
      <c r="G123" s="3787"/>
      <c r="H123" s="3787"/>
      <c r="I123" s="3788"/>
      <c r="AA123" s="684"/>
    </row>
    <row r="124" spans="1:27" ht="18.75" customHeight="1">
      <c r="A124" s="3777" t="str">
        <f>IF(项目基本情况!B9="房地产市场价值","",MID(E109,3,LEN(E109)-2))</f>
        <v/>
      </c>
      <c r="B124" s="3777"/>
      <c r="C124" s="3777"/>
      <c r="D124" s="3810" t="str">
        <f>H109</f>
        <v>——</v>
      </c>
      <c r="E124" s="3811"/>
      <c r="F124" s="3811"/>
      <c r="G124" s="3811"/>
      <c r="H124" s="3811"/>
      <c r="I124" s="3812"/>
      <c r="AA124" s="684"/>
    </row>
    <row r="125" spans="1:27" ht="18.75" customHeight="1">
      <c r="A125" s="3746" t="s">
        <v>1452</v>
      </c>
      <c r="B125" s="3746"/>
      <c r="C125" s="3746"/>
      <c r="D125" s="3786" t="e">
        <f>NUMBERSTRING(INT(D124*10000),2)&amp;"元整"</f>
        <v>#VALUE!</v>
      </c>
      <c r="E125" s="3787"/>
      <c r="F125" s="3787"/>
      <c r="G125" s="3787"/>
      <c r="H125" s="3787"/>
      <c r="I125" s="3788"/>
      <c r="AA125" s="684"/>
    </row>
    <row r="126" spans="1:27" ht="18.75" customHeight="1">
      <c r="A126" s="3777" t="str">
        <f>IF(项目基本情况!B9="房地产市场价值","",MID(E111,3,LEN(E111)-2))</f>
        <v/>
      </c>
      <c r="B126" s="3777"/>
      <c r="C126" s="3777"/>
      <c r="D126" s="3810" t="str">
        <f>H111</f>
        <v>——</v>
      </c>
      <c r="E126" s="3811"/>
      <c r="F126" s="3811"/>
      <c r="G126" s="3811"/>
      <c r="H126" s="3811"/>
      <c r="I126" s="3812"/>
      <c r="AA126" s="684"/>
    </row>
    <row r="127" spans="1:27" ht="18.75" customHeight="1">
      <c r="A127" s="3746" t="s">
        <v>1452</v>
      </c>
      <c r="B127" s="3746"/>
      <c r="C127" s="3746"/>
      <c r="D127" s="3786" t="e">
        <f>NUMBERSTRING(INT(D126*10000),2)&amp;"元整"</f>
        <v>#VALUE!</v>
      </c>
      <c r="E127" s="3787"/>
      <c r="F127" s="3787"/>
      <c r="G127" s="3787"/>
      <c r="H127" s="3787"/>
      <c r="I127" s="3788"/>
      <c r="AA127" s="684"/>
    </row>
    <row r="128" spans="1:27" ht="21.75" customHeight="1">
      <c r="A128" s="3793" t="s">
        <v>1453</v>
      </c>
      <c r="B128" s="3793"/>
      <c r="C128" s="3793"/>
      <c r="D128" s="3793"/>
      <c r="E128" s="3793"/>
      <c r="F128" s="3793"/>
      <c r="G128" s="3793"/>
      <c r="H128" s="3793"/>
      <c r="I128" s="379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97" priority="3" stopIfTrue="1">
      <formula>$H$88&lt;&gt;"仅含出让金"</formula>
    </cfRule>
  </conditionalFormatting>
  <conditionalFormatting sqref="C91">
    <cfRule type="expression" dxfId="196" priority="2" stopIfTrue="1">
      <formula>$H$91="由企业提供"</formula>
    </cfRule>
  </conditionalFormatting>
  <conditionalFormatting sqref="C5:D7">
    <cfRule type="cellIs" dxfId="195" priority="10" stopIfTrue="1" operator="equal">
      <formula>25</formula>
    </cfRule>
  </conditionalFormatting>
  <conditionalFormatting sqref="C8:D13">
    <cfRule type="cellIs" dxfId="194" priority="8" stopIfTrue="1" operator="equal">
      <formula>15</formula>
    </cfRule>
  </conditionalFormatting>
  <conditionalFormatting sqref="C14:D16">
    <cfRule type="cellIs" dxfId="193" priority="6" stopIfTrue="1" operator="equal">
      <formula>30</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10</v>
      </c>
      <c r="H1" s="998" t="str">
        <f>IF(ISERROR(FIND("住宅",B1)),"非住宅","住宅")</f>
        <v>非住宅</v>
      </c>
    </row>
    <row r="2" spans="1:8" s="192" customFormat="1" ht="18" customHeight="1">
      <c r="A2" s="193" t="s">
        <v>1462</v>
      </c>
      <c r="B2" s="3123">
        <f ca="1">ROUND(IF(D2="——",C52/10000,C52/10000-E2),4)</f>
        <v>24358.922299999998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5258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9266066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9266066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9266066</v>
      </c>
      <c r="D10" s="795">
        <f ca="1">IF(B1="",'数据-汇总表'!E6,IF(INDIRECT("'数据-取费表'!c"&amp;$G$1)="住宅",INDIRECT("'数据-取费表'!s"&amp;$G$1),INDIRECT("'数据-取费表'!k"&amp;$G$1)+INDIRECT("'数据-取费表'!s"&amp;$G$1)))</f>
        <v>46330.329999999994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9266066</v>
      </c>
      <c r="D19" s="204">
        <f ca="1">D9+D10</f>
        <v>46330.329999999994</v>
      </c>
      <c r="E19" s="203">
        <f>'数据-取费表'!B31</f>
        <v>200</v>
      </c>
      <c r="F19" s="223"/>
      <c r="G19" s="1714"/>
    </row>
    <row r="20" spans="1:7" s="206" customFormat="1" ht="13.5" customHeight="1">
      <c r="A20" s="247" t="s">
        <v>1574</v>
      </c>
      <c r="B20" s="202" t="s">
        <v>1575</v>
      </c>
      <c r="C20" s="224">
        <f ca="1">ROUND((C5+C19)*F20,0)</f>
        <v>185321</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1307168</v>
      </c>
      <c r="D22" s="227">
        <f ca="1">C26</f>
        <v>2.9999999999999997E-4</v>
      </c>
      <c r="E22" s="228" t="s">
        <v>1579</v>
      </c>
      <c r="F22" s="229">
        <f ca="1">'数据-取费表'!B40</f>
        <v>3.4500000000000003E-2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650387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650387</v>
      </c>
      <c r="D24" s="230"/>
      <c r="E24" s="230"/>
      <c r="F24" s="231"/>
      <c r="G24" s="232" t="s">
        <v>1586</v>
      </c>
    </row>
    <row r="25" spans="1:7" s="206" customFormat="1" ht="24">
      <c r="A25" s="734" t="s">
        <v>1476</v>
      </c>
      <c r="B25" s="207" t="s">
        <v>1587</v>
      </c>
      <c r="C25" s="230">
        <f ca="1">ROUND(IF('数据-取费表'!B22&lt;=1,C20*F22*'数据-取费表'!B22/2,C20*(POWER((1+F22),'数据-取费表'!B22/2)-1)),0)</f>
        <v>6394</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3181967</v>
      </c>
      <c r="D27" s="227">
        <f ca="1">C29</f>
        <v>1.6999999999999999E-3</v>
      </c>
      <c r="E27" s="228" t="s">
        <v>1514</v>
      </c>
      <c r="F27" s="238">
        <f ca="1">IF(B1="",'数据-取费表'!Q16,INDIRECT("'数据-取费表'!q"&amp;$G$1))</f>
        <v>0.17</v>
      </c>
      <c r="G27" s="239" t="s">
        <v>1515</v>
      </c>
    </row>
    <row r="28" spans="1:7" s="206" customFormat="1" ht="13.5" customHeight="1">
      <c r="A28" s="734" t="s">
        <v>346</v>
      </c>
      <c r="B28" s="240" t="s">
        <v>1516</v>
      </c>
      <c r="C28" s="241">
        <f ca="1">ROUND((C5+C19+C20)*F27,0)</f>
        <v>3181967</v>
      </c>
      <c r="D28" s="227"/>
      <c r="E28" s="228"/>
      <c r="F28" s="238"/>
      <c r="G28" s="239"/>
    </row>
    <row r="29" spans="1:7" s="206" customFormat="1" ht="13.5" customHeight="1">
      <c r="A29" s="734" t="s">
        <v>347</v>
      </c>
      <c r="B29" s="240" t="s">
        <v>1517</v>
      </c>
      <c r="C29" s="230">
        <f ca="1">ROUND(C21*F27,4)</f>
        <v>1.6999999999999999E-3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24827846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227134443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208486485</v>
      </c>
      <c r="D34" s="209"/>
      <c r="E34" s="212"/>
      <c r="F34" s="249"/>
      <c r="G34" s="211"/>
    </row>
    <row r="35" spans="1:7" ht="13.5" customHeight="1">
      <c r="A35" s="734" t="s">
        <v>351</v>
      </c>
      <c r="B35" s="207" t="s">
        <v>1527</v>
      </c>
      <c r="C35" s="212">
        <f ca="1">ROUND(C34*F35,0)</f>
        <v>6254595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9266066</v>
      </c>
      <c r="D37" s="209">
        <f ca="1">D19</f>
        <v>46330.329999999994</v>
      </c>
      <c r="E37" s="241">
        <f>'数据-取费表'!B35</f>
        <v>200</v>
      </c>
      <c r="F37" s="251"/>
      <c r="G37" s="253"/>
    </row>
    <row r="38" spans="1:7" ht="13.5" customHeight="1">
      <c r="A38" s="734" t="s">
        <v>354</v>
      </c>
      <c r="B38" s="207" t="s">
        <v>1533</v>
      </c>
      <c r="C38" s="212">
        <f ca="1">ROUND(C34*F38,0)</f>
        <v>3127297</v>
      </c>
      <c r="D38" s="212"/>
      <c r="E38" s="212"/>
      <c r="F38" s="251">
        <f>'数据-取费表'!B36</f>
        <v>1.4999999999999999E-2</v>
      </c>
      <c r="G38" s="211" t="s">
        <v>1528</v>
      </c>
    </row>
    <row r="39" spans="1:7" s="206" customFormat="1" ht="13.5" customHeight="1">
      <c r="A39" s="247" t="s">
        <v>1534</v>
      </c>
      <c r="B39" s="202" t="s">
        <v>1535</v>
      </c>
      <c r="C39" s="224">
        <f ca="1">ROUND(C33*F20,0)</f>
        <v>2271344</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7914499</v>
      </c>
      <c r="D41" s="227">
        <f ca="1">C44</f>
        <v>2.9999999999999997E-4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7836138</v>
      </c>
      <c r="D42" s="230"/>
      <c r="E42" s="230"/>
      <c r="F42" s="231"/>
      <c r="G42" s="3826" t="s">
        <v>1591</v>
      </c>
    </row>
    <row r="43" spans="1:7" ht="13.5" customHeight="1">
      <c r="A43" s="734" t="s">
        <v>347</v>
      </c>
      <c r="B43" s="207" t="s">
        <v>1545</v>
      </c>
      <c r="C43" s="230">
        <f ca="1">ROUND(IF('数据-取费表'!B22&lt;=1,C39*F22*'数据-取费表'!B20/2,C39*(POWER((1+F22),'数据-取费表'!B20/2)-1)),0)</f>
        <v>78361</v>
      </c>
      <c r="D43" s="230"/>
      <c r="E43" s="230"/>
      <c r="F43" s="231"/>
      <c r="G43" s="3827"/>
    </row>
    <row r="44" spans="1:7" ht="13.5" customHeight="1">
      <c r="A44" s="734" t="s">
        <v>348</v>
      </c>
      <c r="B44" s="207" t="s">
        <v>1546</v>
      </c>
      <c r="C44" s="230">
        <f ca="1">ROUND(IF('数据-取费表'!B22&lt;=1,C40*F22*'数据-取费表'!B20/2,C40*(POWER((1+F22),'数据-取费表'!B20/2)-1)),4)</f>
        <v>2.9999999999999997E-4</v>
      </c>
      <c r="D44" s="230"/>
      <c r="E44" s="230"/>
      <c r="F44" s="231"/>
      <c r="G44" s="3828"/>
    </row>
    <row r="45" spans="1:7" s="206" customFormat="1" ht="13.5" customHeight="1">
      <c r="A45" s="247" t="s">
        <v>1547</v>
      </c>
      <c r="B45" s="236" t="s">
        <v>1513</v>
      </c>
      <c r="C45" s="237">
        <f ca="1">C46</f>
        <v>38998984</v>
      </c>
      <c r="D45" s="227">
        <f ca="1">C47</f>
        <v>1.6999999999999999E-3</v>
      </c>
      <c r="E45" s="228" t="s">
        <v>1539</v>
      </c>
      <c r="F45" s="238">
        <f ca="1">F27</f>
        <v>0.17</v>
      </c>
      <c r="G45" s="239" t="s">
        <v>1548</v>
      </c>
    </row>
    <row r="46" spans="1:7" s="206" customFormat="1" ht="13.5" customHeight="1">
      <c r="A46" s="734" t="s">
        <v>346</v>
      </c>
      <c r="B46" s="240" t="s">
        <v>1549</v>
      </c>
      <c r="C46" s="241">
        <f ca="1">ROUND((C33+C39)*F27,0)</f>
        <v>38998984</v>
      </c>
      <c r="D46" s="255"/>
      <c r="E46" s="228"/>
      <c r="F46" s="238"/>
      <c r="G46" s="239"/>
    </row>
    <row r="47" spans="1:7" s="206" customFormat="1" ht="13.5" customHeight="1">
      <c r="A47" s="734" t="s">
        <v>347</v>
      </c>
      <c r="B47" s="240" t="s">
        <v>1550</v>
      </c>
      <c r="C47" s="230">
        <f ca="1">ROUND(C40*F27,4)</f>
        <v>1.6999999999999999E-3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295623483</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218761377</v>
      </c>
      <c r="D51" s="224"/>
      <c r="E51" s="224"/>
      <c r="F51" s="256"/>
      <c r="G51" s="226" t="s">
        <v>1560</v>
      </c>
    </row>
    <row r="52" spans="1:7" s="200" customFormat="1" ht="16.5" thickBot="1">
      <c r="A52" s="257" t="s">
        <v>1561</v>
      </c>
      <c r="B52" s="258"/>
      <c r="C52" s="259">
        <f ca="1">C31+C51</f>
        <v>243589223</v>
      </c>
      <c r="D52" s="258"/>
      <c r="E52" s="258"/>
      <c r="F52" s="258"/>
      <c r="G52" s="260"/>
    </row>
    <row r="55" spans="1:7" ht="15">
      <c r="B55" s="262" t="s">
        <v>1562</v>
      </c>
      <c r="C55" s="263"/>
    </row>
    <row r="56" spans="1:7">
      <c r="B56" s="265" t="s">
        <v>802</v>
      </c>
      <c r="C56" s="267">
        <f ca="1">1-C57</f>
        <v>0.10199999999999998</v>
      </c>
    </row>
    <row r="57" spans="1:7">
      <c r="B57" s="265" t="s">
        <v>803</v>
      </c>
      <c r="C57" s="266">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644" t="str">
        <f>项目基本情况!B1</f>
        <v>北京市房地产市场价值预评估</v>
      </c>
      <c r="C37" s="3644"/>
      <c r="D37" s="3644"/>
      <c r="E37" s="3644"/>
      <c r="F37" s="3644"/>
      <c r="G37" s="3644"/>
      <c r="H37" s="3644"/>
      <c r="I37" s="364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10</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46330.329999999994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46330.329999999994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927</v>
      </c>
      <c r="D20" s="796">
        <f ca="1">IF(C1="",'数据-汇总表'!E6,IF(INDIRECT("'数据-取费表'!c"&amp;$K$1)="住宅",INDIRECT("'数据-取费表'!s"&amp;$K$1),INDIRECT("'数据-取费表'!k"&amp;$K$1)+INDIRECT("'数据-取费表'!s"&amp;$K$1)))</f>
        <v>46330.329999999994</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0.17</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39997558519241921"/>
    <pageSetUpPr fitToPage="1"/>
  </sheetPr>
  <dimension ref="A1:I57"/>
  <sheetViews>
    <sheetView view="pageBreakPreview" zoomScale="110" zoomScaleNormal="70" zoomScaleSheetLayoutView="110" workbookViewId="0">
      <selection activeCell="B3" sqref="B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10</v>
      </c>
    </row>
    <row r="2" spans="1:9" s="192" customFormat="1" ht="18" customHeight="1">
      <c r="A2" s="193" t="s">
        <v>1462</v>
      </c>
      <c r="B2" s="194">
        <f ca="1">IF(D2="——",C52,C52-E2)</f>
        <v>105915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22861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62728</v>
      </c>
      <c r="D5" s="203" t="s">
        <v>1469</v>
      </c>
      <c r="E5" s="204" t="s">
        <v>1470</v>
      </c>
      <c r="F5" s="204" t="s">
        <v>1471</v>
      </c>
      <c r="G5" s="205"/>
    </row>
    <row r="6" spans="1:9" s="206" customFormat="1" ht="13.5" customHeight="1">
      <c r="A6" s="732" t="s">
        <v>1472</v>
      </c>
      <c r="B6" s="207" t="s">
        <v>1473</v>
      </c>
      <c r="C6" s="208">
        <f>基准地价修正!B2</f>
        <v>59972</v>
      </c>
      <c r="D6" s="209"/>
      <c r="E6" s="210"/>
      <c r="F6" s="210"/>
      <c r="G6" s="211"/>
    </row>
    <row r="7" spans="1:9" s="206" customFormat="1" ht="13.5" customHeight="1">
      <c r="A7" s="732" t="s">
        <v>1474</v>
      </c>
      <c r="B7" s="207" t="s">
        <v>1475</v>
      </c>
      <c r="C7" s="212">
        <f>ROUND(C6*F7,0)</f>
        <v>1829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927</v>
      </c>
      <c r="D8" s="214"/>
      <c r="E8" s="212"/>
      <c r="F8" s="213"/>
      <c r="G8" s="1714" t="s">
        <v>3729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3727</v>
      </c>
      <c r="H9" s="1070"/>
      <c r="I9" s="1716" t="s">
        <v>1479</v>
      </c>
    </row>
    <row r="10" spans="1:9" s="206" customFormat="1" ht="13.5" customHeight="1">
      <c r="A10" s="733" t="s">
        <v>356</v>
      </c>
      <c r="B10" s="216" t="s">
        <v>1480</v>
      </c>
      <c r="C10" s="217">
        <f ca="1">ROUND(D10*E10/10000,0)</f>
        <v>927</v>
      </c>
      <c r="D10" s="795">
        <f ca="1">IF(B1="",'数据-汇总表'!E6,IF(INDIRECT("'数据-取费表'!c"&amp;$G$1)="住宅",INDIRECT("'数据-取费表'!s"&amp;$G$1),INDIRECT("'数据-取费表'!k"&amp;$G$1)+INDIRECT("'数据-取费表'!s"&amp;$G$1)))</f>
        <v>46330.329999999994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46330.329999999994</v>
      </c>
      <c r="E19" s="203">
        <f>'数据-取费表'!B31</f>
        <v>200</v>
      </c>
      <c r="F19" s="223"/>
      <c r="G19" s="1714" t="s">
        <v>3728</v>
      </c>
    </row>
    <row r="20" spans="1:7" s="206" customFormat="1" ht="13.5" customHeight="1">
      <c r="A20" s="247" t="s">
        <v>1493</v>
      </c>
      <c r="B20" s="202" t="s">
        <v>1494</v>
      </c>
      <c r="C20" s="224">
        <f ca="1">ROUND((C5+C19)*F20,0)</f>
        <v>627</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4425</v>
      </c>
      <c r="D22" s="227">
        <f ca="1">C26</f>
        <v>2.9999999999999997E-4</v>
      </c>
      <c r="E22" s="228" t="s">
        <v>1498</v>
      </c>
      <c r="F22" s="229">
        <f ca="1">'数据-取费表'!B40</f>
        <v>3.4500000000000003E-2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4403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22</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10770</v>
      </c>
      <c r="D27" s="227">
        <f ca="1">C29</f>
        <v>1.6999999999999999E-3</v>
      </c>
      <c r="E27" s="228" t="s">
        <v>1514</v>
      </c>
      <c r="F27" s="238">
        <f ca="1">IF(B1="",'数据-取费表'!Q16,INDIRECT("'数据-取费表'!q"&amp;$G$1))</f>
        <v>0.17</v>
      </c>
      <c r="G27" s="239" t="s">
        <v>1515</v>
      </c>
    </row>
    <row r="28" spans="1:7" s="206" customFormat="1" ht="13.5" customHeight="1">
      <c r="A28" s="734" t="s">
        <v>346</v>
      </c>
      <c r="B28" s="240" t="s">
        <v>1516</v>
      </c>
      <c r="C28" s="241">
        <f ca="1">ROUND((C5+C19+C20)*F27*'数据-取费表'!B21/'数据-取费表'!B20,0)</f>
        <v>10770</v>
      </c>
      <c r="D28" s="227"/>
      <c r="E28" s="228"/>
      <c r="F28" s="238"/>
      <c r="G28" s="239"/>
    </row>
    <row r="29" spans="1:7" s="206" customFormat="1" ht="13.5" customHeight="1">
      <c r="A29" s="734" t="s">
        <v>347</v>
      </c>
      <c r="B29" s="240" t="s">
        <v>1517</v>
      </c>
      <c r="C29" s="230">
        <f ca="1">ROUND(C21*F27*'数据-取费表'!B21/'数据-取费表'!B20,4)</f>
        <v>1.6999999999999999E-3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84038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22714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20849</v>
      </c>
      <c r="D34" s="209"/>
      <c r="E34" s="212"/>
      <c r="F34" s="249">
        <f ca="1">IF('数据-取费表'!B24=0,1,IF(B1="",'数据-取费表'!N16,INDIRECT("'数据-取费表'!n"&amp;$G$1)))</f>
        <v>1</v>
      </c>
      <c r="G34" s="211" t="s">
        <v>1526</v>
      </c>
    </row>
    <row r="35" spans="1:7" ht="13.5" customHeight="1">
      <c r="A35" s="734" t="s">
        <v>351</v>
      </c>
      <c r="B35" s="207" t="s">
        <v>1527</v>
      </c>
      <c r="C35" s="212">
        <f ca="1">ROUND(C34*F35,0)</f>
        <v>625</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927</v>
      </c>
      <c r="D37" s="209">
        <f ca="1">D19</f>
        <v>46330.329999999994</v>
      </c>
      <c r="E37" s="241">
        <f>'数据-取费表'!B35</f>
        <v>200</v>
      </c>
      <c r="F37" s="251"/>
      <c r="G37" s="253" t="s">
        <v>1532</v>
      </c>
    </row>
    <row r="38" spans="1:7" ht="13.5" customHeight="1">
      <c r="A38" s="734" t="s">
        <v>354</v>
      </c>
      <c r="B38" s="207" t="s">
        <v>1533</v>
      </c>
      <c r="C38" s="212">
        <f ca="1">ROUND(C34*F38,0)</f>
        <v>313</v>
      </c>
      <c r="D38" s="212"/>
      <c r="E38" s="212"/>
      <c r="F38" s="251">
        <f>'数据-取费表'!B36</f>
        <v>1.4999999999999999E-2</v>
      </c>
      <c r="G38" s="211" t="s">
        <v>1528</v>
      </c>
    </row>
    <row r="39" spans="1:7" s="206" customFormat="1" ht="13.5" customHeight="1">
      <c r="A39" s="247" t="s">
        <v>1534</v>
      </c>
      <c r="B39" s="202" t="s">
        <v>1535</v>
      </c>
      <c r="C39" s="224">
        <f ca="1">ROUND(C33*F20,0)</f>
        <v>227</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792</v>
      </c>
      <c r="D41" s="227">
        <f ca="1">C44</f>
        <v>2.9999999999999997E-4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784</v>
      </c>
      <c r="D42" s="230"/>
      <c r="E42" s="230"/>
      <c r="F42" s="231"/>
      <c r="G42" s="3826" t="s">
        <v>1544</v>
      </c>
    </row>
    <row r="43" spans="1:7" ht="13.5" customHeight="1">
      <c r="A43" s="734" t="s">
        <v>347</v>
      </c>
      <c r="B43" s="207" t="s">
        <v>1545</v>
      </c>
      <c r="C43" s="230">
        <f ca="1">ROUND(IF('数据-取费表'!B22&lt;=1,C39*F22*'数据-取费表'!B21/2,C39*(POWER((1+F22),'数据-取费表'!B21/2)-1)),0)</f>
        <v>8</v>
      </c>
      <c r="D43" s="230"/>
      <c r="E43" s="230"/>
      <c r="F43" s="231"/>
      <c r="G43" s="3827"/>
    </row>
    <row r="44" spans="1:7" ht="13.5" customHeight="1">
      <c r="A44" s="734" t="s">
        <v>348</v>
      </c>
      <c r="B44" s="207" t="s">
        <v>1546</v>
      </c>
      <c r="C44" s="230">
        <f ca="1">ROUND(IF('数据-取费表'!B22&lt;=1,C40*F22*'数据-取费表'!B21/2,C40*(POWER((1+F22),'数据-取费表'!B21/2)-1)),4)</f>
        <v>2.9999999999999997E-4</v>
      </c>
      <c r="D44" s="230"/>
      <c r="E44" s="230"/>
      <c r="F44" s="231"/>
      <c r="G44" s="3828"/>
    </row>
    <row r="45" spans="1:7" s="206" customFormat="1" ht="13.5" customHeight="1">
      <c r="A45" s="247" t="s">
        <v>1547</v>
      </c>
      <c r="B45" s="236" t="s">
        <v>1513</v>
      </c>
      <c r="C45" s="237">
        <f ca="1">C46</f>
        <v>3900</v>
      </c>
      <c r="D45" s="227">
        <f ca="1">C47</f>
        <v>1.6999999999999999E-3</v>
      </c>
      <c r="E45" s="228" t="s">
        <v>1539</v>
      </c>
      <c r="F45" s="238">
        <f ca="1">F27</f>
        <v>0.17</v>
      </c>
      <c r="G45" s="239" t="s">
        <v>1548</v>
      </c>
    </row>
    <row r="46" spans="1:7" s="206" customFormat="1" ht="13.5" customHeight="1">
      <c r="A46" s="734" t="s">
        <v>346</v>
      </c>
      <c r="B46" s="240" t="s">
        <v>1549</v>
      </c>
      <c r="C46" s="241">
        <f ca="1">ROUND((C33+C39)*F27,0)</f>
        <v>3900</v>
      </c>
      <c r="D46" s="255"/>
      <c r="E46" s="228"/>
      <c r="F46" s="238"/>
      <c r="G46" s="239"/>
    </row>
    <row r="47" spans="1:7" s="206" customFormat="1" ht="13.5" customHeight="1">
      <c r="A47" s="734" t="s">
        <v>347</v>
      </c>
      <c r="B47" s="240" t="s">
        <v>1550</v>
      </c>
      <c r="C47" s="230">
        <f ca="1">ROUND(C40*F27,4)</f>
        <v>1.6999999999999999E-3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29563</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21877</v>
      </c>
      <c r="D51" s="224"/>
      <c r="E51" s="224"/>
      <c r="F51" s="256"/>
      <c r="G51" s="226" t="s">
        <v>1560</v>
      </c>
    </row>
    <row r="52" spans="1:7" s="200" customFormat="1" ht="16.5" thickBot="1">
      <c r="A52" s="257" t="s">
        <v>1561</v>
      </c>
      <c r="B52" s="258"/>
      <c r="C52" s="259">
        <f ca="1">C31+C51</f>
        <v>105915</v>
      </c>
      <c r="D52" s="258"/>
      <c r="E52" s="258"/>
      <c r="F52" s="258"/>
      <c r="G52" s="260"/>
    </row>
    <row r="55" spans="1:7" ht="15">
      <c r="B55" s="262" t="s">
        <v>1562</v>
      </c>
      <c r="C55" s="263"/>
    </row>
    <row r="56" spans="1:7">
      <c r="B56" s="265" t="s">
        <v>802</v>
      </c>
      <c r="C56" s="267">
        <f ca="1">1-C57</f>
        <v>0.79300000000000004</v>
      </c>
    </row>
    <row r="57" spans="1:7">
      <c r="B57" s="265" t="s">
        <v>803</v>
      </c>
      <c r="C57" s="266">
        <f ca="1">ROUND(C51/C52,3)</f>
        <v>0.20699999999999999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A1:AK122"/>
  <sheetViews>
    <sheetView view="pageBreakPreview" zoomScaleNormal="80" zoomScaleSheetLayoutView="100" workbookViewId="0">
      <selection activeCell="E24" sqref="E2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46286.559999999998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59972</v>
      </c>
      <c r="C2" s="1846" t="s">
        <v>1935</v>
      </c>
      <c r="D2" s="162" t="s">
        <v>1936</v>
      </c>
      <c r="E2" s="3121"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Ⅳ-02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26777</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12957</v>
      </c>
      <c r="C3" s="1846" t="s">
        <v>1941</v>
      </c>
      <c r="D3" s="162" t="s">
        <v>1942</v>
      </c>
      <c r="E3" s="3119" t="s">
        <v>3863</v>
      </c>
      <c r="F3" s="1848" t="s">
        <v>3723</v>
      </c>
      <c r="G3" s="708">
        <f>IF(F3="宗地容积率",'数据-汇总表'!I4,IF(F3="估价对象容积率",'数据-汇总表'!I6,'数据-汇总表'!I7))</f>
        <v>7.13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21106</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836"/>
      <c r="B4" s="3837"/>
      <c r="C4" s="3837"/>
      <c r="D4" s="3838"/>
      <c r="E4" s="3838"/>
      <c r="F4" s="3838"/>
      <c r="G4" s="3838"/>
      <c r="H4" s="3838"/>
      <c r="I4" s="3838"/>
      <c r="J4" s="3839"/>
      <c r="K4" s="1056"/>
      <c r="L4" s="1847" t="s">
        <v>1946</v>
      </c>
      <c r="M4" s="811">
        <f>SUMPRODUCT((区片价!B55:B86=I2)*(区片价!C3:G3=E2)*(区片价!C55:G86))</f>
        <v>20700</v>
      </c>
      <c r="N4" s="813">
        <f>SUMPRODUCT((因素修正幅度!B55:B86=I2)*(因素修正幅度!C3:G3=E2)*(因素修正幅度!C55:G86))</f>
        <v>9.1999999999999998E-2</v>
      </c>
      <c r="O4" s="1056"/>
      <c r="P4" s="1056"/>
      <c r="Q4" s="1056"/>
      <c r="R4" s="1129">
        <v>3</v>
      </c>
      <c r="S4" s="3064">
        <f>ROUND(SUMPRODUCT((B106:B110=R4)*(C105:N105=G2)*(C106:N110)),4)</f>
        <v>1.0004999999999999</v>
      </c>
      <c r="T4" s="3064">
        <f t="shared" si="0"/>
        <v>17838</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20700</v>
      </c>
      <c r="D5" s="1252">
        <f>ROUND(C6*C17+C20,0)</f>
        <v>20700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15732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20700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15119</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7.13</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833" t="s">
        <v>1960</v>
      </c>
      <c r="X8" s="383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835"/>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83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3240</v>
      </c>
      <c r="B12" s="3014" t="s">
        <v>3241</v>
      </c>
      <c r="C12" s="3015">
        <v>1</v>
      </c>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3247</v>
      </c>
      <c r="B17" s="3028" t="s">
        <v>3248</v>
      </c>
      <c r="C17" s="3037">
        <f>ROUND(IF(OR(E2="工业",E2="公共服务"),1,IF(AND(E18=0,E19=0),1,IF(AND(E18=J24,E19=G19),0.8,IF(E19=0,1+E17*(-0.2),1+E17*G17*(-0.2))))),4)</f>
        <v>1</v>
      </c>
      <c r="D17" s="3029" t="s">
        <v>3249</v>
      </c>
      <c r="E17" s="3037">
        <f>ROUND(G18/I18,2)</f>
        <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3250</v>
      </c>
      <c r="E18" s="2357"/>
      <c r="F18" s="3031" t="s">
        <v>3253</v>
      </c>
      <c r="G18" s="3035">
        <f>ROUND(1-(1/(POWER(1+G24,E18))),4)</f>
        <v>0</v>
      </c>
      <c r="H18" s="3031" t="s">
        <v>3255</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840" t="s">
        <v>3256</v>
      </c>
      <c r="B20" s="159" t="s">
        <v>1994</v>
      </c>
      <c r="C20" s="3032">
        <f>ROUND(IF(F21="与级别开发程度一致",0,(G21-E21)/C21),0)</f>
        <v>0</v>
      </c>
      <c r="D20" s="3047" t="s">
        <v>1998</v>
      </c>
      <c r="E20" s="3048"/>
      <c r="F20" s="3846" t="s">
        <v>1995</v>
      </c>
      <c r="G20" s="384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84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3724</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1.0107999999999999</v>
      </c>
      <c r="D23" s="1896" t="s">
        <v>2002</v>
      </c>
      <c r="E23" s="717">
        <v>44197</v>
      </c>
      <c r="F23" s="1896" t="s">
        <v>2003</v>
      </c>
      <c r="G23" s="718">
        <f>'数据-取费表'!B2</f>
        <v>45473</v>
      </c>
      <c r="H23" s="3049" t="s">
        <v>3258</v>
      </c>
      <c r="I23" s="3050" t="str">
        <f>IF(H23="季度增幅（自定义）",SUMIF(N25:N28,E2,O25:O28),"")</f>
        <v/>
      </c>
      <c r="J23" s="3142" t="s">
        <v>3257</v>
      </c>
      <c r="K23" s="1061"/>
      <c r="L23" s="1897" t="s">
        <v>2004</v>
      </c>
      <c r="M23" s="1241">
        <f>ROUND(SUMIF(地价!B2:G2,E2,地价!B16:G16),0)</f>
        <v>350</v>
      </c>
      <c r="N23" s="1898" t="s">
        <v>2005</v>
      </c>
      <c r="O23" s="719">
        <f>ROUNDDOWN(DATEDIF(E23,G23,"M")/3,0)</f>
        <v>13</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0.85209999999999997</v>
      </c>
      <c r="D24" s="1902" t="s">
        <v>2007</v>
      </c>
      <c r="E24" s="1248">
        <f>存贷款利率!E27/100</f>
        <v>4.3499999999999997E-2</v>
      </c>
      <c r="F24" s="1902" t="s">
        <v>1999</v>
      </c>
      <c r="G24" s="724">
        <f>SUMIF(M30:Q30,E2,M33:Q33)</f>
        <v>5.5E-2</v>
      </c>
      <c r="H24" s="1902" t="s">
        <v>2008</v>
      </c>
      <c r="I24" s="725">
        <f>SUMIF('数据-取费表'!C6:C15,E2,'数据-取费表'!F6:F15)/COUNTIF('数据-取费表'!C6:C15,E2)</f>
        <v>29.46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3337</v>
      </c>
      <c r="C25" s="461">
        <f>IF(B25="容积率修正",IF(G3&lt;10,D26,J26),C27)</f>
        <v>0.84770000000000001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0.84770000000000001</v>
      </c>
      <c r="E26" s="708">
        <f>ROUNDDOWN(G3,1)</f>
        <v>7.1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0.84830000000000005</v>
      </c>
      <c r="G26" s="708">
        <f>ROUNDUP(G3,1)</f>
        <v>7.1999999999999993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0.84640000000000004</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59972</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574</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15114</v>
      </c>
      <c r="D33" s="1940">
        <f>'数据-汇总表'!F27</f>
        <v>38160.79</v>
      </c>
      <c r="E33" s="727">
        <f>ROUND(C33*D33/10000,0)</f>
        <v>57676</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3779</v>
      </c>
      <c r="D34" s="1945"/>
      <c r="E34" s="727">
        <f>ROUND(IF(B25="楼层修正",SUM(V2:V16)*M40,C34*D34/10000),0)</f>
        <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3">
        <f ca="1">'数据-取费表'!B40</f>
        <v>3.4500000000000003E-2</v>
      </c>
      <c r="M36" s="2366">
        <f ca="1">ROUND($L$36*(1+M31),3)</f>
        <v>4.2999999999999997E-2</v>
      </c>
      <c r="N36" s="2366">
        <f ca="1">ROUND($L$36*(1+N31),3)</f>
        <v>4.1000000000000002E-2</v>
      </c>
      <c r="O36" s="2366">
        <f ca="1">ROUND($L$36*(1+O31),3)</f>
        <v>0.04</v>
      </c>
      <c r="P36" s="2366">
        <f ca="1">ROUND($L$36*(1+P31),3)</f>
        <v>3.7999999999999999E-2</v>
      </c>
      <c r="Q36" s="2366">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844"/>
      <c r="B37" s="1955" t="s">
        <v>2036</v>
      </c>
      <c r="C37" s="167">
        <f>ROUND(D5*C22*C23*C24*C28*F37,0)</f>
        <v>10697</v>
      </c>
      <c r="D37" s="1940"/>
      <c r="E37" s="163">
        <f>ROUND(C37*D37/10000,0)</f>
        <v>0</v>
      </c>
      <c r="F37" s="163">
        <f>SUMIF(修正!A57:A68,G2,修正!B57:B68)</f>
        <v>0.6</v>
      </c>
      <c r="G37" s="163">
        <f>ROUND(IF(E2="工业",C37*$M$42,C37*$M$41),0)</f>
        <v>2674</v>
      </c>
      <c r="H37" s="163">
        <f>D37</f>
        <v>0</v>
      </c>
      <c r="I37" s="163">
        <f>ROUND(G37*H37/10000,0)</f>
        <v>0</v>
      </c>
      <c r="J37" s="2755"/>
      <c r="K37" s="3062" t="s">
        <v>3268</v>
      </c>
      <c r="L37" s="1964">
        <f ca="1">L36+K38</f>
        <v>3.95E-2</v>
      </c>
      <c r="M37" s="2366">
        <f ca="1">ROUND($L$37*(1+M31),3)</f>
        <v>4.9000000000000002E-2</v>
      </c>
      <c r="N37" s="2366">
        <f t="shared" ref="N37:Q37" ca="1" si="3">ROUND($L$37*(1+N31),3)</f>
        <v>4.7E-2</v>
      </c>
      <c r="O37" s="2366">
        <f t="shared" ca="1" si="3"/>
        <v>4.4999999999999998E-2</v>
      </c>
      <c r="P37" s="2366">
        <f t="shared" ca="1" si="3"/>
        <v>4.2999999999999997E-2</v>
      </c>
      <c r="Q37" s="2366">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845"/>
      <c r="B38" s="1884" t="s">
        <v>2037</v>
      </c>
      <c r="C38" s="167">
        <f>ROUND(D5*C22*C23*C24*C28*F38,0)</f>
        <v>5349</v>
      </c>
      <c r="D38" s="1940"/>
      <c r="E38" s="163">
        <f t="shared" ref="E38:E42" si="4">ROUND(C38*D38/10000,0)</f>
        <v>0</v>
      </c>
      <c r="F38" s="163">
        <f>SUMIF(修正!A57:A68,G2,修正!C57:C68)</f>
        <v>0.3</v>
      </c>
      <c r="G38" s="163">
        <f>ROUND(IF(E2="工业",C38*$M$42,C38*$M$41),0)</f>
        <v>1337</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845"/>
      <c r="B39" s="1884" t="s">
        <v>3261</v>
      </c>
      <c r="C39" s="167">
        <f>ROUND(D5*C22*C23*C24*C28*F39,0)</f>
        <v>4457</v>
      </c>
      <c r="D39" s="1940"/>
      <c r="E39" s="163">
        <f t="shared" si="4"/>
        <v>0</v>
      </c>
      <c r="F39" s="163">
        <f>SUMIF(修正!A57:A68,G2,修正!D57:D68)</f>
        <v>0.25</v>
      </c>
      <c r="G39" s="163">
        <f>ROUND(IF(E2="工业",C39*$M$42,C39*$M$41),0)</f>
        <v>1114</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4457</v>
      </c>
      <c r="D40" s="1940"/>
      <c r="E40" s="163">
        <f t="shared" si="4"/>
        <v>0</v>
      </c>
      <c r="F40" s="167">
        <f>SUMIF(修正!A57:A68,G2,修正!E57:E68)</f>
        <v>0.25</v>
      </c>
      <c r="G40" s="163">
        <f>ROUND(IF(E2="工业",C40*$M$42,C40*$M$41),0)</f>
        <v>1114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4457</v>
      </c>
      <c r="D41" s="1940">
        <f>'数据-汇总表'!G22</f>
        <v>690.59999999999991</v>
      </c>
      <c r="E41" s="163">
        <f t="shared" si="4"/>
        <v>308</v>
      </c>
      <c r="F41" s="167">
        <f>SUMIF(修正!A57:A68,G2,修正!F57:F68)</f>
        <v>0.25</v>
      </c>
      <c r="G41" s="163">
        <f>ROUND(IF(E2="工业",C41*$M$42,C41*$M$41),0)</f>
        <v>1114</v>
      </c>
      <c r="H41" s="163">
        <f t="shared" si="5"/>
        <v>690.59999999999991</v>
      </c>
      <c r="I41" s="163">
        <f t="shared" si="6"/>
        <v>77</v>
      </c>
      <c r="J41" s="939"/>
      <c r="L41" s="3063"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2674</v>
      </c>
      <c r="D42" s="1945">
        <f>'数据-汇总表'!G20</f>
        <v>7435.17</v>
      </c>
      <c r="E42" s="179">
        <f t="shared" si="4"/>
        <v>1988</v>
      </c>
      <c r="F42" s="723">
        <f>SUMIF(修正!A57:A68,G2,修正!G57:G68)</f>
        <v>0.15</v>
      </c>
      <c r="G42" s="179">
        <f>ROUND(IF(E2="工业",C42*$M$42,C42*$M$41),0)</f>
        <v>669</v>
      </c>
      <c r="H42" s="179">
        <f t="shared" si="5"/>
        <v>7435.17</v>
      </c>
      <c r="I42" s="179">
        <f t="shared" si="6"/>
        <v>497</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0.85209999999999997</v>
      </c>
      <c r="D44" s="163" t="s">
        <v>1999</v>
      </c>
      <c r="E44" s="1991">
        <f>G24</f>
        <v>5.5E-2</v>
      </c>
      <c r="F44" s="163" t="s">
        <v>2008</v>
      </c>
      <c r="G44" s="175">
        <f>I24</f>
        <v>29.46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3271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f>IF(E2="办公",SUMIF(L1:L12,G2,N1:N12),"——")</f>
        <v>9.1999999999999998E-2</v>
      </c>
      <c r="G61" s="1000"/>
      <c r="H61" s="1003">
        <f t="shared" ref="H61:H69" si="13">IFERROR(ROUNDDOWN($F$61*I61/2,4),"——")</f>
        <v>1.15E-2</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f t="shared" si="13"/>
        <v>1.1900000000000001E-2</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3271</v>
      </c>
      <c r="B63" s="1262">
        <f>估价对象房地状况!C19</f>
        <v>0</v>
      </c>
      <c r="C63" s="1887"/>
      <c r="D63" s="1002">
        <f t="shared" si="12"/>
        <v>0</v>
      </c>
      <c r="E63" s="703"/>
      <c r="F63" s="1675"/>
      <c r="G63" s="1000"/>
      <c r="H63" s="1003">
        <f t="shared" si="13"/>
        <v>5.0000000000000001E-3</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f t="shared" si="13"/>
        <v>2.3E-3</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f t="shared" si="13"/>
        <v>2.3E-3</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f t="shared" si="13"/>
        <v>2.7000000000000001E-3</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f t="shared" si="13"/>
        <v>2.7000000000000001E-3</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f t="shared" si="13"/>
        <v>4.1000000000000003E-3</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f t="shared" si="13"/>
        <v>3.2000000000000002E-3</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hidden="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hidden="1">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hidden="1">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hidden="1">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hidden="1">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1.056</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3725</v>
      </c>
      <c r="D83" s="1002">
        <f t="shared" ref="D83:D90" si="22">SUMIF($J$82:$N$82,C83,J83:N83)</f>
        <v>1.2999999999999999E-2</v>
      </c>
      <c r="E83" s="702">
        <f>ROUND(SUM(D83:D90),4)</f>
        <v>5.6000000000000001E-2</v>
      </c>
      <c r="F83" s="1675" t="str">
        <f>IF(E2="工业",SUMIF(L1:L12,G2,N1:N12),"——")</f>
        <v>——</v>
      </c>
      <c r="G83" s="1000">
        <v>1.2999999999999999E-2</v>
      </c>
      <c r="H83" s="1003" t="str">
        <f t="shared" ref="H83:H90" si="23">IFERROR(ROUNDDOWN($F$83*I83/2,4),"——")</f>
        <v>——</v>
      </c>
      <c r="I83" s="3069">
        <v>0.26</v>
      </c>
      <c r="J83" s="1001">
        <f t="shared" ref="J83:J90" si="24">K83+$G83</f>
        <v>2.5999999999999999E-2</v>
      </c>
      <c r="K83" s="1001">
        <f t="shared" ref="K83:K90" si="25">$L83+$G83</f>
        <v>1.2999999999999999E-2</v>
      </c>
      <c r="L83" s="1001">
        <v>0</v>
      </c>
      <c r="M83" s="1001">
        <f t="shared" ref="M83:N90" si="26">L83-$G83</f>
        <v>-1.2999999999999999E-2</v>
      </c>
      <c r="N83" s="1001">
        <f t="shared" si="26"/>
        <v>-2.5999999999999999E-2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3725</v>
      </c>
      <c r="D84" s="1002">
        <f t="shared" si="22"/>
        <v>1.4999999999999999E-2</v>
      </c>
      <c r="E84" s="705"/>
      <c r="F84" s="1675"/>
      <c r="G84" s="1000">
        <v>1.4999999999999999E-2</v>
      </c>
      <c r="H84" s="1003" t="str">
        <f t="shared" si="23"/>
        <v>——</v>
      </c>
      <c r="I84" s="3069">
        <v>0.3</v>
      </c>
      <c r="J84" s="1001">
        <f t="shared" si="24"/>
        <v>0.03</v>
      </c>
      <c r="K84" s="1001">
        <f t="shared" si="25"/>
        <v>1.4999999999999999E-2</v>
      </c>
      <c r="L84" s="1001">
        <v>0</v>
      </c>
      <c r="M84" s="1001">
        <f t="shared" si="26"/>
        <v>-1.4999999999999999E-2</v>
      </c>
      <c r="N84" s="1001">
        <f t="shared" si="26"/>
        <v>-0.03</v>
      </c>
      <c r="Z84" s="1845"/>
      <c r="AA84" s="1895"/>
      <c r="AG84" s="1058"/>
      <c r="AK84" s="1895"/>
    </row>
    <row r="85" spans="1:37" ht="36">
      <c r="A85" s="3071" t="s">
        <v>3272</v>
      </c>
      <c r="B85" s="1262">
        <f>估价对象房地状况!G17</f>
        <v>0</v>
      </c>
      <c r="C85" s="1887" t="s">
        <v>3725</v>
      </c>
      <c r="D85" s="1002">
        <f t="shared" si="22"/>
        <v>5.0000000000000001E-3</v>
      </c>
      <c r="E85" s="705"/>
      <c r="F85" s="1675"/>
      <c r="G85" s="1000">
        <v>5.0000000000000001E-3</v>
      </c>
      <c r="H85" s="1003" t="str">
        <f t="shared" si="23"/>
        <v>——</v>
      </c>
      <c r="I85" s="3069">
        <v>0.1</v>
      </c>
      <c r="J85" s="1001">
        <f t="shared" si="24"/>
        <v>0.01</v>
      </c>
      <c r="K85" s="1001">
        <f t="shared" si="25"/>
        <v>5.0000000000000001E-3</v>
      </c>
      <c r="L85" s="1001">
        <v>0</v>
      </c>
      <c r="M85" s="1001">
        <f t="shared" si="26"/>
        <v>-5.0000000000000001E-3</v>
      </c>
      <c r="N85" s="1001">
        <f t="shared" si="26"/>
        <v>-0.01</v>
      </c>
      <c r="Z85" s="1845"/>
      <c r="AA85" s="1895"/>
      <c r="AG85" s="1058"/>
      <c r="AK85" s="1895"/>
    </row>
    <row r="86" spans="1:37" ht="14.25">
      <c r="A86" s="1970" t="s">
        <v>2067</v>
      </c>
      <c r="B86" s="1262">
        <f>估价对象房地状况!G22</f>
        <v>0</v>
      </c>
      <c r="C86" s="1887" t="s">
        <v>3725</v>
      </c>
      <c r="D86" s="1002">
        <f t="shared" si="22"/>
        <v>2.5000000000000001E-3</v>
      </c>
      <c r="E86" s="705"/>
      <c r="F86" s="1675"/>
      <c r="G86" s="1000">
        <v>2.5000000000000001E-3</v>
      </c>
      <c r="H86" s="1003" t="str">
        <f t="shared" si="23"/>
        <v>——</v>
      </c>
      <c r="I86" s="3069">
        <v>0.05</v>
      </c>
      <c r="J86" s="1001">
        <f t="shared" si="24"/>
        <v>5.0000000000000001E-3</v>
      </c>
      <c r="K86" s="1001">
        <f t="shared" si="25"/>
        <v>2.5000000000000001E-3</v>
      </c>
      <c r="L86" s="1001">
        <v>0</v>
      </c>
      <c r="M86" s="1001">
        <f t="shared" si="26"/>
        <v>-2.5000000000000001E-3</v>
      </c>
      <c r="N86" s="1001">
        <f t="shared" si="26"/>
        <v>-5.0000000000000001E-3</v>
      </c>
      <c r="Z86" s="1845"/>
      <c r="AA86" s="1895"/>
      <c r="AG86" s="1058"/>
      <c r="AK86" s="1895"/>
    </row>
    <row r="87" spans="1:37" ht="25.5">
      <c r="A87" s="1970" t="s">
        <v>2059</v>
      </c>
      <c r="B87" s="1240" t="str">
        <f>估价对象房地状况!G19</f>
        <v>估价对象所在区域公共配套设施齐备情况</v>
      </c>
      <c r="C87" s="1887" t="s">
        <v>3725</v>
      </c>
      <c r="D87" s="1002">
        <f t="shared" si="22"/>
        <v>3.0000000000000001E-3</v>
      </c>
      <c r="E87" s="705"/>
      <c r="F87" s="1675"/>
      <c r="G87" s="1000">
        <v>3.0000000000000001E-3</v>
      </c>
      <c r="H87" s="1003" t="str">
        <f t="shared" si="23"/>
        <v>——</v>
      </c>
      <c r="I87" s="3069">
        <v>0.06</v>
      </c>
      <c r="J87" s="1001">
        <f t="shared" si="24"/>
        <v>6.0000000000000001E-3</v>
      </c>
      <c r="K87" s="1001">
        <f t="shared" si="25"/>
        <v>3.0000000000000001E-3</v>
      </c>
      <c r="L87" s="1001">
        <v>0</v>
      </c>
      <c r="M87" s="1001">
        <f t="shared" si="26"/>
        <v>-3.0000000000000001E-3</v>
      </c>
      <c r="N87" s="1001">
        <f t="shared" si="26"/>
        <v>-6.0000000000000001E-3</v>
      </c>
    </row>
    <row r="88" spans="1:37" ht="25.5">
      <c r="A88" s="1970" t="s">
        <v>2060</v>
      </c>
      <c r="B88" s="1240" t="str">
        <f>估价对象房地状况!G20</f>
        <v>估价对象所在区域基础设施水平</v>
      </c>
      <c r="C88" s="1887" t="s">
        <v>3726</v>
      </c>
      <c r="D88" s="1002">
        <f t="shared" si="22"/>
        <v>1.2E-2</v>
      </c>
      <c r="E88" s="705"/>
      <c r="F88" s="1675"/>
      <c r="G88" s="1000">
        <v>6.0000000000000001E-3</v>
      </c>
      <c r="H88" s="1003" t="str">
        <f t="shared" si="23"/>
        <v>——</v>
      </c>
      <c r="I88" s="3069">
        <v>0.12</v>
      </c>
      <c r="J88" s="1001">
        <f t="shared" si="24"/>
        <v>1.2E-2</v>
      </c>
      <c r="K88" s="1001">
        <f t="shared" si="25"/>
        <v>6.0000000000000001E-3</v>
      </c>
      <c r="L88" s="1001">
        <v>0</v>
      </c>
      <c r="M88" s="1001">
        <f t="shared" si="26"/>
        <v>-6.0000000000000001E-3</v>
      </c>
      <c r="N88" s="1001">
        <f t="shared" si="26"/>
        <v>-1.2E-2</v>
      </c>
    </row>
    <row r="89" spans="1:37" ht="24">
      <c r="A89" s="1970" t="s">
        <v>2057</v>
      </c>
      <c r="B89" s="1975" t="s">
        <v>2071</v>
      </c>
      <c r="C89" s="1887" t="s">
        <v>3725</v>
      </c>
      <c r="D89" s="1002">
        <f t="shared" si="22"/>
        <v>3.0000000000000001E-3</v>
      </c>
      <c r="E89" s="705"/>
      <c r="F89" s="1675"/>
      <c r="G89" s="1000">
        <v>3.0000000000000001E-3</v>
      </c>
      <c r="H89" s="1003" t="str">
        <f t="shared" si="23"/>
        <v>——</v>
      </c>
      <c r="I89" s="3069">
        <v>0.06</v>
      </c>
      <c r="J89" s="1001">
        <f t="shared" si="24"/>
        <v>6.0000000000000001E-3</v>
      </c>
      <c r="K89" s="1001">
        <f t="shared" si="25"/>
        <v>3.0000000000000001E-3</v>
      </c>
      <c r="L89" s="1001">
        <v>0</v>
      </c>
      <c r="M89" s="1001">
        <f t="shared" si="26"/>
        <v>-3.0000000000000001E-3</v>
      </c>
      <c r="N89" s="1001">
        <f t="shared" si="26"/>
        <v>-6.0000000000000001E-3</v>
      </c>
    </row>
    <row r="90" spans="1:37" ht="39" thickBot="1">
      <c r="A90" s="1977" t="s">
        <v>2072</v>
      </c>
      <c r="B90" s="1982" t="str">
        <f>估价对象房地状况!G18</f>
        <v>该园区内是否有污染型企业，绿化情况，卫生条件，整体环境状况判断</v>
      </c>
      <c r="C90" s="1887" t="s">
        <v>3725</v>
      </c>
      <c r="D90" s="1002">
        <f t="shared" si="22"/>
        <v>2.5000000000000001E-3</v>
      </c>
      <c r="E90" s="706"/>
      <c r="F90" s="1675"/>
      <c r="G90" s="1000">
        <v>2.5000000000000001E-3</v>
      </c>
      <c r="H90" s="1003" t="str">
        <f t="shared" si="23"/>
        <v>——</v>
      </c>
      <c r="I90" s="3070">
        <v>0.05</v>
      </c>
      <c r="J90" s="1001">
        <f t="shared" si="24"/>
        <v>5.0000000000000001E-3</v>
      </c>
      <c r="K90" s="1001">
        <f t="shared" si="25"/>
        <v>2.5000000000000001E-3</v>
      </c>
      <c r="L90" s="1001">
        <v>0</v>
      </c>
      <c r="M90" s="1001">
        <f t="shared" si="26"/>
        <v>-2.5000000000000001E-3</v>
      </c>
      <c r="N90" s="1001">
        <f t="shared" si="26"/>
        <v>-5.0000000000000001E-3</v>
      </c>
    </row>
    <row r="91" spans="1:37" ht="15">
      <c r="A91" s="3079" t="s">
        <v>2614</v>
      </c>
      <c r="B91" s="3080">
        <f>1+E93</f>
        <v>1.0504</v>
      </c>
      <c r="C91" s="3073"/>
      <c r="D91" s="3074"/>
      <c r="E91" s="1675"/>
      <c r="F91" s="1675"/>
      <c r="G91" s="3075"/>
      <c r="H91" s="3076"/>
      <c r="I91" s="3077"/>
      <c r="J91" s="3078"/>
      <c r="K91" s="3078"/>
      <c r="L91" s="3078"/>
      <c r="M91" s="3078"/>
      <c r="N91" s="3078"/>
    </row>
    <row r="92" spans="1:37" ht="24.75">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t="s">
        <v>3725</v>
      </c>
      <c r="D93" s="2310">
        <f>SUMIF($J$92:$N$92,C93,J93:N93)</f>
        <v>1.2E-2</v>
      </c>
      <c r="E93" s="3084">
        <f>ROUND(SUM(D93:D101),4)</f>
        <v>5.04E-2</v>
      </c>
      <c r="F93" s="1675" t="str">
        <f>IF(E2="公共服务",SUMIF(L1:L12,G2,N1:N12),"——")</f>
        <v>——</v>
      </c>
      <c r="G93" s="3075">
        <v>1.2E-2</v>
      </c>
      <c r="H93" s="3120" t="str">
        <f>IFERROR(ROUNDDOWN($F$93*I93/2,4),"——")</f>
        <v>——</v>
      </c>
      <c r="I93" s="3069">
        <v>0.25</v>
      </c>
      <c r="J93" s="1912">
        <f t="shared" ref="J93:J101" si="27">K93+$G93</f>
        <v>2.4E-2</v>
      </c>
      <c r="K93" s="1912">
        <f t="shared" ref="K93:K101" si="28">$L93+$G93</f>
        <v>1.2E-2</v>
      </c>
      <c r="L93" s="1912">
        <v>0</v>
      </c>
      <c r="M93" s="1912">
        <f t="shared" ref="M93:N101" si="29">L93-$G93</f>
        <v>-1.2E-2</v>
      </c>
      <c r="N93" s="1912">
        <f t="shared" si="29"/>
        <v>-2.4E-2</v>
      </c>
    </row>
    <row r="94" spans="1:37" ht="38.25">
      <c r="A94" s="3081" t="s">
        <v>3275</v>
      </c>
      <c r="B94" s="3072" t="str">
        <f>估价对象房地状况!C18</f>
        <v>估价对象周边道路状况、公共交通通达情况、停车便捷程度，综合评价交通便捷度较好</v>
      </c>
      <c r="C94" s="1887" t="s">
        <v>3725</v>
      </c>
      <c r="D94" s="2310">
        <f t="shared" ref="D94:D101" si="30">SUMIF($J$60:$N$60,C94,J94:N94)</f>
        <v>1.24E-2</v>
      </c>
      <c r="E94" s="3085"/>
      <c r="F94" s="1675"/>
      <c r="G94" s="3075">
        <v>1.24E-2</v>
      </c>
      <c r="H94" s="3120" t="str">
        <f>IFERROR(ROUNDDOWN($F$93*I94/2,4),"——")</f>
        <v>——</v>
      </c>
      <c r="I94" s="3069">
        <v>0.26</v>
      </c>
      <c r="J94" s="1912">
        <f t="shared" si="27"/>
        <v>2.4799999999999999E-2</v>
      </c>
      <c r="K94" s="1912">
        <f t="shared" si="28"/>
        <v>1.24E-2</v>
      </c>
      <c r="L94" s="1912">
        <v>0</v>
      </c>
      <c r="M94" s="1912">
        <f t="shared" si="29"/>
        <v>-1.24E-2</v>
      </c>
      <c r="N94" s="1912">
        <f t="shared" si="29"/>
        <v>-2.4799999999999999E-2</v>
      </c>
    </row>
    <row r="95" spans="1:37" ht="36">
      <c r="A95" s="3071" t="s">
        <v>3271</v>
      </c>
      <c r="B95" s="3072">
        <f>估价对象房地状况!C19</f>
        <v>0</v>
      </c>
      <c r="C95" s="1887" t="s">
        <v>3725</v>
      </c>
      <c r="D95" s="2310">
        <f t="shared" si="30"/>
        <v>5.1999999999999998E-3</v>
      </c>
      <c r="E95" s="3085"/>
      <c r="F95" s="1675"/>
      <c r="G95" s="3075">
        <v>5.1999999999999998E-3</v>
      </c>
      <c r="H95" s="3120" t="str">
        <f t="shared" ref="H95:H101" si="31">IFERROR(ROUNDDOWN($F$93*I95/2,4),"——")</f>
        <v>——</v>
      </c>
      <c r="I95" s="3069">
        <v>0.11</v>
      </c>
      <c r="J95" s="1912">
        <f t="shared" si="27"/>
        <v>1.04E-2</v>
      </c>
      <c r="K95" s="1912">
        <f t="shared" si="28"/>
        <v>5.1999999999999998E-3</v>
      </c>
      <c r="L95" s="1912">
        <v>0</v>
      </c>
      <c r="M95" s="1912">
        <f t="shared" si="29"/>
        <v>-5.1999999999999998E-3</v>
      </c>
      <c r="N95" s="1912">
        <f t="shared" si="29"/>
        <v>-1.04E-2</v>
      </c>
    </row>
    <row r="96" spans="1:37" ht="36.75">
      <c r="A96" s="3081" t="s">
        <v>3276</v>
      </c>
      <c r="B96" s="3087" t="s">
        <v>3287</v>
      </c>
      <c r="C96" s="1887" t="s">
        <v>3725</v>
      </c>
      <c r="D96" s="2310">
        <f t="shared" si="30"/>
        <v>2.3999999999999998E-3</v>
      </c>
      <c r="E96" s="3085"/>
      <c r="F96" s="1675"/>
      <c r="G96" s="3075">
        <v>2.3999999999999998E-3</v>
      </c>
      <c r="H96" s="3120" t="str">
        <f t="shared" si="31"/>
        <v>——</v>
      </c>
      <c r="I96" s="3069">
        <v>0.05</v>
      </c>
      <c r="J96" s="1912">
        <f t="shared" si="27"/>
        <v>4.7999999999999996E-3</v>
      </c>
      <c r="K96" s="1912">
        <f t="shared" si="28"/>
        <v>2.3999999999999998E-3</v>
      </c>
      <c r="L96" s="1912">
        <v>0</v>
      </c>
      <c r="M96" s="1912">
        <f t="shared" si="29"/>
        <v>-2.3999999999999998E-3</v>
      </c>
      <c r="N96" s="1912">
        <f t="shared" si="29"/>
        <v>-4.7999999999999996E-3</v>
      </c>
    </row>
    <row r="97" spans="1:14" ht="24">
      <c r="A97" s="3081" t="s">
        <v>3277</v>
      </c>
      <c r="B97" s="3072">
        <f>估价对象房地状况!C24</f>
        <v>0</v>
      </c>
      <c r="C97" s="1887" t="s">
        <v>3725</v>
      </c>
      <c r="D97" s="2310">
        <f t="shared" si="30"/>
        <v>2.3999999999999998E-3</v>
      </c>
      <c r="E97" s="3085"/>
      <c r="F97" s="1675"/>
      <c r="G97" s="3075">
        <v>2.3999999999999998E-3</v>
      </c>
      <c r="H97" s="3120" t="str">
        <f t="shared" si="31"/>
        <v>——</v>
      </c>
      <c r="I97" s="3069">
        <v>0.05</v>
      </c>
      <c r="J97" s="1912">
        <f t="shared" si="27"/>
        <v>4.7999999999999996E-3</v>
      </c>
      <c r="K97" s="1912">
        <f t="shared" si="28"/>
        <v>2.3999999999999998E-3</v>
      </c>
      <c r="L97" s="1912">
        <v>0</v>
      </c>
      <c r="M97" s="1912">
        <f t="shared" si="29"/>
        <v>-2.3999999999999998E-3</v>
      </c>
      <c r="N97" s="1912">
        <f t="shared" si="29"/>
        <v>-4.7999999999999996E-3</v>
      </c>
    </row>
    <row r="98" spans="1:14" ht="24">
      <c r="A98" s="3081" t="s">
        <v>3278</v>
      </c>
      <c r="B98" s="3088" t="s">
        <v>3288</v>
      </c>
      <c r="C98" s="1887" t="s">
        <v>3726</v>
      </c>
      <c r="D98" s="2310">
        <f t="shared" si="30"/>
        <v>5.5999999999999999E-3</v>
      </c>
      <c r="E98" s="3085"/>
      <c r="F98" s="1675"/>
      <c r="G98" s="3075">
        <v>2.8E-3</v>
      </c>
      <c r="H98" s="3120" t="str">
        <f t="shared" si="31"/>
        <v>——</v>
      </c>
      <c r="I98" s="3069">
        <v>0.06</v>
      </c>
      <c r="J98" s="1912">
        <f t="shared" si="27"/>
        <v>5.5999999999999999E-3</v>
      </c>
      <c r="K98" s="1912">
        <f t="shared" si="28"/>
        <v>2.8E-3</v>
      </c>
      <c r="L98" s="1912">
        <v>0</v>
      </c>
      <c r="M98" s="1912">
        <f t="shared" si="29"/>
        <v>-2.8E-3</v>
      </c>
      <c r="N98" s="1912">
        <f t="shared" si="29"/>
        <v>-5.5999999999999999E-3</v>
      </c>
    </row>
    <row r="99" spans="1:14" ht="25.5">
      <c r="A99" s="3081" t="s">
        <v>3279</v>
      </c>
      <c r="B99" s="3072" t="str">
        <f>估价对象房地状况!C21</f>
        <v>估价对象所在区域公共配套设施齐备情况</v>
      </c>
      <c r="C99" s="1887" t="s">
        <v>3725</v>
      </c>
      <c r="D99" s="2310">
        <f t="shared" si="30"/>
        <v>2.8E-3</v>
      </c>
      <c r="E99" s="3085"/>
      <c r="F99" s="1675"/>
      <c r="G99" s="3075">
        <v>2.8E-3</v>
      </c>
      <c r="H99" s="3120" t="str">
        <f t="shared" si="31"/>
        <v>——</v>
      </c>
      <c r="I99" s="3069">
        <v>0.06</v>
      </c>
      <c r="J99" s="1912">
        <f t="shared" si="27"/>
        <v>5.5999999999999999E-3</v>
      </c>
      <c r="K99" s="1912">
        <f t="shared" si="28"/>
        <v>2.8E-3</v>
      </c>
      <c r="L99" s="1912">
        <v>0</v>
      </c>
      <c r="M99" s="1912">
        <f t="shared" si="29"/>
        <v>-2.8E-3</v>
      </c>
      <c r="N99" s="1912">
        <f t="shared" si="29"/>
        <v>-5.5999999999999999E-3</v>
      </c>
    </row>
    <row r="100" spans="1:14" ht="25.5">
      <c r="A100" s="3081" t="s">
        <v>3280</v>
      </c>
      <c r="B100" s="3072" t="str">
        <f>估价对象房地状况!C22</f>
        <v>估价对象所在区域基础设施水平</v>
      </c>
      <c r="C100" s="1887" t="s">
        <v>3725</v>
      </c>
      <c r="D100" s="2310">
        <f t="shared" si="30"/>
        <v>4.3E-3</v>
      </c>
      <c r="E100" s="3085"/>
      <c r="F100" s="1675"/>
      <c r="G100" s="3075">
        <v>4.3E-3</v>
      </c>
      <c r="H100" s="3120" t="str">
        <f t="shared" si="31"/>
        <v>——</v>
      </c>
      <c r="I100" s="3069">
        <v>0.09</v>
      </c>
      <c r="J100" s="1912">
        <f t="shared" si="27"/>
        <v>8.6E-3</v>
      </c>
      <c r="K100" s="1912">
        <f t="shared" si="28"/>
        <v>4.3E-3</v>
      </c>
      <c r="L100" s="1912">
        <v>0</v>
      </c>
      <c r="M100" s="1912">
        <f t="shared" si="29"/>
        <v>-4.3E-3</v>
      </c>
      <c r="N100" s="1912">
        <f t="shared" si="29"/>
        <v>-8.6E-3</v>
      </c>
    </row>
    <row r="101" spans="1:14" ht="26.25" thickBot="1">
      <c r="A101" s="3082" t="s">
        <v>3281</v>
      </c>
      <c r="B101" s="3089" t="str">
        <f>估价对象房地状况!C20</f>
        <v>区域自然环境：；人文环境；综合评价环境状况一般</v>
      </c>
      <c r="C101" s="1887" t="s">
        <v>3725</v>
      </c>
      <c r="D101" s="2310">
        <f t="shared" si="30"/>
        <v>3.3E-3</v>
      </c>
      <c r="E101" s="3086"/>
      <c r="F101" s="1675"/>
      <c r="G101" s="3075">
        <v>3.3E-3</v>
      </c>
      <c r="H101" s="3120" t="str">
        <f t="shared" si="31"/>
        <v>——</v>
      </c>
      <c r="I101" s="3070">
        <v>7.0000000000000007E-2</v>
      </c>
      <c r="J101" s="1912">
        <f t="shared" si="27"/>
        <v>6.6E-3</v>
      </c>
      <c r="K101" s="1912">
        <f t="shared" si="28"/>
        <v>3.3E-3</v>
      </c>
      <c r="L101" s="1912">
        <v>0</v>
      </c>
      <c r="M101" s="1912">
        <f t="shared" si="29"/>
        <v>-3.3E-3</v>
      </c>
      <c r="N101" s="1912">
        <f t="shared" si="29"/>
        <v>-6.6E-3</v>
      </c>
    </row>
    <row r="103" spans="1:14">
      <c r="A103" s="3842" t="s">
        <v>3296</v>
      </c>
      <c r="B103" s="3842"/>
      <c r="C103" s="3842"/>
      <c r="D103" s="3842"/>
      <c r="E103" s="3842"/>
      <c r="F103" s="3842"/>
      <c r="G103" s="3842"/>
      <c r="H103" s="3842"/>
      <c r="I103" s="3842"/>
      <c r="J103" s="3842"/>
      <c r="K103" s="1667"/>
      <c r="L103" s="1667"/>
      <c r="M103" s="1667"/>
      <c r="N103" s="1667"/>
    </row>
    <row r="104" spans="1:14">
      <c r="A104" s="3843" t="s">
        <v>3297</v>
      </c>
      <c r="B104" s="3843" t="s">
        <v>3298</v>
      </c>
      <c r="C104" s="3091" t="s">
        <v>3299</v>
      </c>
      <c r="D104" s="3092"/>
      <c r="E104" s="3092"/>
      <c r="F104" s="3092"/>
      <c r="G104" s="3092"/>
      <c r="H104" s="3092"/>
      <c r="I104" s="3092"/>
      <c r="J104" s="3093"/>
      <c r="K104" s="3094"/>
      <c r="L104" s="3094"/>
      <c r="M104" s="3094"/>
      <c r="N104" s="3094"/>
    </row>
    <row r="105" spans="1:14">
      <c r="A105" s="3843"/>
      <c r="B105" s="3843"/>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829"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83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83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83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83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830"/>
      <c r="B111" s="3095" t="s">
        <v>3270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83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832" t="s">
        <v>3313</v>
      </c>
      <c r="B113" s="3832"/>
      <c r="C113" s="3832"/>
      <c r="D113" s="3832"/>
      <c r="E113" s="3832"/>
      <c r="F113" s="3832"/>
      <c r="G113" s="3832"/>
      <c r="H113" s="3832"/>
      <c r="I113" s="3832"/>
      <c r="J113" s="383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3314</v>
      </c>
      <c r="B116" s="3115">
        <f>G3</f>
        <v>7.13</v>
      </c>
      <c r="C116" s="3100" t="s">
        <v>3315</v>
      </c>
      <c r="D116" s="3101">
        <f>SUMPRODUCT((A118:A122=F116)*(B117:M117=H116)*B118:M122)</f>
        <v>0.84030000000000005</v>
      </c>
      <c r="E116" s="162" t="s">
        <v>3316</v>
      </c>
      <c r="F116" s="3102" t="str">
        <f>E2</f>
        <v>办公</v>
      </c>
      <c r="G116" s="162" t="s">
        <v>3317</v>
      </c>
      <c r="H116" s="3102" t="str">
        <f>G2</f>
        <v>四级</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0.91839999999999999</v>
      </c>
      <c r="C118" s="3090">
        <f>B118</f>
        <v>0.91839999999999999</v>
      </c>
      <c r="D118" s="3090">
        <f>ROUND(0.949-0.014*B116,4)</f>
        <v>0.84919999999999995</v>
      </c>
      <c r="E118" s="3090">
        <f>D118</f>
        <v>0.84919999999999995</v>
      </c>
      <c r="F118" s="3090">
        <f>E118</f>
        <v>0.84919999999999995</v>
      </c>
      <c r="G118" s="3090">
        <f>F118</f>
        <v>0.84919999999999995</v>
      </c>
      <c r="H118" s="3090">
        <f>G118</f>
        <v>0.84919999999999995</v>
      </c>
      <c r="I118" s="3090">
        <f>ROUND(0.8486-0.018*B116,4)</f>
        <v>0.72030000000000005</v>
      </c>
      <c r="J118" s="3090">
        <f t="shared" ref="J118:M122" si="35">I118</f>
        <v>0.72030000000000005</v>
      </c>
      <c r="K118" s="3090">
        <f t="shared" si="35"/>
        <v>0.72030000000000005</v>
      </c>
      <c r="L118" s="3090">
        <f t="shared" si="35"/>
        <v>0.72030000000000005</v>
      </c>
      <c r="M118" s="3110">
        <f t="shared" si="35"/>
        <v>0.72030000000000005</v>
      </c>
      <c r="N118" s="3098"/>
    </row>
    <row r="119" spans="1:14">
      <c r="A119" s="3058" t="s">
        <v>3331</v>
      </c>
      <c r="B119" s="3090">
        <f>ROUND(0.993-0.0112*B116,4)</f>
        <v>0.91310000000000002</v>
      </c>
      <c r="C119" s="3090">
        <f>B119</f>
        <v>0.91310000000000002</v>
      </c>
      <c r="D119" s="3090">
        <f>ROUND(0.9415-0.0142*B116,4)</f>
        <v>0.84030000000000005</v>
      </c>
      <c r="E119" s="3090">
        <f t="shared" ref="E119:H120" si="36">D119</f>
        <v>0.84030000000000005</v>
      </c>
      <c r="F119" s="3090">
        <f t="shared" si="36"/>
        <v>0.84030000000000005</v>
      </c>
      <c r="G119" s="3090">
        <f t="shared" si="36"/>
        <v>0.84030000000000005</v>
      </c>
      <c r="H119" s="3090">
        <f t="shared" si="36"/>
        <v>0.84030000000000005</v>
      </c>
      <c r="I119" s="3090">
        <f>ROUND(0.838-0.0182*B116,4)</f>
        <v>0.70820000000000005</v>
      </c>
      <c r="J119" s="3090">
        <f t="shared" si="35"/>
        <v>0.70820000000000005</v>
      </c>
      <c r="K119" s="3090">
        <f t="shared" si="35"/>
        <v>0.70820000000000005</v>
      </c>
      <c r="L119" s="3090">
        <f t="shared" si="35"/>
        <v>0.70820000000000005</v>
      </c>
      <c r="M119" s="3110">
        <f t="shared" si="35"/>
        <v>0.70820000000000005</v>
      </c>
      <c r="N119" s="3098"/>
    </row>
    <row r="120" spans="1:14">
      <c r="A120" s="3058" t="s">
        <v>3332</v>
      </c>
      <c r="B120" s="3090">
        <f>ROUND(0.9448-0.0115*B116,4)</f>
        <v>0.86280000000000001</v>
      </c>
      <c r="C120" s="3090">
        <f>B120</f>
        <v>0.86280000000000001</v>
      </c>
      <c r="D120" s="3090">
        <f>ROUND(0.937-0.0145*B116,4)</f>
        <v>0.83360000000000001</v>
      </c>
      <c r="E120" s="3090">
        <f t="shared" si="36"/>
        <v>0.83360000000000001</v>
      </c>
      <c r="F120" s="3090">
        <f t="shared" si="36"/>
        <v>0.83360000000000001</v>
      </c>
      <c r="G120" s="3090">
        <f t="shared" si="36"/>
        <v>0.83360000000000001</v>
      </c>
      <c r="H120" s="3090">
        <f t="shared" si="36"/>
        <v>0.83360000000000001</v>
      </c>
      <c r="I120" s="3090">
        <f>ROUND(0.7965-0.0185*B116,4)</f>
        <v>0.66459999999999997</v>
      </c>
      <c r="J120" s="3090">
        <f t="shared" si="35"/>
        <v>0.66459999999999997</v>
      </c>
      <c r="K120" s="3090">
        <f t="shared" si="35"/>
        <v>0.66459999999999997</v>
      </c>
      <c r="L120" s="3090">
        <f t="shared" si="35"/>
        <v>0.66459999999999997</v>
      </c>
      <c r="M120" s="3110">
        <f t="shared" si="35"/>
        <v>0.66459999999999997</v>
      </c>
      <c r="N120" s="3098"/>
    </row>
    <row r="121" spans="1:14" ht="13.5" thickBot="1">
      <c r="A121" s="3111" t="s">
        <v>3333</v>
      </c>
      <c r="B121" s="3112">
        <f>ROUND(0.7836-0.012*B116,4)</f>
        <v>0.69799999999999995</v>
      </c>
      <c r="C121" s="3112">
        <f>B121</f>
        <v>0.69799999999999995</v>
      </c>
      <c r="D121" s="3112">
        <f>ROUND(0.753-0.015*B116,4)</f>
        <v>0.64610000000000001</v>
      </c>
      <c r="E121" s="3112">
        <f>D121</f>
        <v>0.64610000000000001</v>
      </c>
      <c r="F121" s="3112">
        <f>E121</f>
        <v>0.64610000000000001</v>
      </c>
      <c r="G121" s="3112">
        <f>ROUND(0.6612-0.018*B116,4)</f>
        <v>0.53290000000000004</v>
      </c>
      <c r="H121" s="3112">
        <f>G121</f>
        <v>0.53290000000000004</v>
      </c>
      <c r="I121" s="3112">
        <f>ROUND(0.5905-0.019*B116,4)</f>
        <v>0.45500000000000002</v>
      </c>
      <c r="J121" s="3112">
        <f t="shared" si="35"/>
        <v>0.45500000000000002</v>
      </c>
      <c r="K121" s="3112">
        <f t="shared" si="35"/>
        <v>0.45500000000000002</v>
      </c>
      <c r="L121" s="3112">
        <f t="shared" si="35"/>
        <v>0.45500000000000002</v>
      </c>
      <c r="M121" s="3113">
        <f t="shared" si="35"/>
        <v>0.45500000000000002</v>
      </c>
      <c r="N121" s="3098"/>
    </row>
    <row r="122" spans="1:14">
      <c r="A122" s="3114" t="s">
        <v>2614</v>
      </c>
      <c r="B122" s="3090">
        <f>ROUND(0.9404-0.0106*B116,4)</f>
        <v>0.86480000000000001</v>
      </c>
      <c r="C122" s="3090">
        <f>B122</f>
        <v>0.86480000000000001</v>
      </c>
      <c r="D122" s="3090">
        <f>ROUND(0.8955-0.0135*B116,4)</f>
        <v>0.79920000000000002</v>
      </c>
      <c r="E122" s="3090">
        <f t="shared" ref="E122:H122" si="37">D122</f>
        <v>0.79920000000000002</v>
      </c>
      <c r="F122" s="3090">
        <f t="shared" si="37"/>
        <v>0.79920000000000002</v>
      </c>
      <c r="G122" s="3090">
        <f t="shared" si="37"/>
        <v>0.79920000000000002</v>
      </c>
      <c r="H122" s="3090">
        <f t="shared" si="37"/>
        <v>0.79920000000000002</v>
      </c>
      <c r="I122" s="3090">
        <f>ROUND(0.7632-0.0166*B116,4)</f>
        <v>0.64480000000000004</v>
      </c>
      <c r="J122" s="3090">
        <f t="shared" si="35"/>
        <v>0.64480000000000004</v>
      </c>
      <c r="K122" s="3090">
        <f t="shared" si="35"/>
        <v>0.64480000000000004</v>
      </c>
      <c r="L122" s="3090">
        <f t="shared" si="35"/>
        <v>0.64480000000000004</v>
      </c>
      <c r="M122" s="3110">
        <f t="shared" si="35"/>
        <v>0.64480000000000004</v>
      </c>
      <c r="N122" s="3098"/>
    </row>
  </sheetData>
  <sheetProtection algorithmName="SHA-512" hashValue="FdTHfJuBBTCrXvTgY3Zz72wk2E6YFBb+KrAOEkW9+BCuhzWUMAEe+G3TxGLHzN3k62lQjcfJK95nesBfGC2NUA==" saltValue="kvn+TjIRF99BxtsWQT0Hxg==" spinCount="100000"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91" priority="6" stopIfTrue="1" operator="notEqual">
      <formula>"——"</formula>
    </cfRule>
  </conditionalFormatting>
  <conditionalFormatting sqref="F61">
    <cfRule type="cellIs" dxfId="190" priority="5" stopIfTrue="1" operator="notEqual">
      <formula>"——"</formula>
    </cfRule>
  </conditionalFormatting>
  <conditionalFormatting sqref="F72">
    <cfRule type="cellIs" dxfId="189" priority="4" stopIfTrue="1" operator="notEqual">
      <formula>"——"</formula>
    </cfRule>
  </conditionalFormatting>
  <conditionalFormatting sqref="F83">
    <cfRule type="cellIs" dxfId="188" priority="3" stopIfTrue="1" operator="notEqual">
      <formula>"——"</formula>
    </cfRule>
  </conditionalFormatting>
  <conditionalFormatting sqref="H50:H58 H61:H69 H72:H80 H83:H91">
    <cfRule type="cellIs" dxfId="187" priority="2" operator="notEqual">
      <formula>"——"</formula>
    </cfRule>
  </conditionalFormatting>
  <conditionalFormatting sqref="H93:H101">
    <cfRule type="cellIs" dxfId="18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39997558519241921"/>
  </sheetPr>
  <dimension ref="A1:V31"/>
  <sheetViews>
    <sheetView tabSelected="1" view="pageBreakPreview" zoomScale="145" zoomScaleNormal="100" zoomScaleSheetLayoutView="145" workbookViewId="0">
      <selection activeCell="F21" sqref="F21"/>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206496</v>
      </c>
      <c r="C2" s="1729" t="s">
        <v>1651</v>
      </c>
      <c r="D2" s="1730" t="s">
        <v>1652</v>
      </c>
      <c r="E2" s="2393">
        <f>SUM(E6:E13)</f>
        <v>46330.329999999994</v>
      </c>
      <c r="F2" s="2480"/>
      <c r="G2" s="459"/>
      <c r="H2" s="459"/>
      <c r="I2" s="459"/>
      <c r="J2" s="459"/>
      <c r="K2" s="459"/>
      <c r="L2" s="459"/>
      <c r="M2" s="459"/>
      <c r="N2" s="459"/>
      <c r="O2" s="459"/>
      <c r="P2" s="459"/>
      <c r="Q2" s="459"/>
      <c r="R2" s="459"/>
      <c r="S2" s="459"/>
    </row>
    <row r="3" spans="1:22" ht="15.75">
      <c r="A3" s="1728" t="s">
        <v>686</v>
      </c>
      <c r="B3" s="2387">
        <f ca="1">ROUND(B2*10000/E2,0)</f>
        <v>44570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848" t="s">
        <v>1654</v>
      </c>
      <c r="C5" s="3849"/>
      <c r="D5" s="2481"/>
      <c r="E5" s="1731" t="s">
        <v>1655</v>
      </c>
      <c r="F5" s="129" t="s">
        <v>1656</v>
      </c>
      <c r="G5" s="459"/>
      <c r="H5" s="459"/>
      <c r="I5" s="459"/>
      <c r="J5" s="459"/>
      <c r="K5" s="459"/>
      <c r="L5" s="459"/>
      <c r="M5" s="459"/>
      <c r="N5" s="459"/>
      <c r="O5" s="459"/>
      <c r="P5" s="459"/>
      <c r="Q5" s="459"/>
      <c r="R5" s="459"/>
      <c r="S5" s="459"/>
    </row>
    <row r="6" spans="1:22">
      <c r="A6" s="2390" t="str">
        <f>'数据-取费表'!AN6</f>
        <v>收益法-已出租</v>
      </c>
      <c r="B6" s="2388">
        <f ca="1">IF(F6="是",'数据-取费表'!AO6,0)</f>
        <v>0</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t="str">
        <f>'数据-取费表'!AN7</f>
        <v>收益法-车库</v>
      </c>
      <c r="B7" s="2388">
        <f ca="1">IF(F7="是",'数据-取费表'!AO7,0)</f>
        <v>1937</v>
      </c>
      <c r="C7" s="1729" t="s">
        <v>1651</v>
      </c>
      <c r="D7" s="2480"/>
      <c r="E7" s="2392">
        <f>IF(OR(A7=0,F7="否"),0,'数据-取费表'!K7+'数据-取费表'!S7)</f>
        <v>7442.2</v>
      </c>
      <c r="F7" s="1732" t="s">
        <v>1657</v>
      </c>
      <c r="G7" s="459"/>
      <c r="H7" s="459"/>
      <c r="I7" s="459"/>
      <c r="J7" s="459"/>
      <c r="K7" s="459"/>
      <c r="L7" s="459"/>
      <c r="M7" s="459"/>
      <c r="N7" s="459"/>
      <c r="O7" s="459"/>
      <c r="P7" s="459"/>
      <c r="Q7" s="459"/>
      <c r="R7" s="459"/>
      <c r="S7" s="459"/>
    </row>
    <row r="8" spans="1:22">
      <c r="A8" s="2390" t="str">
        <f>'数据-取费表'!AN8</f>
        <v>收益法-未出租</v>
      </c>
      <c r="B8" s="2388">
        <f ca="1">IF(F8="是",'数据-取费表'!AO8,0)</f>
        <v>204521</v>
      </c>
      <c r="C8" s="1729" t="s">
        <v>1651</v>
      </c>
      <c r="D8" s="2480"/>
      <c r="E8" s="2392">
        <f>IF(OR(A8=0,F8="否"),0,'数据-取费表'!K8+'数据-取费表'!S8)</f>
        <v>38196.879999999997</v>
      </c>
      <c r="F8" s="1732" t="s">
        <v>1657</v>
      </c>
      <c r="G8" s="459"/>
      <c r="H8" s="459"/>
      <c r="I8" s="459"/>
      <c r="J8" s="459"/>
      <c r="K8" s="459"/>
      <c r="L8" s="459"/>
      <c r="M8" s="459"/>
      <c r="N8" s="459"/>
      <c r="O8" s="459"/>
      <c r="P8" s="459"/>
      <c r="Q8" s="459"/>
      <c r="R8" s="459"/>
      <c r="S8" s="459"/>
    </row>
    <row r="9" spans="1:22">
      <c r="A9" s="2390" t="str">
        <f>'数据-取费表'!AN9</f>
        <v>收益法-库房</v>
      </c>
      <c r="B9" s="2388">
        <f ca="1">IF(F9="是",'数据-取费表'!AO9,0)</f>
        <v>38</v>
      </c>
      <c r="C9" s="1729" t="s">
        <v>1651</v>
      </c>
      <c r="D9" s="2480"/>
      <c r="E9" s="2392">
        <f>IF(OR(A9=0,F9="否"),0,'数据-取费表'!K9+'数据-取费表'!S9)</f>
        <v>691.24999999999989</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K32" sqref="K3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3712</v>
      </c>
      <c r="D1" s="1271" t="s">
        <v>43</v>
      </c>
      <c r="E1" s="1272" t="s">
        <v>678</v>
      </c>
      <c r="F1" s="999">
        <f ca="1">J53</f>
        <v>29.46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852" t="s">
        <v>694</v>
      </c>
      <c r="C6" s="1011">
        <f ca="1">ROUND(F6*F8*F7*(1-F9)/10000,0)</f>
        <v>0</v>
      </c>
      <c r="D6" s="147" t="s">
        <v>2109</v>
      </c>
      <c r="E6" s="294" t="s">
        <v>696</v>
      </c>
      <c r="F6" s="295">
        <f ca="1">INDIRECT("'数据-取费表'!u"&amp;$G$1)</f>
        <v>14.92</v>
      </c>
      <c r="G6" s="1292"/>
      <c r="H6" s="1006" t="s">
        <v>398</v>
      </c>
      <c r="I6" s="3852" t="s">
        <v>694</v>
      </c>
      <c r="J6" s="293">
        <f ca="1">ROUND(M6*M8*M7*(1-M9)/10000,0)</f>
        <v>0</v>
      </c>
      <c r="K6" s="147" t="s">
        <v>2108</v>
      </c>
      <c r="L6" s="294" t="s">
        <v>696</v>
      </c>
      <c r="M6" s="295">
        <f ca="1">INDIRECT("'数据-取费表'!z"&amp;$G$1)</f>
        <v>8.52</v>
      </c>
    </row>
    <row r="7" spans="1:37" ht="18" customHeight="1">
      <c r="A7" s="1010"/>
      <c r="B7" s="3853"/>
      <c r="C7" s="1012"/>
      <c r="D7" s="299"/>
      <c r="E7" s="1013" t="s">
        <v>697</v>
      </c>
      <c r="F7" s="295">
        <f ca="1">IF(INDIRECT("'数据-取费表'!ah"&amp;$G$1)="",INDIRECT("'数据-取费表'!k"&amp;$G$1),INDIRECT("'数据-取费表'!ah"&amp;$G$1))</f>
        <v>0</v>
      </c>
      <c r="G7" s="1292"/>
      <c r="H7" s="296"/>
      <c r="I7" s="3853"/>
      <c r="J7" s="298"/>
      <c r="K7" s="299"/>
      <c r="L7" s="294" t="s">
        <v>697</v>
      </c>
      <c r="M7" s="295">
        <f ca="1">F7</f>
        <v>0</v>
      </c>
    </row>
    <row r="8" spans="1:37" ht="18" customHeight="1">
      <c r="A8" s="296"/>
      <c r="B8" s="3853"/>
      <c r="C8" s="298"/>
      <c r="D8" s="299"/>
      <c r="E8" s="294" t="s">
        <v>698</v>
      </c>
      <c r="F8" s="295">
        <f ca="1">INDIRECT("'数据-取费表'!ai"&amp;$G$1)</f>
        <v>365</v>
      </c>
      <c r="G8" s="1292"/>
      <c r="H8" s="296"/>
      <c r="I8" s="3853"/>
      <c r="J8" s="298"/>
      <c r="K8" s="299"/>
      <c r="L8" s="294" t="s">
        <v>698</v>
      </c>
      <c r="M8" s="295">
        <f ca="1">INDIRECT("'数据-取费表'!ai"&amp;$G$1)</f>
        <v>365</v>
      </c>
    </row>
    <row r="9" spans="1:37" ht="18" customHeight="1">
      <c r="A9" s="296"/>
      <c r="B9" s="3854"/>
      <c r="C9" s="298"/>
      <c r="D9" s="299"/>
      <c r="E9" s="294" t="s">
        <v>699</v>
      </c>
      <c r="F9" s="304">
        <f ca="1">INDIRECT("'数据-取费表'!w"&amp;$G$1)</f>
        <v>0</v>
      </c>
      <c r="G9" s="1292"/>
      <c r="H9" s="296"/>
      <c r="I9" s="3854"/>
      <c r="J9" s="298"/>
      <c r="K9" s="299"/>
      <c r="L9" s="305" t="s">
        <v>699</v>
      </c>
      <c r="M9" s="306">
        <f ca="1">INDIRECT("'数据-取费表'!ab"&amp;$G$1)</f>
        <v>0.05</v>
      </c>
    </row>
    <row r="10" spans="1:37" ht="18" customHeight="1">
      <c r="A10" s="1006" t="s">
        <v>402</v>
      </c>
      <c r="B10" s="1274" t="s">
        <v>700</v>
      </c>
      <c r="C10" s="308">
        <f ca="1">ROUND(IF(F10="押一",C6/12*F11,IF(F10="押二",C6/12*2*F11,IF(F10="押三",C6/12*3*F11,C11*F11))),0)</f>
        <v>0</v>
      </c>
      <c r="D10" s="150" t="s">
        <v>2117</v>
      </c>
      <c r="E10" s="305" t="s">
        <v>701</v>
      </c>
      <c r="F10" s="1053" t="s">
        <v>3700</v>
      </c>
      <c r="G10" s="1292"/>
      <c r="H10" s="1006" t="s">
        <v>402</v>
      </c>
      <c r="I10" s="1274" t="s">
        <v>700</v>
      </c>
      <c r="J10" s="293">
        <f ca="1">ROUND(IF(M10="押一",J6/12*M11,IF(M10="押二",J6/12*2*M11,IF(M10="押三",J6/12*3*M11,J11*M11))),0)</f>
        <v>0</v>
      </c>
      <c r="K10" s="150" t="s">
        <v>2116</v>
      </c>
      <c r="L10" s="305" t="s">
        <v>701</v>
      </c>
      <c r="M10" s="1053" t="s">
        <v>3700</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0.72499999999999998</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2E-3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27.21</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0.03</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2E-3</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f ca="1">ROUND(C39*(1-((1+F42)/(1+F40))^F41)/(F40-F42),0)</f>
        <v>0</v>
      </c>
      <c r="D40" s="316" t="s">
        <v>758</v>
      </c>
      <c r="E40" s="294" t="s">
        <v>759</v>
      </c>
      <c r="F40" s="304">
        <f ca="1">INDIRECT("'数据-取费表'!I"&amp;$G$1)</f>
        <v>4.4999999999999998E-2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2.25</v>
      </c>
      <c r="G41" s="1292"/>
      <c r="H41" s="121"/>
      <c r="I41" s="1305"/>
      <c r="J41" s="1306"/>
      <c r="K41" s="2331"/>
      <c r="L41" s="121"/>
      <c r="M41" s="121"/>
    </row>
    <row r="42" spans="1:18" ht="18" customHeight="1">
      <c r="A42" s="300"/>
      <c r="B42" s="301"/>
      <c r="C42" s="302"/>
      <c r="D42" s="319"/>
      <c r="E42" s="294" t="s">
        <v>766</v>
      </c>
      <c r="F42" s="304">
        <f ca="1">INDIRECT("'数据-取费表'!v"&amp;$G$1)</f>
        <v>2.5000000000000001E-2</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0</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3701</v>
      </c>
      <c r="K47" s="1323" t="s">
        <v>816</v>
      </c>
      <c r="L47" s="1324">
        <f ca="1">INDIRECT("'数据-取费表'!d"&amp;$G$1)</f>
        <v>50</v>
      </c>
      <c r="M47" s="1288" t="str">
        <f>IF(ISNUMBER(FIND("住宅",C1)),"住宅","非住宅")</f>
        <v>非住宅</v>
      </c>
      <c r="O47" s="1325" t="s">
        <v>403</v>
      </c>
      <c r="P47" s="1326" t="s">
        <v>817</v>
      </c>
      <c r="Q47" s="1327">
        <f ca="1">C40+J29</f>
        <v>0</v>
      </c>
      <c r="R47" s="1327" t="s">
        <v>818</v>
      </c>
    </row>
    <row r="48" spans="1:18" s="1292" customFormat="1" ht="28.5" thickBot="1">
      <c r="A48" s="1047" t="s">
        <v>438</v>
      </c>
      <c r="B48" s="292" t="s">
        <v>692</v>
      </c>
      <c r="C48" s="1268">
        <f ca="1">C49+C53+C55</f>
        <v>0</v>
      </c>
      <c r="D48" s="1049"/>
      <c r="E48" s="1050"/>
      <c r="F48" s="908"/>
      <c r="G48" s="681"/>
      <c r="H48" s="682"/>
      <c r="I48" s="1328" t="s">
        <v>819</v>
      </c>
      <c r="J48" s="1329" t="s">
        <v>3702</v>
      </c>
      <c r="K48" s="1330" t="s">
        <v>820</v>
      </c>
      <c r="L48" s="1331">
        <f ca="1">INDIRECT("'数据-取费表'!f"&amp;$G$1)</f>
        <v>29.46</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2110</v>
      </c>
      <c r="E49" s="1280" t="s">
        <v>780</v>
      </c>
      <c r="F49" s="997">
        <f>'4-21火炬大厦'!U35</f>
        <v>7.97</v>
      </c>
      <c r="H49" s="682"/>
      <c r="I49" s="1328" t="s">
        <v>823</v>
      </c>
      <c r="J49" s="1332">
        <v>2005</v>
      </c>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0</v>
      </c>
      <c r="M51" s="1341"/>
      <c r="O51" s="1334" t="s">
        <v>407</v>
      </c>
      <c r="P51" s="1326" t="s">
        <v>831</v>
      </c>
      <c r="Q51" s="1337">
        <f>J52</f>
        <v>6.5000000000000002E-2</v>
      </c>
      <c r="R51" s="1327"/>
    </row>
    <row r="52" spans="1:18" s="1292" customFormat="1" ht="13.5" thickBot="1">
      <c r="A52" s="923"/>
      <c r="B52" s="925"/>
      <c r="C52" s="926"/>
      <c r="D52" s="899"/>
      <c r="E52" s="927" t="s">
        <v>699</v>
      </c>
      <c r="F52" s="991">
        <v>0.05</v>
      </c>
      <c r="I52" s="1342" t="s">
        <v>832</v>
      </c>
      <c r="J52" s="1343">
        <v>6.5000000000000002E-2</v>
      </c>
      <c r="K52" s="1342" t="s">
        <v>833</v>
      </c>
      <c r="L52" s="1343"/>
      <c r="O52" s="1334" t="s">
        <v>408</v>
      </c>
      <c r="P52" s="1326" t="s">
        <v>834</v>
      </c>
      <c r="Q52" s="1327">
        <f ca="1">J53</f>
        <v>29.46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t="s">
        <v>3700</v>
      </c>
      <c r="I53" s="1344" t="s">
        <v>836</v>
      </c>
      <c r="J53" s="2006">
        <f ca="1">IF(M47="住宅",IF(D1="——",MAX(J51,L48),MAX(J51,L48-'数据-取费表'!B24)),IF(D1="——",MIN(J51,L48),MIN(J51,L48-'数据-取费表'!B24)))</f>
        <v>29.46</v>
      </c>
      <c r="K53" s="3850" t="s">
        <v>837</v>
      </c>
      <c r="L53" s="3851"/>
      <c r="O53" s="1325" t="s">
        <v>409</v>
      </c>
      <c r="P53" s="1326" t="s">
        <v>838</v>
      </c>
      <c r="Q53" s="1327">
        <f ca="1">Q47+Q48</f>
        <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t="s">
        <v>3698</v>
      </c>
      <c r="K56" s="1328" t="s">
        <v>843</v>
      </c>
      <c r="L56" s="1331" t="str">
        <f ca="1">IF(L48&lt;J51,"——",L48-J53)</f>
        <v>——</v>
      </c>
      <c r="O56" s="1325" t="s">
        <v>403</v>
      </c>
      <c r="P56" s="1326" t="s">
        <v>817</v>
      </c>
      <c r="Q56" s="1327">
        <f ca="1">C40+J29</f>
        <v>0</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f ca="1">Q56+Q57</f>
        <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2E-3</v>
      </c>
      <c r="I65" s="1367" t="s">
        <v>867</v>
      </c>
      <c r="J65" s="610">
        <v>40</v>
      </c>
      <c r="K65" s="610">
        <v>30</v>
      </c>
      <c r="L65" s="610">
        <v>50</v>
      </c>
      <c r="M65" s="1369">
        <v>0.02</v>
      </c>
      <c r="O65" s="1325" t="s">
        <v>403</v>
      </c>
      <c r="P65" s="1326" t="s">
        <v>868</v>
      </c>
      <c r="Q65" s="1327">
        <f ca="1">C40+J29</f>
        <v>0</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f ca="1">ROUND(C67*(1-((1+F70)/(1+F68))^F69)/(F68-F70),0)</f>
        <v>0</v>
      </c>
      <c r="D68" s="911" t="s">
        <v>758</v>
      </c>
      <c r="E68" s="896" t="s">
        <v>759</v>
      </c>
      <c r="F68" s="304">
        <f ca="1">F40</f>
        <v>4.4999999999999998E-2</v>
      </c>
      <c r="O68" s="1334" t="s">
        <v>406</v>
      </c>
      <c r="P68" s="1371" t="s">
        <v>871</v>
      </c>
      <c r="Q68" s="1327">
        <f ca="1">ROUND(Q69-Q70*Q71,0)</f>
        <v>0</v>
      </c>
      <c r="R68" s="1327" t="s">
        <v>414</v>
      </c>
    </row>
    <row r="69" spans="1:18" s="1292" customFormat="1" ht="13.5" thickBot="1">
      <c r="A69" s="897"/>
      <c r="B69" s="898"/>
      <c r="C69" s="298"/>
      <c r="D69" s="916" t="s">
        <v>762</v>
      </c>
      <c r="E69" s="896" t="s">
        <v>763</v>
      </c>
      <c r="F69" s="324">
        <f ca="1">F41</f>
        <v>2.25</v>
      </c>
      <c r="O69" s="1334" t="s">
        <v>411</v>
      </c>
      <c r="P69" s="1371" t="s">
        <v>872</v>
      </c>
      <c r="Q69" s="1327">
        <f ca="1">C39</f>
        <v>0</v>
      </c>
      <c r="R69" s="1327" t="s">
        <v>818</v>
      </c>
    </row>
    <row r="70" spans="1:18" s="1292" customFormat="1" ht="13.5" thickBot="1">
      <c r="A70" s="900"/>
      <c r="B70" s="901"/>
      <c r="C70" s="302"/>
      <c r="D70" s="912"/>
      <c r="E70" s="896" t="s">
        <v>766</v>
      </c>
      <c r="F70" s="991">
        <v>0.03</v>
      </c>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0</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85" priority="3">
      <formula>$F$10="自定义"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J11">
    <cfRule type="expression" dxfId="182" priority="2">
      <formula>$M$10="自定义"</formula>
    </cfRule>
  </conditionalFormatting>
  <conditionalFormatting sqref="K55 K60">
    <cfRule type="expression" dxfId="18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73DB0-6488-44EB-9952-A8CE8B4030C5}">
  <sheetPr>
    <tabColor rgb="FF92D050"/>
  </sheetPr>
  <dimension ref="A1:AK83"/>
  <sheetViews>
    <sheetView view="pageBreakPreview" topLeftCell="A7" zoomScaleNormal="70" zoomScaleSheetLayoutView="100" workbookViewId="0">
      <selection activeCell="I37" sqref="I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3714</v>
      </c>
      <c r="D1" s="1271" t="s">
        <v>43</v>
      </c>
      <c r="E1" s="1272" t="s">
        <v>678</v>
      </c>
      <c r="F1" s="999">
        <f ca="1">J53</f>
        <v>29.46</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204521</v>
      </c>
      <c r="C2" s="1289" t="s">
        <v>805</v>
      </c>
      <c r="D2" s="1289"/>
      <c r="E2" s="1295"/>
      <c r="F2" s="1296"/>
      <c r="G2" s="2479"/>
      <c r="H2" s="2469"/>
      <c r="I2" s="2469"/>
      <c r="J2" s="2469"/>
      <c r="K2" s="2470"/>
      <c r="L2" s="2469"/>
      <c r="M2" s="2469"/>
    </row>
    <row r="3" spans="1:37" ht="18" customHeight="1" thickBot="1">
      <c r="A3" s="1297" t="s">
        <v>806</v>
      </c>
      <c r="B3" s="1298">
        <f ca="1">IF(ISERROR(B2*10000/F43),0,ROUND(B2*10000/F43,0))</f>
        <v>53595</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10864</v>
      </c>
      <c r="D5" s="1273" t="s">
        <v>693</v>
      </c>
      <c r="E5" s="1008"/>
      <c r="F5" s="1009"/>
      <c r="G5" s="1292"/>
      <c r="H5" s="291">
        <v>1</v>
      </c>
      <c r="I5" s="292" t="s">
        <v>692</v>
      </c>
      <c r="J5" s="1007">
        <f ca="1">J6+J10+J12</f>
        <v>0</v>
      </c>
      <c r="K5" s="1273" t="s">
        <v>693</v>
      </c>
      <c r="L5" s="1008"/>
      <c r="M5" s="1009"/>
    </row>
    <row r="6" spans="1:37" ht="18" customHeight="1">
      <c r="A6" s="1006" t="s">
        <v>398</v>
      </c>
      <c r="B6" s="3852" t="s">
        <v>694</v>
      </c>
      <c r="C6" s="1011">
        <f ca="1">ROUND(F6*F8*F7*(1-F9)/10000,0)</f>
        <v>10850</v>
      </c>
      <c r="D6" s="147" t="s">
        <v>2109</v>
      </c>
      <c r="E6" s="294" t="s">
        <v>696</v>
      </c>
      <c r="F6" s="295">
        <f ca="1">INDIRECT("'数据-取费表'!u"&amp;$G$1)</f>
        <v>8.1999999999999993</v>
      </c>
      <c r="G6" s="1292"/>
      <c r="H6" s="1006" t="s">
        <v>398</v>
      </c>
      <c r="I6" s="3852" t="s">
        <v>694</v>
      </c>
      <c r="J6" s="293">
        <f ca="1">ROUND(M6*M8*M7*(1-M9)/10000,0)</f>
        <v>0</v>
      </c>
      <c r="K6" s="147" t="s">
        <v>2108</v>
      </c>
      <c r="L6" s="294" t="s">
        <v>696</v>
      </c>
      <c r="M6" s="295">
        <f ca="1">INDIRECT("'数据-取费表'!z"&amp;$G$1)</f>
        <v>0</v>
      </c>
    </row>
    <row r="7" spans="1:37" ht="18" customHeight="1">
      <c r="A7" s="1010"/>
      <c r="B7" s="3853"/>
      <c r="C7" s="1012"/>
      <c r="D7" s="299"/>
      <c r="E7" s="1013" t="s">
        <v>697</v>
      </c>
      <c r="F7" s="295">
        <f ca="1">IF(INDIRECT("'数据-取费表'!ah"&amp;$G$1)="",INDIRECT("'数据-取费表'!k"&amp;$G$1),INDIRECT("'数据-取费表'!ah"&amp;$G$1))</f>
        <v>38160.79</v>
      </c>
      <c r="G7" s="1292"/>
      <c r="H7" s="296"/>
      <c r="I7" s="3853"/>
      <c r="J7" s="298"/>
      <c r="K7" s="299"/>
      <c r="L7" s="294" t="s">
        <v>697</v>
      </c>
      <c r="M7" s="295">
        <f ca="1">F7</f>
        <v>38160.79</v>
      </c>
    </row>
    <row r="8" spans="1:37" ht="18" customHeight="1">
      <c r="A8" s="296"/>
      <c r="B8" s="3853"/>
      <c r="C8" s="298"/>
      <c r="D8" s="299"/>
      <c r="E8" s="294" t="s">
        <v>698</v>
      </c>
      <c r="F8" s="295">
        <f ca="1">INDIRECT("'数据-取费表'!ai"&amp;$G$1)</f>
        <v>365</v>
      </c>
      <c r="G8" s="1292"/>
      <c r="H8" s="296"/>
      <c r="I8" s="3853"/>
      <c r="J8" s="298"/>
      <c r="K8" s="299"/>
      <c r="L8" s="294" t="s">
        <v>698</v>
      </c>
      <c r="M8" s="295">
        <f ca="1">INDIRECT("'数据-取费表'!ai"&amp;$G$1)</f>
        <v>365</v>
      </c>
    </row>
    <row r="9" spans="1:37" ht="18" customHeight="1">
      <c r="A9" s="296"/>
      <c r="B9" s="3854"/>
      <c r="C9" s="298"/>
      <c r="D9" s="299"/>
      <c r="E9" s="294" t="s">
        <v>699</v>
      </c>
      <c r="F9" s="304">
        <f ca="1">INDIRECT("'数据-取费表'!w"&amp;$G$1)</f>
        <v>0.05</v>
      </c>
      <c r="G9" s="1292"/>
      <c r="H9" s="296"/>
      <c r="I9" s="3854"/>
      <c r="J9" s="298"/>
      <c r="K9" s="299"/>
      <c r="L9" s="305" t="s">
        <v>699</v>
      </c>
      <c r="M9" s="306">
        <f ca="1">INDIRECT("'数据-取费表'!ab"&amp;$G$1)</f>
        <v>0</v>
      </c>
    </row>
    <row r="10" spans="1:37" ht="18" customHeight="1">
      <c r="A10" s="1006" t="s">
        <v>402</v>
      </c>
      <c r="B10" s="1274" t="s">
        <v>700</v>
      </c>
      <c r="C10" s="308">
        <f ca="1">ROUND(IF(F10="押一",C6/12*F11,IF(F10="押二",C6/12*2*F11,IF(F10="押三",C6/12*3*F11,C11*F11))),0)</f>
        <v>14</v>
      </c>
      <c r="D10" s="150" t="s">
        <v>2116</v>
      </c>
      <c r="E10" s="305" t="s">
        <v>701</v>
      </c>
      <c r="F10" s="1053" t="s">
        <v>3700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18490</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17188</v>
      </c>
      <c r="D14" s="1257" t="s">
        <v>708</v>
      </c>
      <c r="E14" s="1255"/>
      <c r="F14" s="311"/>
      <c r="G14" s="1292"/>
      <c r="H14" s="928" t="s">
        <v>398</v>
      </c>
      <c r="I14" s="294" t="s">
        <v>709</v>
      </c>
      <c r="J14" s="21">
        <f ca="1">C29</f>
        <v>24987</v>
      </c>
      <c r="K14" s="12"/>
      <c r="L14" s="759"/>
      <c r="M14" s="760"/>
    </row>
    <row r="15" spans="1:37" s="1304" customFormat="1" ht="18" customHeight="1" thickBot="1">
      <c r="A15" s="928" t="s">
        <v>399</v>
      </c>
      <c r="B15" s="294" t="s">
        <v>710</v>
      </c>
      <c r="C15" s="21">
        <f ca="1">ROUND(C14*F15,0)</f>
        <v>516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55</v>
      </c>
      <c r="K16" s="1024" t="s">
        <v>715</v>
      </c>
      <c r="L16" s="1025"/>
      <c r="M16" s="1009"/>
    </row>
    <row r="17" spans="1:37" s="1304" customFormat="1" ht="18" customHeight="1">
      <c r="A17" s="928" t="s">
        <v>681</v>
      </c>
      <c r="B17" s="294" t="s">
        <v>716</v>
      </c>
      <c r="C17" s="21">
        <f ca="1">ROUND(F17*(F43+INDIRECT("'数据-取费表'!S"&amp;$G$1))/10000,0)</f>
        <v>764</v>
      </c>
      <c r="D17" s="294" t="s">
        <v>717</v>
      </c>
      <c r="E17" s="294" t="s">
        <v>718</v>
      </c>
      <c r="F17" s="23">
        <f>'数据-取费表'!B35</f>
        <v>200</v>
      </c>
      <c r="G17" s="1303"/>
      <c r="H17" s="928" t="s">
        <v>398</v>
      </c>
      <c r="I17" s="294" t="s">
        <v>719</v>
      </c>
      <c r="J17" s="2140">
        <f ca="1">ROUND(IF(AND(项目基本情况!B11="自然人",项目基本情况!B10="北京市"),J6*M17/(1+'数据-取费表'!C42),J18+J19+J20),2)</f>
        <v>4.78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258</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18726</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187</v>
      </c>
      <c r="D20" s="315" t="s">
        <v>729</v>
      </c>
      <c r="E20" s="294" t="s">
        <v>712</v>
      </c>
      <c r="F20" s="314">
        <f>'数据-取费表'!B37</f>
        <v>0.01</v>
      </c>
      <c r="G20" s="1303"/>
      <c r="H20" s="928" t="s">
        <v>680</v>
      </c>
      <c r="I20" s="147" t="s">
        <v>730</v>
      </c>
      <c r="J20" s="22">
        <f ca="1">ROUND(M20*M21/10000,2)</f>
        <v>4.78</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3983.2400000000002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49.97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652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2E-3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3.4500000000000003E-2</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-55</v>
      </c>
      <c r="K25" s="1032" t="s">
        <v>753</v>
      </c>
      <c r="L25" s="1033"/>
      <c r="M25" s="1034"/>
    </row>
    <row r="26" spans="1:37">
      <c r="A26" s="928" t="s">
        <v>397</v>
      </c>
      <c r="B26" s="294" t="s">
        <v>754</v>
      </c>
      <c r="C26" s="21">
        <f ca="1">ROUND((C19+C20)*F26,0)</f>
        <v>3783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24987</v>
      </c>
      <c r="D29" s="1029"/>
      <c r="E29" s="1027"/>
      <c r="F29" s="1030"/>
      <c r="G29" s="1303"/>
      <c r="H29" s="325" t="s">
        <v>396</v>
      </c>
      <c r="I29" s="326" t="s">
        <v>768</v>
      </c>
      <c r="J29" s="327">
        <f ca="1">ROUND(J26/(1+F40)^F41,0)</f>
        <v>0</v>
      </c>
      <c r="K29" s="328" t="s">
        <v>769</v>
      </c>
      <c r="L29" s="329"/>
      <c r="M29" s="330">
        <f ca="1">INDIRECT("'数据-取费表'!k"&amp;$G$1)</f>
        <v>38160.79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2019</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1823.45</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578.66999999999996</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1240</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4.78</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3983.2400000000002</v>
      </c>
      <c r="G35" s="1292"/>
      <c r="H35" s="2471"/>
      <c r="I35" s="1305"/>
      <c r="J35" s="1306"/>
      <c r="K35" s="2475"/>
      <c r="L35" s="2474"/>
      <c r="M35" s="2474"/>
    </row>
    <row r="36" spans="1:18" ht="18" customHeight="1">
      <c r="A36" s="1039" t="s">
        <v>402</v>
      </c>
      <c r="B36" s="294" t="s">
        <v>738</v>
      </c>
      <c r="C36" s="21">
        <f ca="1">ROUND(C29*F36,2)</f>
        <v>49.97</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36.979999999999997</v>
      </c>
      <c r="D37" s="1256" t="s">
        <v>743</v>
      </c>
      <c r="E37" s="294" t="s">
        <v>712</v>
      </c>
      <c r="F37" s="321">
        <f ca="1">INDIRECT("'数据-取费表'!Al"&amp;$G$1)</f>
        <v>2E-3</v>
      </c>
      <c r="G37" s="1292"/>
      <c r="H37" s="2474"/>
      <c r="I37" s="1305"/>
      <c r="J37" s="1306"/>
      <c r="K37" s="2331"/>
      <c r="L37" s="2474"/>
      <c r="M37" s="2474"/>
    </row>
    <row r="38" spans="1:18" ht="18" customHeight="1" thickBot="1">
      <c r="A38" s="1026" t="s">
        <v>683</v>
      </c>
      <c r="B38" s="1027" t="s">
        <v>728</v>
      </c>
      <c r="C38" s="1028">
        <f ca="1">ROUND(C5*F38,2)</f>
        <v>108.64</v>
      </c>
      <c r="D38" s="1029" t="s">
        <v>748</v>
      </c>
      <c r="E38" s="1027" t="s">
        <v>712</v>
      </c>
      <c r="F38" s="1023">
        <f ca="1">INDIRECT("'数据-取费表'!Am"&amp;$G$1)</f>
        <v>0.01</v>
      </c>
      <c r="G38" s="1292"/>
      <c r="H38" s="2474"/>
      <c r="I38" s="1305"/>
      <c r="J38" s="1306"/>
      <c r="K38" s="2472"/>
      <c r="L38" s="2474"/>
      <c r="M38" s="2474"/>
    </row>
    <row r="39" spans="1:18" ht="24.6" customHeight="1" thickTop="1">
      <c r="A39" s="1016" t="s">
        <v>394</v>
      </c>
      <c r="B39" s="1031" t="s">
        <v>752</v>
      </c>
      <c r="C39" s="302">
        <f ca="1">C5-C30</f>
        <v>8845</v>
      </c>
      <c r="D39" s="1032" t="s">
        <v>753</v>
      </c>
      <c r="E39" s="1033"/>
      <c r="F39" s="1034"/>
      <c r="G39" s="1292"/>
      <c r="H39" s="2474"/>
      <c r="I39" s="1305"/>
      <c r="J39" s="1306"/>
      <c r="K39" s="2472"/>
      <c r="L39" s="2474"/>
      <c r="M39" s="2474"/>
    </row>
    <row r="40" spans="1:18" ht="18" customHeight="1">
      <c r="A40" s="291" t="s">
        <v>395</v>
      </c>
      <c r="B40" s="292" t="s">
        <v>774</v>
      </c>
      <c r="C40" s="293">
        <f ca="1">ROUND(C39*(1-((1+F42)/(1+F40))^F41)/(F40-F42),0)</f>
        <v>204521</v>
      </c>
      <c r="D40" s="316" t="s">
        <v>758</v>
      </c>
      <c r="E40" s="294" t="s">
        <v>759</v>
      </c>
      <c r="F40" s="304">
        <f ca="1">INDIRECT("'数据-取费表'!I"&amp;$G$1)</f>
        <v>4.4999999999999998E-2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29.46</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ROUND(C40*10000/F43,0)</f>
        <v>53595</v>
      </c>
      <c r="D43" s="328" t="s">
        <v>777</v>
      </c>
      <c r="E43" s="329" t="s">
        <v>778</v>
      </c>
      <c r="F43" s="330">
        <f ca="1">INDIRECT("'数据-取费表'!k"&amp;$G$1)</f>
        <v>38160.79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-206006</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3701</v>
      </c>
      <c r="K47" s="1323" t="s">
        <v>816</v>
      </c>
      <c r="L47" s="1324">
        <f ca="1">INDIRECT("'数据-取费表'!d"&amp;$G$1)</f>
        <v>50</v>
      </c>
      <c r="M47" s="1288" t="str">
        <f>IF(ISNUMBER(FIND("住宅",C1)),"住宅","非住宅")</f>
        <v>非住宅</v>
      </c>
      <c r="O47" s="1325" t="s">
        <v>403</v>
      </c>
      <c r="P47" s="1326" t="s">
        <v>817</v>
      </c>
      <c r="Q47" s="1327">
        <f ca="1">C40+J29</f>
        <v>204521</v>
      </c>
      <c r="R47" s="1327" t="s">
        <v>818</v>
      </c>
    </row>
    <row r="48" spans="1:18" s="1292" customFormat="1" ht="28.5" thickBot="1">
      <c r="A48" s="1047" t="s">
        <v>438</v>
      </c>
      <c r="B48" s="292" t="s">
        <v>692</v>
      </c>
      <c r="C48" s="1268">
        <f ca="1">C49+C53+C55</f>
        <v>0</v>
      </c>
      <c r="D48" s="1049"/>
      <c r="E48" s="1050"/>
      <c r="F48" s="908"/>
      <c r="G48" s="681"/>
      <c r="H48" s="682"/>
      <c r="I48" s="1328" t="s">
        <v>819</v>
      </c>
      <c r="J48" s="1329" t="s">
        <v>3702</v>
      </c>
      <c r="K48" s="1330" t="s">
        <v>820</v>
      </c>
      <c r="L48" s="1331">
        <f ca="1">INDIRECT("'数据-取费表'!f"&amp;$G$1)</f>
        <v>29.46</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2005</v>
      </c>
      <c r="K49" s="1330" t="s">
        <v>824</v>
      </c>
      <c r="L49" s="1333"/>
      <c r="O49" s="1334" t="s">
        <v>405</v>
      </c>
      <c r="P49" s="1326" t="s">
        <v>825</v>
      </c>
      <c r="Q49" s="1327">
        <f ca="1">C29</f>
        <v>24987</v>
      </c>
      <c r="R49" s="1327" t="s">
        <v>818</v>
      </c>
    </row>
    <row r="50" spans="1:18" s="1292" customFormat="1" ht="13.5" thickBot="1">
      <c r="A50" s="922"/>
      <c r="B50" s="925"/>
      <c r="C50" s="1055"/>
      <c r="D50" s="899"/>
      <c r="E50" s="993" t="s">
        <v>697</v>
      </c>
      <c r="F50" s="994">
        <f ca="1">F7</f>
        <v>38160.79</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362645</v>
      </c>
      <c r="M51" s="1341"/>
      <c r="O51" s="1334" t="s">
        <v>407</v>
      </c>
      <c r="P51" s="1326" t="s">
        <v>831</v>
      </c>
      <c r="Q51" s="1337">
        <f>J52</f>
        <v>6.5000000000000002E-2</v>
      </c>
      <c r="R51" s="1327"/>
    </row>
    <row r="52" spans="1:18" s="1292" customFormat="1" ht="13.5" thickBot="1">
      <c r="A52" s="923"/>
      <c r="B52" s="925"/>
      <c r="C52" s="926"/>
      <c r="D52" s="899"/>
      <c r="E52" s="927" t="s">
        <v>699</v>
      </c>
      <c r="F52" s="991"/>
      <c r="I52" s="1342" t="s">
        <v>832</v>
      </c>
      <c r="J52" s="1343">
        <v>6.5000000000000002E-2</v>
      </c>
      <c r="K52" s="1342" t="s">
        <v>833</v>
      </c>
      <c r="L52" s="1343"/>
      <c r="O52" s="1334" t="s">
        <v>408</v>
      </c>
      <c r="P52" s="1326" t="s">
        <v>834</v>
      </c>
      <c r="Q52" s="1327">
        <f ca="1">J53</f>
        <v>29.46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29.46</v>
      </c>
      <c r="K53" s="3850" t="s">
        <v>837</v>
      </c>
      <c r="L53" s="3851"/>
      <c r="O53" s="1325" t="s">
        <v>409</v>
      </c>
      <c r="P53" s="1326" t="s">
        <v>838</v>
      </c>
      <c r="Q53" s="1327">
        <f ca="1">Q47+Q48</f>
        <v>204521</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18490</v>
      </c>
      <c r="D56" s="1352"/>
      <c r="E56" s="1353"/>
      <c r="F56" s="1345"/>
      <c r="I56" s="1354" t="s">
        <v>842</v>
      </c>
      <c r="J56" s="1355" t="s">
        <v>3698</v>
      </c>
      <c r="K56" s="1328" t="s">
        <v>843</v>
      </c>
      <c r="L56" s="1331" t="str">
        <f ca="1">IF(L48&lt;J51,"——",L48-J53)</f>
        <v>——</v>
      </c>
      <c r="O56" s="1325" t="s">
        <v>403</v>
      </c>
      <c r="P56" s="1326" t="s">
        <v>817</v>
      </c>
      <c r="Q56" s="1327">
        <f ca="1">C40+J29</f>
        <v>204521</v>
      </c>
      <c r="R56" s="1327" t="s">
        <v>818</v>
      </c>
    </row>
    <row r="57" spans="1:18" s="1292" customFormat="1" ht="24.75" thickBot="1">
      <c r="A57" s="1356"/>
      <c r="B57" s="896" t="s">
        <v>767</v>
      </c>
      <c r="C57" s="230">
        <f ca="1">C29</f>
        <v>24987</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92</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5</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3338</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4.78</v>
      </c>
      <c r="D62" s="911" t="s">
        <v>731</v>
      </c>
      <c r="E62" s="896" t="s">
        <v>732</v>
      </c>
      <c r="F62" s="317">
        <f t="shared" si="0"/>
        <v>12</v>
      </c>
      <c r="I62" s="1367" t="s">
        <v>858</v>
      </c>
      <c r="J62" s="610" t="s">
        <v>859</v>
      </c>
      <c r="K62" s="610" t="s">
        <v>860</v>
      </c>
      <c r="L62" s="610" t="s">
        <v>861</v>
      </c>
      <c r="M62" s="1368" t="s">
        <v>862</v>
      </c>
      <c r="O62" s="1325" t="s">
        <v>409</v>
      </c>
      <c r="P62" s="1326" t="s">
        <v>838</v>
      </c>
      <c r="Q62" s="1327">
        <f ca="1">Q56+Q57</f>
        <v>204521</v>
      </c>
      <c r="R62" s="1327" t="s">
        <v>410</v>
      </c>
    </row>
    <row r="63" spans="1:18" s="1292" customFormat="1" ht="13.5" thickBot="1">
      <c r="A63" s="318"/>
      <c r="B63" s="902"/>
      <c r="C63" s="26"/>
      <c r="D63" s="912"/>
      <c r="E63" s="896" t="s">
        <v>736</v>
      </c>
      <c r="F63" s="295">
        <f t="shared" ca="1" si="0"/>
        <v>3983.2400000000002</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49.97</v>
      </c>
      <c r="D64" s="910" t="s">
        <v>771</v>
      </c>
      <c r="E64" s="896" t="s">
        <v>712</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36.979999999999997</v>
      </c>
      <c r="D65" s="910" t="s">
        <v>743</v>
      </c>
      <c r="E65" s="896" t="s">
        <v>712</v>
      </c>
      <c r="F65" s="321">
        <f t="shared" ca="1" si="0"/>
        <v>2E-3</v>
      </c>
      <c r="I65" s="1367" t="s">
        <v>867</v>
      </c>
      <c r="J65" s="610">
        <v>40</v>
      </c>
      <c r="K65" s="610">
        <v>30</v>
      </c>
      <c r="L65" s="610">
        <v>50</v>
      </c>
      <c r="M65" s="1369">
        <v>0.02</v>
      </c>
      <c r="O65" s="1325" t="s">
        <v>403</v>
      </c>
      <c r="P65" s="1326" t="s">
        <v>817</v>
      </c>
      <c r="Q65" s="1327">
        <f ca="1">C40+J29</f>
        <v>204521</v>
      </c>
      <c r="R65" s="1327" t="s">
        <v>818</v>
      </c>
    </row>
    <row r="66" spans="1:18" s="1292" customFormat="1" ht="16.5"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-92</v>
      </c>
      <c r="D67" s="909" t="s">
        <v>753</v>
      </c>
      <c r="E67" s="914"/>
      <c r="F67" s="915"/>
      <c r="O67" s="1334" t="s">
        <v>405</v>
      </c>
      <c r="P67" s="1326" t="s">
        <v>850</v>
      </c>
      <c r="Q67" s="1370">
        <f ca="1">L51</f>
        <v>362645</v>
      </c>
      <c r="R67" s="1327" t="s">
        <v>870</v>
      </c>
    </row>
    <row r="68" spans="1:18" s="1292" customFormat="1" ht="16.5" thickBot="1">
      <c r="A68" s="893" t="s">
        <v>395</v>
      </c>
      <c r="B68" s="894" t="s">
        <v>774</v>
      </c>
      <c r="C68" s="293">
        <f ca="1">ROUND(C67*(1-((1+F70)/(1+F68))^F69)/(F68-F70),0)</f>
        <v>-1485</v>
      </c>
      <c r="D68" s="911" t="s">
        <v>758</v>
      </c>
      <c r="E68" s="896" t="s">
        <v>759</v>
      </c>
      <c r="F68" s="304">
        <f ca="1">F40</f>
        <v>4.4999999999999998E-2</v>
      </c>
      <c r="O68" s="1334" t="s">
        <v>406</v>
      </c>
      <c r="P68" s="1371" t="s">
        <v>871</v>
      </c>
      <c r="Q68" s="1327">
        <f ca="1">ROUND(Q69-Q70*Q71,0)</f>
        <v>8845</v>
      </c>
      <c r="R68" s="1327" t="s">
        <v>414</v>
      </c>
    </row>
    <row r="69" spans="1:18" s="1292" customFormat="1" ht="13.5" thickBot="1">
      <c r="A69" s="897"/>
      <c r="B69" s="898"/>
      <c r="C69" s="298"/>
      <c r="D69" s="916" t="s">
        <v>762</v>
      </c>
      <c r="E69" s="896" t="s">
        <v>763</v>
      </c>
      <c r="F69" s="324">
        <f ca="1">F41</f>
        <v>29.46</v>
      </c>
      <c r="O69" s="1334" t="s">
        <v>411</v>
      </c>
      <c r="P69" s="1371" t="s">
        <v>872</v>
      </c>
      <c r="Q69" s="1327">
        <f ca="1">C39</f>
        <v>8845</v>
      </c>
      <c r="R69" s="1327" t="s">
        <v>818</v>
      </c>
    </row>
    <row r="70" spans="1:18" s="1292" customFormat="1" ht="13.5" thickBot="1">
      <c r="A70" s="900"/>
      <c r="B70" s="901"/>
      <c r="C70" s="302"/>
      <c r="D70" s="912"/>
      <c r="E70" s="896" t="s">
        <v>766</v>
      </c>
      <c r="F70" s="991"/>
      <c r="O70" s="1334" t="s">
        <v>412</v>
      </c>
      <c r="P70" s="1371" t="s">
        <v>873</v>
      </c>
      <c r="Q70" s="1327">
        <f ca="1">C13</f>
        <v>18490</v>
      </c>
      <c r="R70" s="1327" t="s">
        <v>818</v>
      </c>
    </row>
    <row r="71" spans="1:18" s="1292" customFormat="1" ht="13.5" thickBot="1">
      <c r="A71" s="917" t="s">
        <v>396</v>
      </c>
      <c r="B71" s="918" t="s">
        <v>776</v>
      </c>
      <c r="C71" s="327">
        <f ca="1">ROUND(C68*10000/F71,0)</f>
        <v>-389</v>
      </c>
      <c r="D71" s="919" t="s">
        <v>777</v>
      </c>
      <c r="E71" s="920" t="s">
        <v>778</v>
      </c>
      <c r="F71" s="330">
        <f ca="1">F43</f>
        <v>38160.79</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204521</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0.91</v>
      </c>
    </row>
    <row r="83" spans="2:3">
      <c r="B83" s="265" t="s">
        <v>803</v>
      </c>
      <c r="C83" s="266">
        <f ca="1">ROUND(C13/C40,3)</f>
        <v>0.09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80" priority="3">
      <formula>$F$10="自定义"</formula>
    </cfRule>
  </conditionalFormatting>
  <conditionalFormatting sqref="C54">
    <cfRule type="expression" dxfId="179" priority="1">
      <formula>$F$53="自定义"</formula>
    </cfRule>
  </conditionalFormatting>
  <conditionalFormatting sqref="I55 I60">
    <cfRule type="expression" dxfId="178" priority="5">
      <formula>$J$51&gt;$L$48</formula>
    </cfRule>
  </conditionalFormatting>
  <conditionalFormatting sqref="J11">
    <cfRule type="expression" dxfId="177" priority="2">
      <formula>$M$10="自定义"</formula>
    </cfRule>
  </conditionalFormatting>
  <conditionalFormatting sqref="K55 K60">
    <cfRule type="expression" dxfId="176" priority="4">
      <formula>$L$48&gt;$J$51</formula>
    </cfRule>
  </conditionalFormatting>
  <dataValidations count="9">
    <dataValidation type="list" allowBlank="1" showInputMessage="1" showErrorMessage="1" sqref="D1" xr:uid="{CA53CF0E-36D6-4CB0-8C5B-6417462A5817}">
      <formula1>"在建（套用方法）,土地（套用方法）,——"</formula1>
    </dataValidation>
    <dataValidation type="list" allowBlank="1" showInputMessage="1" showErrorMessage="1" sqref="M10 F10 F53" xr:uid="{11391170-6A03-4682-909F-3D8A58D5FD0B}">
      <formula1>"押一,押二,押三,自定义"</formula1>
    </dataValidation>
    <dataValidation type="list" allowBlank="1" showInputMessage="1" showErrorMessage="1" sqref="L55" xr:uid="{F8CCCE54-F5DC-435E-8A7E-C324BCAD7C20}">
      <formula1>"比较法,基准地价,收益还原"</formula1>
    </dataValidation>
    <dataValidation type="list" allowBlank="1" showInputMessage="1" showErrorMessage="1" sqref="J56" xr:uid="{C2045EB7-6061-46EE-80E0-942042CFC30E}">
      <formula1>估价范围判定</formula1>
    </dataValidation>
    <dataValidation type="list" allowBlank="1" showInputMessage="1" showErrorMessage="1" sqref="J48" xr:uid="{2C014B7B-64F3-4748-8C48-042E188A5BB9}">
      <formula1>"非生产用房,生产用房,受腐蚀的生产用房"</formula1>
    </dataValidation>
    <dataValidation type="list" allowBlank="1" showInputMessage="1" showErrorMessage="1" sqref="J47" xr:uid="{AA36887A-8D79-40DE-B741-C4D4F6693E2D}">
      <formula1>"钢,钢混,砖混"</formula1>
    </dataValidation>
    <dataValidation type="list" allowBlank="1" showInputMessage="1" showErrorMessage="1" sqref="C1" xr:uid="{B88A643E-184D-4ADA-9954-0AD90141BC08}">
      <formula1>项目类型</formula1>
    </dataValidation>
    <dataValidation type="list" allowBlank="1" showInputMessage="1" showErrorMessage="1" sqref="D33 D61" xr:uid="{0365BCCB-4BAB-4BBF-832C-33970057636A}">
      <formula1>"按租金收入计税,按房产原值计税,按票据"</formula1>
    </dataValidation>
    <dataValidation type="list" allowBlank="1" showInputMessage="1" showErrorMessage="1" sqref="K19" xr:uid="{0536750E-872A-426E-8DB3-02CE9957C5F4}">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53BDE-317E-4715-8932-678ADCDBDE96}">
  <sheetPr>
    <tabColor rgb="FF92D050"/>
  </sheetPr>
  <dimension ref="A1:AK83"/>
  <sheetViews>
    <sheetView view="pageBreakPreview" topLeftCell="A10" zoomScaleNormal="70" zoomScaleSheetLayoutView="100" workbookViewId="0">
      <selection activeCell="J35" sqref="J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3335</v>
      </c>
      <c r="D1" s="1271" t="s">
        <v>43</v>
      </c>
      <c r="E1" s="1272" t="s">
        <v>678</v>
      </c>
      <c r="F1" s="999">
        <f ca="1">J53</f>
        <v>29.46</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1937</v>
      </c>
      <c r="C2" s="1289" t="s">
        <v>805</v>
      </c>
      <c r="D2" s="1289"/>
      <c r="E2" s="1295"/>
      <c r="F2" s="1296"/>
      <c r="G2" s="2479"/>
      <c r="H2" s="2469"/>
      <c r="I2" s="2469"/>
      <c r="J2" s="2469"/>
      <c r="K2" s="2470"/>
      <c r="L2" s="2469"/>
      <c r="M2" s="2469"/>
    </row>
    <row r="3" spans="1:37" ht="18" customHeight="1" thickBot="1">
      <c r="A3" s="1297" t="s">
        <v>806</v>
      </c>
      <c r="B3" s="1298">
        <f ca="1">IF(ISERROR(B2*10000/F43),0,ROUND(B2*10000/F43,0))</f>
        <v>2605</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149</v>
      </c>
      <c r="D5" s="1273" t="s">
        <v>693</v>
      </c>
      <c r="E5" s="1008"/>
      <c r="F5" s="1009"/>
      <c r="G5" s="1292"/>
      <c r="H5" s="291">
        <v>1</v>
      </c>
      <c r="I5" s="292" t="s">
        <v>692</v>
      </c>
      <c r="J5" s="1007">
        <f ca="1">J6+J10+J12</f>
        <v>0</v>
      </c>
      <c r="K5" s="1273" t="s">
        <v>693</v>
      </c>
      <c r="L5" s="1008"/>
      <c r="M5" s="1009"/>
    </row>
    <row r="6" spans="1:37" ht="18" customHeight="1">
      <c r="A6" s="1006" t="s">
        <v>398</v>
      </c>
      <c r="B6" s="3852" t="s">
        <v>694</v>
      </c>
      <c r="C6" s="1011">
        <f ca="1">ROUND(F6*F8*F7*(1-F9)/10000,0)</f>
        <v>149</v>
      </c>
      <c r="D6" s="147" t="s">
        <v>2109</v>
      </c>
      <c r="E6" s="294" t="s">
        <v>696</v>
      </c>
      <c r="F6" s="295">
        <f ca="1">INDIRECT("'数据-取费表'!u"&amp;$G$1)</f>
        <v>800</v>
      </c>
      <c r="G6" s="1292"/>
      <c r="H6" s="1006" t="s">
        <v>398</v>
      </c>
      <c r="I6" s="3852" t="s">
        <v>694</v>
      </c>
      <c r="J6" s="293">
        <f ca="1">ROUND(M6*M8*M7*(1-M9)/10000,0)</f>
        <v>0</v>
      </c>
      <c r="K6" s="147" t="s">
        <v>2108</v>
      </c>
      <c r="L6" s="294" t="s">
        <v>696</v>
      </c>
      <c r="M6" s="295">
        <f ca="1">INDIRECT("'数据-取费表'!z"&amp;$G$1)</f>
        <v>0</v>
      </c>
    </row>
    <row r="7" spans="1:37" ht="18" customHeight="1">
      <c r="A7" s="1010"/>
      <c r="B7" s="3853"/>
      <c r="C7" s="1012"/>
      <c r="D7" s="299"/>
      <c r="E7" s="1013" t="s">
        <v>697</v>
      </c>
      <c r="F7" s="295">
        <f ca="1">IF(INDIRECT("'数据-取费表'!ah"&amp;$G$1)="",INDIRECT("'数据-取费表'!k"&amp;$G$1),INDIRECT("'数据-取费表'!ah"&amp;$G$1))</f>
        <v>172</v>
      </c>
      <c r="G7" s="1292"/>
      <c r="H7" s="296"/>
      <c r="I7" s="3853"/>
      <c r="J7" s="298"/>
      <c r="K7" s="299"/>
      <c r="L7" s="294" t="s">
        <v>697</v>
      </c>
      <c r="M7" s="295">
        <f ca="1">F7</f>
        <v>172</v>
      </c>
    </row>
    <row r="8" spans="1:37" ht="18" customHeight="1">
      <c r="A8" s="296"/>
      <c r="B8" s="3853"/>
      <c r="C8" s="298"/>
      <c r="D8" s="299"/>
      <c r="E8" s="294" t="s">
        <v>698</v>
      </c>
      <c r="F8" s="295">
        <f ca="1">INDIRECT("'数据-取费表'!ai"&amp;$G$1)</f>
        <v>12</v>
      </c>
      <c r="G8" s="1292"/>
      <c r="H8" s="296"/>
      <c r="I8" s="3853"/>
      <c r="J8" s="298"/>
      <c r="K8" s="299"/>
      <c r="L8" s="294" t="s">
        <v>698</v>
      </c>
      <c r="M8" s="295">
        <f ca="1">INDIRECT("'数据-取费表'!ai"&amp;$G$1)</f>
        <v>12</v>
      </c>
    </row>
    <row r="9" spans="1:37" ht="18" customHeight="1">
      <c r="A9" s="296"/>
      <c r="B9" s="3854"/>
      <c r="C9" s="298"/>
      <c r="D9" s="299"/>
      <c r="E9" s="294" t="s">
        <v>699</v>
      </c>
      <c r="F9" s="304">
        <f ca="1">INDIRECT("'数据-取费表'!w"&amp;$G$1)</f>
        <v>0.1</v>
      </c>
      <c r="G9" s="1292"/>
      <c r="H9" s="296"/>
      <c r="I9" s="385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3700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3159</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3349</v>
      </c>
      <c r="D14" s="1257" t="s">
        <v>708</v>
      </c>
      <c r="E14" s="1255"/>
      <c r="F14" s="311"/>
      <c r="G14" s="1292"/>
      <c r="H14" s="928" t="s">
        <v>398</v>
      </c>
      <c r="I14" s="294" t="s">
        <v>709</v>
      </c>
      <c r="J14" s="21">
        <f ca="1">C29</f>
        <v>4269</v>
      </c>
      <c r="K14" s="12"/>
      <c r="L14" s="759"/>
      <c r="M14" s="760"/>
    </row>
    <row r="15" spans="1:37" s="1304" customFormat="1" ht="18" customHeight="1" thickBot="1">
      <c r="A15" s="928" t="s">
        <v>399</v>
      </c>
      <c r="B15" s="294" t="s">
        <v>710</v>
      </c>
      <c r="C15" s="21">
        <f ca="1">ROUND(C14*F15,0)</f>
        <v>100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9</v>
      </c>
      <c r="K16" s="1024" t="s">
        <v>715</v>
      </c>
      <c r="L16" s="1025"/>
      <c r="M16" s="1009"/>
    </row>
    <row r="17" spans="1:37" s="1304" customFormat="1" ht="18" customHeight="1">
      <c r="A17" s="928" t="s">
        <v>681</v>
      </c>
      <c r="B17" s="294" t="s">
        <v>716</v>
      </c>
      <c r="C17" s="21">
        <f ca="1">ROUND(F17*(F43+INDIRECT("'数据-取费表'!S"&amp;$G$1))/10000,0)</f>
        <v>149</v>
      </c>
      <c r="D17" s="294" t="s">
        <v>717</v>
      </c>
      <c r="E17" s="294" t="s">
        <v>718</v>
      </c>
      <c r="F17" s="23">
        <f>'数据-取费表'!B35</f>
        <v>200</v>
      </c>
      <c r="G17" s="1303"/>
      <c r="H17" s="928" t="s">
        <v>398</v>
      </c>
      <c r="I17" s="294" t="s">
        <v>719</v>
      </c>
      <c r="J17" s="2140">
        <f ca="1">ROUND(IF(AND(项目基本情况!B11="自然人",项目基本情况!B10="北京市"),J6*M17/(1+'数据-取费表'!C42),J18+J19+J20),2)</f>
        <v>0.93</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3648</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36</v>
      </c>
      <c r="D20" s="315" t="s">
        <v>729</v>
      </c>
      <c r="E20" s="294" t="s">
        <v>712</v>
      </c>
      <c r="F20" s="314">
        <f>'数据-取费表'!B37</f>
        <v>0.01</v>
      </c>
      <c r="G20" s="1303"/>
      <c r="H20" s="928" t="s">
        <v>680</v>
      </c>
      <c r="I20" s="147" t="s">
        <v>730</v>
      </c>
      <c r="J20" s="22">
        <f ca="1">ROUND(M20*M21/10000,2)</f>
        <v>0.93</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776.08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8.5399999999999991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127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2E-3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3.4500000000000003E-2</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-9</v>
      </c>
      <c r="K25" s="1032" t="s">
        <v>753</v>
      </c>
      <c r="L25" s="1033"/>
      <c r="M25" s="1034"/>
    </row>
    <row r="26" spans="1:37">
      <c r="A26" s="928" t="s">
        <v>397</v>
      </c>
      <c r="B26" s="294" t="s">
        <v>754</v>
      </c>
      <c r="C26" s="21">
        <f ca="1">ROUND((C19+C20)*F26,0)</f>
        <v>184</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5.0000000000000001E-4</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4269</v>
      </c>
      <c r="D29" s="1029"/>
      <c r="E29" s="1027"/>
      <c r="F29" s="1030"/>
      <c r="G29" s="1303"/>
      <c r="H29" s="325" t="s">
        <v>396</v>
      </c>
      <c r="I29" s="326" t="s">
        <v>768</v>
      </c>
      <c r="J29" s="327">
        <f ca="1">ROUND(J26/(1+F40)^F41,0)</f>
        <v>0</v>
      </c>
      <c r="K29" s="328" t="s">
        <v>769</v>
      </c>
      <c r="L29" s="329"/>
      <c r="M29" s="330">
        <f ca="1">INDIRECT("'数据-取费表'!k"&amp;$G$1)</f>
        <v>7435.17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25.91</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7.95</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17.03</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0.93</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776.08</v>
      </c>
      <c r="G35" s="1292"/>
      <c r="H35" s="2471"/>
      <c r="I35" s="1305"/>
      <c r="J35" s="1306"/>
      <c r="K35" s="2475"/>
      <c r="L35" s="2474"/>
      <c r="M35" s="2474"/>
    </row>
    <row r="36" spans="1:18" ht="18" customHeight="1">
      <c r="A36" s="1039" t="s">
        <v>402</v>
      </c>
      <c r="B36" s="294" t="s">
        <v>738</v>
      </c>
      <c r="C36" s="21">
        <f ca="1">ROUND(C29*F36,2)</f>
        <v>8.5399999999999991</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6.32</v>
      </c>
      <c r="D37" s="1256" t="s">
        <v>743</v>
      </c>
      <c r="E37" s="294" t="s">
        <v>712</v>
      </c>
      <c r="F37" s="321">
        <f ca="1">INDIRECT("'数据-取费表'!Al"&amp;$G$1)</f>
        <v>2E-3</v>
      </c>
      <c r="G37" s="1292"/>
      <c r="H37" s="2474"/>
      <c r="I37" s="1305"/>
      <c r="J37" s="1306"/>
      <c r="K37" s="2331"/>
      <c r="L37" s="2474"/>
      <c r="M37" s="2474"/>
    </row>
    <row r="38" spans="1:18" ht="18" customHeight="1" thickBot="1">
      <c r="A38" s="1026" t="s">
        <v>683</v>
      </c>
      <c r="B38" s="1027" t="s">
        <v>728</v>
      </c>
      <c r="C38" s="1028">
        <f ca="1">ROUND(C5*F38,2)</f>
        <v>1.49</v>
      </c>
      <c r="D38" s="1029" t="s">
        <v>748</v>
      </c>
      <c r="E38" s="1027" t="s">
        <v>712</v>
      </c>
      <c r="F38" s="1023">
        <f ca="1">INDIRECT("'数据-取费表'!Am"&amp;$G$1)</f>
        <v>0.01</v>
      </c>
      <c r="G38" s="1292"/>
      <c r="H38" s="2474"/>
      <c r="I38" s="1305"/>
      <c r="J38" s="1306"/>
      <c r="K38" s="2472"/>
      <c r="L38" s="2474"/>
      <c r="M38" s="2474"/>
    </row>
    <row r="39" spans="1:18" ht="24.6" customHeight="1" thickTop="1">
      <c r="A39" s="1016" t="s">
        <v>394</v>
      </c>
      <c r="B39" s="1031" t="s">
        <v>752</v>
      </c>
      <c r="C39" s="302">
        <f ca="1">C5-C30</f>
        <v>107</v>
      </c>
      <c r="D39" s="1032" t="s">
        <v>753</v>
      </c>
      <c r="E39" s="1033"/>
      <c r="F39" s="1034"/>
      <c r="G39" s="1292"/>
      <c r="H39" s="2474"/>
      <c r="I39" s="1305"/>
      <c r="J39" s="1306"/>
      <c r="K39" s="2472"/>
      <c r="L39" s="2474"/>
      <c r="M39" s="2474"/>
    </row>
    <row r="40" spans="1:18" ht="18" customHeight="1">
      <c r="A40" s="291" t="s">
        <v>395</v>
      </c>
      <c r="B40" s="292" t="s">
        <v>774</v>
      </c>
      <c r="C40" s="293">
        <f ca="1">ROUND(C39*(1-((1+F42)/(1+F40))^F41)/(F40-F42),0)</f>
        <v>1937</v>
      </c>
      <c r="D40" s="316" t="s">
        <v>758</v>
      </c>
      <c r="E40" s="294" t="s">
        <v>759</v>
      </c>
      <c r="F40" s="304">
        <f ca="1">INDIRECT("'数据-取费表'!I"&amp;$G$1)</f>
        <v>4.4999999999999998E-2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29.46</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f ca="1">ROUND(C40*10000/F43,0)</f>
        <v>2605</v>
      </c>
      <c r="D43" s="328" t="s">
        <v>777</v>
      </c>
      <c r="E43" s="329" t="s">
        <v>778</v>
      </c>
      <c r="F43" s="330">
        <f ca="1">INDIRECT("'数据-取费表'!k"&amp;$G$1)</f>
        <v>7435.17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-2195</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3701</v>
      </c>
      <c r="K47" s="1323" t="s">
        <v>816</v>
      </c>
      <c r="L47" s="1324">
        <f ca="1">INDIRECT("'数据-取费表'!d"&amp;$G$1)</f>
        <v>50</v>
      </c>
      <c r="M47" s="1288" t="str">
        <f>IF(ISNUMBER(FIND("住宅",C1)),"住宅","非住宅")</f>
        <v>非住宅</v>
      </c>
      <c r="O47" s="1325" t="s">
        <v>403</v>
      </c>
      <c r="P47" s="1326" t="s">
        <v>817</v>
      </c>
      <c r="Q47" s="1327">
        <f ca="1">C40+J29</f>
        <v>1937</v>
      </c>
      <c r="R47" s="1327" t="s">
        <v>818</v>
      </c>
    </row>
    <row r="48" spans="1:18" s="1292" customFormat="1" ht="28.5" thickBot="1">
      <c r="A48" s="1047" t="s">
        <v>438</v>
      </c>
      <c r="B48" s="292" t="s">
        <v>692</v>
      </c>
      <c r="C48" s="1268">
        <f ca="1">C49+C53+C55</f>
        <v>0</v>
      </c>
      <c r="D48" s="1049"/>
      <c r="E48" s="1050"/>
      <c r="F48" s="908"/>
      <c r="G48" s="681"/>
      <c r="H48" s="682"/>
      <c r="I48" s="1328" t="s">
        <v>819</v>
      </c>
      <c r="J48" s="1329" t="s">
        <v>3702</v>
      </c>
      <c r="K48" s="1330" t="s">
        <v>820</v>
      </c>
      <c r="L48" s="1331">
        <f ca="1">INDIRECT("'数据-取费表'!f"&amp;$G$1)</f>
        <v>29.46</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2005</v>
      </c>
      <c r="K49" s="1330" t="s">
        <v>824</v>
      </c>
      <c r="L49" s="1333"/>
      <c r="O49" s="1334" t="s">
        <v>405</v>
      </c>
      <c r="P49" s="1326" t="s">
        <v>825</v>
      </c>
      <c r="Q49" s="1327">
        <f ca="1">C29</f>
        <v>4269</v>
      </c>
      <c r="R49" s="1327" t="s">
        <v>818</v>
      </c>
    </row>
    <row r="50" spans="1:18" s="1292" customFormat="1" ht="13.5" thickBot="1">
      <c r="A50" s="922"/>
      <c r="B50" s="925"/>
      <c r="C50" s="1055"/>
      <c r="D50" s="899"/>
      <c r="E50" s="993" t="s">
        <v>697</v>
      </c>
      <c r="F50" s="994">
        <f ca="1">F7</f>
        <v>172</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41</v>
      </c>
      <c r="K51" s="1339" t="s">
        <v>830</v>
      </c>
      <c r="L51" s="1340">
        <f ca="1">ROUND(-PV(INDIRECT("'数据-取费表'!h"&amp;$G$1),J51,(C39-C13*C76),0),0)</f>
        <v>4387</v>
      </c>
      <c r="M51" s="1341"/>
      <c r="O51" s="1334" t="s">
        <v>407</v>
      </c>
      <c r="P51" s="1326" t="s">
        <v>831</v>
      </c>
      <c r="Q51" s="1337">
        <f>J52</f>
        <v>6.5000000000000002E-2</v>
      </c>
      <c r="R51" s="1327"/>
    </row>
    <row r="52" spans="1:18" s="1292" customFormat="1" ht="13.5" thickBot="1">
      <c r="A52" s="923"/>
      <c r="B52" s="925"/>
      <c r="C52" s="926"/>
      <c r="D52" s="899"/>
      <c r="E52" s="927" t="s">
        <v>699</v>
      </c>
      <c r="F52" s="991"/>
      <c r="I52" s="1342" t="s">
        <v>832</v>
      </c>
      <c r="J52" s="1343">
        <v>6.5000000000000002E-2</v>
      </c>
      <c r="K52" s="1342" t="s">
        <v>833</v>
      </c>
      <c r="L52" s="1343"/>
      <c r="O52" s="1334" t="s">
        <v>408</v>
      </c>
      <c r="P52" s="1326" t="s">
        <v>834</v>
      </c>
      <c r="Q52" s="1327">
        <f ca="1">J53</f>
        <v>29.46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29.46</v>
      </c>
      <c r="K53" s="3850" t="s">
        <v>837</v>
      </c>
      <c r="L53" s="3851"/>
      <c r="O53" s="1325" t="s">
        <v>409</v>
      </c>
      <c r="P53" s="1326" t="s">
        <v>838</v>
      </c>
      <c r="Q53" s="1327">
        <f ca="1">Q47+Q48</f>
        <v>1937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3159</v>
      </c>
      <c r="D56" s="1352"/>
      <c r="E56" s="1353"/>
      <c r="F56" s="1345"/>
      <c r="I56" s="1354" t="s">
        <v>842</v>
      </c>
      <c r="J56" s="1355" t="s">
        <v>3698</v>
      </c>
      <c r="K56" s="1328" t="s">
        <v>843</v>
      </c>
      <c r="L56" s="1331" t="str">
        <f ca="1">IF(L48&lt;J51,"——",L48-J53)</f>
        <v>——</v>
      </c>
      <c r="O56" s="1325" t="s">
        <v>403</v>
      </c>
      <c r="P56" s="1326" t="s">
        <v>817</v>
      </c>
      <c r="Q56" s="1327">
        <f ca="1">C40+J29</f>
        <v>1937</v>
      </c>
      <c r="R56" s="1327" t="s">
        <v>818</v>
      </c>
    </row>
    <row r="57" spans="1:18" s="1292" customFormat="1" ht="24.75" thickBot="1">
      <c r="A57" s="1356"/>
      <c r="B57" s="896" t="s">
        <v>767</v>
      </c>
      <c r="C57" s="230">
        <f ca="1">C29</f>
        <v>4269</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16</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3338</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0.93</v>
      </c>
      <c r="D62" s="911" t="s">
        <v>731</v>
      </c>
      <c r="E62" s="896" t="s">
        <v>732</v>
      </c>
      <c r="F62" s="317">
        <f t="shared" si="0"/>
        <v>12</v>
      </c>
      <c r="I62" s="1367" t="s">
        <v>858</v>
      </c>
      <c r="J62" s="610" t="s">
        <v>859</v>
      </c>
      <c r="K62" s="610" t="s">
        <v>860</v>
      </c>
      <c r="L62" s="610" t="s">
        <v>861</v>
      </c>
      <c r="M62" s="1368" t="s">
        <v>862</v>
      </c>
      <c r="O62" s="1325" t="s">
        <v>409</v>
      </c>
      <c r="P62" s="1326" t="s">
        <v>838</v>
      </c>
      <c r="Q62" s="1327">
        <f ca="1">Q56+Q57</f>
        <v>1937</v>
      </c>
      <c r="R62" s="1327" t="s">
        <v>410</v>
      </c>
    </row>
    <row r="63" spans="1:18" s="1292" customFormat="1" ht="13.5" thickBot="1">
      <c r="A63" s="318"/>
      <c r="B63" s="902"/>
      <c r="C63" s="26"/>
      <c r="D63" s="912"/>
      <c r="E63" s="896" t="s">
        <v>736</v>
      </c>
      <c r="F63" s="295">
        <f t="shared" ca="1" si="0"/>
        <v>776.08</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8.5399999999999991</v>
      </c>
      <c r="D64" s="910" t="s">
        <v>771</v>
      </c>
      <c r="E64" s="896" t="s">
        <v>712</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6.32</v>
      </c>
      <c r="D65" s="910" t="s">
        <v>743</v>
      </c>
      <c r="E65" s="896" t="s">
        <v>712</v>
      </c>
      <c r="F65" s="321">
        <f t="shared" ca="1" si="0"/>
        <v>2E-3</v>
      </c>
      <c r="I65" s="1367" t="s">
        <v>867</v>
      </c>
      <c r="J65" s="610">
        <v>40</v>
      </c>
      <c r="K65" s="610">
        <v>30</v>
      </c>
      <c r="L65" s="610">
        <v>50</v>
      </c>
      <c r="M65" s="1369">
        <v>0.02</v>
      </c>
      <c r="O65" s="1325" t="s">
        <v>403</v>
      </c>
      <c r="P65" s="1326" t="s">
        <v>817</v>
      </c>
      <c r="Q65" s="1327">
        <f ca="1">C40+J29</f>
        <v>1937</v>
      </c>
      <c r="R65" s="1327" t="s">
        <v>818</v>
      </c>
    </row>
    <row r="66" spans="1:18" s="1292" customFormat="1" ht="16.5"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-16</v>
      </c>
      <c r="D67" s="909" t="s">
        <v>753</v>
      </c>
      <c r="E67" s="914"/>
      <c r="F67" s="915"/>
      <c r="O67" s="1334" t="s">
        <v>405</v>
      </c>
      <c r="P67" s="1326" t="s">
        <v>850</v>
      </c>
      <c r="Q67" s="1370">
        <f ca="1">L51</f>
        <v>4387</v>
      </c>
      <c r="R67" s="1327" t="s">
        <v>870</v>
      </c>
    </row>
    <row r="68" spans="1:18" s="1292" customFormat="1" ht="16.5" thickBot="1">
      <c r="A68" s="893" t="s">
        <v>395</v>
      </c>
      <c r="B68" s="894" t="s">
        <v>774</v>
      </c>
      <c r="C68" s="293">
        <f ca="1">ROUND(C67*(1-((1+F70)/(1+F68))^F69)/(F68-F70),0)</f>
        <v>-258</v>
      </c>
      <c r="D68" s="911" t="s">
        <v>758</v>
      </c>
      <c r="E68" s="896" t="s">
        <v>759</v>
      </c>
      <c r="F68" s="304">
        <f ca="1">F40</f>
        <v>4.4999999999999998E-2</v>
      </c>
      <c r="O68" s="1334" t="s">
        <v>406</v>
      </c>
      <c r="P68" s="1371" t="s">
        <v>871</v>
      </c>
      <c r="Q68" s="1327">
        <f ca="1">ROUND(Q69-Q70*Q71,0)</f>
        <v>107</v>
      </c>
      <c r="R68" s="1327" t="s">
        <v>414</v>
      </c>
    </row>
    <row r="69" spans="1:18" s="1292" customFormat="1" ht="13.5" thickBot="1">
      <c r="A69" s="897"/>
      <c r="B69" s="898"/>
      <c r="C69" s="298"/>
      <c r="D69" s="916" t="s">
        <v>762</v>
      </c>
      <c r="E69" s="896" t="s">
        <v>763</v>
      </c>
      <c r="F69" s="324">
        <f ca="1">F41</f>
        <v>29.46</v>
      </c>
      <c r="O69" s="1334" t="s">
        <v>411</v>
      </c>
      <c r="P69" s="1371" t="s">
        <v>872</v>
      </c>
      <c r="Q69" s="1327">
        <f ca="1">C39</f>
        <v>107</v>
      </c>
      <c r="R69" s="1327" t="s">
        <v>818</v>
      </c>
    </row>
    <row r="70" spans="1:18" s="1292" customFormat="1" ht="13.5" thickBot="1">
      <c r="A70" s="900"/>
      <c r="B70" s="901"/>
      <c r="C70" s="302"/>
      <c r="D70" s="912"/>
      <c r="E70" s="896" t="s">
        <v>766</v>
      </c>
      <c r="F70" s="991"/>
      <c r="O70" s="1334" t="s">
        <v>412</v>
      </c>
      <c r="P70" s="1371" t="s">
        <v>873</v>
      </c>
      <c r="Q70" s="1327">
        <f ca="1">C13</f>
        <v>3159</v>
      </c>
      <c r="R70" s="1327" t="s">
        <v>818</v>
      </c>
    </row>
    <row r="71" spans="1:18" s="1292" customFormat="1" ht="13.5" thickBot="1">
      <c r="A71" s="917" t="s">
        <v>396</v>
      </c>
      <c r="B71" s="918" t="s">
        <v>776</v>
      </c>
      <c r="C71" s="327">
        <f ca="1">ROUND(C68*10000/F71,0)</f>
        <v>-347</v>
      </c>
      <c r="D71" s="919" t="s">
        <v>777</v>
      </c>
      <c r="E71" s="920" t="s">
        <v>778</v>
      </c>
      <c r="F71" s="330">
        <f ca="1">F43</f>
        <v>7435.17</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1937</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-0.63100000000000001</v>
      </c>
    </row>
    <row r="83" spans="2:3">
      <c r="B83" s="265" t="s">
        <v>803</v>
      </c>
      <c r="C83" s="266">
        <f ca="1">ROUND(C13/C40,3)</f>
        <v>1.631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75" priority="3">
      <formula>$F$10="自定义"</formula>
    </cfRule>
  </conditionalFormatting>
  <conditionalFormatting sqref="C54">
    <cfRule type="expression" dxfId="174" priority="1">
      <formula>$F$53="自定义"</formula>
    </cfRule>
  </conditionalFormatting>
  <conditionalFormatting sqref="I55 I60">
    <cfRule type="expression" dxfId="173" priority="5">
      <formula>$J$51&gt;$L$48</formula>
    </cfRule>
  </conditionalFormatting>
  <conditionalFormatting sqref="J11">
    <cfRule type="expression" dxfId="172" priority="2">
      <formula>$M$10="自定义"</formula>
    </cfRule>
  </conditionalFormatting>
  <conditionalFormatting sqref="K55 K60">
    <cfRule type="expression" dxfId="171" priority="4">
      <formula>$L$48&gt;$J$51</formula>
    </cfRule>
  </conditionalFormatting>
  <dataValidations count="9">
    <dataValidation type="list" allowBlank="1" showInputMessage="1" showErrorMessage="1" sqref="D1" xr:uid="{10178E6C-4887-4EB5-9E2C-9E7D1408085B}">
      <formula1>"在建（套用方法）,土地（套用方法）,——"</formula1>
    </dataValidation>
    <dataValidation type="list" allowBlank="1" showInputMessage="1" showErrorMessage="1" sqref="M10 F10 F53" xr:uid="{9F768EC2-B789-4792-8078-B6480E556B1E}">
      <formula1>"押一,押二,押三,自定义"</formula1>
    </dataValidation>
    <dataValidation type="list" allowBlank="1" showInputMessage="1" showErrorMessage="1" sqref="L55" xr:uid="{0B070BE5-BFD1-4DFC-8C2D-10596707BF36}">
      <formula1>"比较法,基准地价,收益还原"</formula1>
    </dataValidation>
    <dataValidation type="list" allowBlank="1" showInputMessage="1" showErrorMessage="1" sqref="J56" xr:uid="{027C3B9F-C4D9-4553-BDC4-B7EE8255522C}">
      <formula1>估价范围判定</formula1>
    </dataValidation>
    <dataValidation type="list" allowBlank="1" showInputMessage="1" showErrorMessage="1" sqref="J48" xr:uid="{9ED176B6-5CF8-4281-BD0C-73E8FEC1B225}">
      <formula1>"非生产用房,生产用房,受腐蚀的生产用房"</formula1>
    </dataValidation>
    <dataValidation type="list" allowBlank="1" showInputMessage="1" showErrorMessage="1" sqref="J47" xr:uid="{55D784F1-D43A-4343-B648-EBBBC3C6A85B}">
      <formula1>"钢,钢混,砖混"</formula1>
    </dataValidation>
    <dataValidation type="list" allowBlank="1" showInputMessage="1" showErrorMessage="1" sqref="C1" xr:uid="{A5572EB8-2E6A-4122-BBCF-E352CB0D8602}">
      <formula1>项目类型</formula1>
    </dataValidation>
    <dataValidation type="list" allowBlank="1" showInputMessage="1" showErrorMessage="1" sqref="D33 D61" xr:uid="{52EA63BC-61E1-461E-8028-DC02345E258A}">
      <formula1>"按租金收入计税,按房产原值计税,按票据"</formula1>
    </dataValidation>
    <dataValidation type="list" allowBlank="1" showInputMessage="1" showErrorMessage="1" sqref="K19" xr:uid="{00510DA2-1337-43BD-87DB-DD4E675E88ED}">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10</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852" t="s">
        <v>694</v>
      </c>
      <c r="C6" s="1011">
        <f ca="1">ROUND(F6*F8*F7*(1-F9),0)</f>
        <v>0</v>
      </c>
      <c r="D6" s="147" t="s">
        <v>2106</v>
      </c>
      <c r="E6" s="294" t="s">
        <v>696</v>
      </c>
      <c r="F6" s="295">
        <f ca="1">INDIRECT("'数据-取费表'!u"&amp;$G$1)</f>
        <v>0</v>
      </c>
      <c r="G6" s="1292"/>
      <c r="H6" s="1006" t="s">
        <v>398</v>
      </c>
      <c r="I6" s="3852" t="s">
        <v>694</v>
      </c>
      <c r="J6" s="293">
        <f ca="1">ROUND(M6*M8*M7*(1-M9),0)</f>
        <v>0</v>
      </c>
      <c r="K6" s="1284" t="s">
        <v>2107</v>
      </c>
      <c r="L6" s="294" t="s">
        <v>696</v>
      </c>
      <c r="M6" s="295">
        <f ca="1">INDIRECT("'数据-取费表'!z"&amp;$G$1)</f>
        <v>0</v>
      </c>
    </row>
    <row r="7" spans="1:37" ht="18" customHeight="1">
      <c r="A7" s="1010"/>
      <c r="B7" s="3853"/>
      <c r="C7" s="1012"/>
      <c r="D7" s="299"/>
      <c r="E7" s="1013" t="s">
        <v>697</v>
      </c>
      <c r="F7" s="295">
        <f ca="1">IF(INDIRECT("'数据-取费表'!ah"&amp;$G$1)="",INDIRECT("'数据-取费表'!k"&amp;$G$1),INDIRECT("'数据-取费表'!ah"&amp;$G$1))</f>
        <v>0</v>
      </c>
      <c r="G7" s="1292"/>
      <c r="H7" s="296"/>
      <c r="I7" s="3853"/>
      <c r="J7" s="298"/>
      <c r="K7" s="299"/>
      <c r="L7" s="294" t="s">
        <v>697</v>
      </c>
      <c r="M7" s="295">
        <f ca="1">F7</f>
        <v>0</v>
      </c>
    </row>
    <row r="8" spans="1:37" ht="18" customHeight="1">
      <c r="A8" s="296"/>
      <c r="B8" s="3853"/>
      <c r="C8" s="298"/>
      <c r="D8" s="299"/>
      <c r="E8" s="294" t="s">
        <v>698</v>
      </c>
      <c r="F8" s="295">
        <f ca="1">INDIRECT("'数据-取费表'!ai"&amp;$G$1)</f>
        <v>0</v>
      </c>
      <c r="G8" s="1292"/>
      <c r="H8" s="296"/>
      <c r="I8" s="3853"/>
      <c r="J8" s="298"/>
      <c r="K8" s="299"/>
      <c r="L8" s="294" t="s">
        <v>698</v>
      </c>
      <c r="M8" s="295">
        <f ca="1">INDIRECT("'数据-取费表'!ai"&amp;$G$1)</f>
        <v>0</v>
      </c>
    </row>
    <row r="9" spans="1:37" ht="18" customHeight="1">
      <c r="A9" s="296"/>
      <c r="B9" s="3854"/>
      <c r="C9" s="298"/>
      <c r="D9" s="299"/>
      <c r="E9" s="294" t="s">
        <v>699</v>
      </c>
      <c r="F9" s="304">
        <f ca="1">INDIRECT("'数据-取费表'!w"&amp;$G$1)</f>
        <v>0</v>
      </c>
      <c r="G9" s="1292"/>
      <c r="H9" s="296"/>
      <c r="I9" s="385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3354</v>
      </c>
      <c r="B45" s="1307"/>
      <c r="C45" s="1376" t="e">
        <f ca="1">ROUND((C68-C40)/10000,4)</f>
        <v>#DIV/0!</v>
      </c>
      <c r="D45" s="3131" t="s">
        <v>3355</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850" t="s">
        <v>837</v>
      </c>
      <c r="L53" s="385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70" priority="3">
      <formula>$F$10="自定义"</formula>
    </cfRule>
  </conditionalFormatting>
  <conditionalFormatting sqref="C54">
    <cfRule type="expression" dxfId="169" priority="1">
      <formula>$F$53="自定义"</formula>
    </cfRule>
  </conditionalFormatting>
  <conditionalFormatting sqref="I55 I60">
    <cfRule type="expression" dxfId="168" priority="5">
      <formula>$J$51&gt;$L$48</formula>
    </cfRule>
  </conditionalFormatting>
  <conditionalFormatting sqref="J11">
    <cfRule type="expression" dxfId="167" priority="2">
      <formula>$M$10="自定义"</formula>
    </cfRule>
  </conditionalFormatting>
  <conditionalFormatting sqref="K55 K60">
    <cfRule type="expression" dxfId="16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15" customHeight="1">
      <c r="A2" s="1293" t="s">
        <v>2317</v>
      </c>
      <c r="B2" s="2595" t="e">
        <f>IF(D2="——",C40,C40+E2)</f>
        <v>#DIV/0!</v>
      </c>
      <c r="C2" s="2596" t="s">
        <v>2318</v>
      </c>
      <c r="D2" s="3139" t="s">
        <v>3361</v>
      </c>
      <c r="E2" s="3140"/>
      <c r="F2" s="2598"/>
      <c r="G2" s="2599"/>
      <c r="H2" s="2600"/>
      <c r="I2" s="2601"/>
      <c r="J2" s="3861" t="s">
        <v>2319</v>
      </c>
      <c r="K2" s="3862"/>
      <c r="L2" s="2602" t="s">
        <v>2320</v>
      </c>
      <c r="M2" s="2602" t="s">
        <v>2321</v>
      </c>
      <c r="N2" s="2602" t="s">
        <v>2322</v>
      </c>
      <c r="O2" s="2602" t="s">
        <v>2323</v>
      </c>
      <c r="P2" s="2602" t="s">
        <v>2324</v>
      </c>
      <c r="Q2" s="2603" t="s">
        <v>2325</v>
      </c>
      <c r="R2" s="2604" t="s">
        <v>2326</v>
      </c>
      <c r="S2" s="2593"/>
      <c r="T2" s="2593"/>
      <c r="U2" s="2593"/>
      <c r="V2" s="2601"/>
    </row>
    <row r="3" spans="1:22" s="2605" customFormat="1" ht="13.15" customHeight="1">
      <c r="A3" s="2606" t="s">
        <v>2327</v>
      </c>
      <c r="B3" s="2607" t="e">
        <f>ROUND(B2*10000/B4,0)</f>
        <v>#DIV/0!</v>
      </c>
      <c r="C3" s="2596" t="s">
        <v>2328</v>
      </c>
      <c r="D3" s="2596"/>
      <c r="E3" s="2597"/>
      <c r="F3" s="2598"/>
      <c r="G3" s="2599"/>
      <c r="H3" s="2600"/>
      <c r="I3" s="2601"/>
      <c r="J3" s="3863" t="s">
        <v>2329</v>
      </c>
      <c r="K3" s="3864"/>
      <c r="L3" s="2608"/>
      <c r="M3" s="2608"/>
      <c r="N3" s="2608"/>
      <c r="O3" s="2608"/>
      <c r="P3" s="2608"/>
      <c r="Q3" s="2609"/>
      <c r="R3" s="2610">
        <f>SUM(L3:Q3)</f>
        <v>0</v>
      </c>
      <c r="S3" s="2593"/>
      <c r="T3" s="2593"/>
      <c r="U3" s="2593"/>
      <c r="V3" s="2601"/>
    </row>
    <row r="4" spans="1:22" s="2605" customFormat="1" ht="13.15" customHeight="1">
      <c r="A4" s="2611" t="s">
        <v>2330</v>
      </c>
      <c r="B4" s="2612"/>
      <c r="C4" s="2596"/>
      <c r="D4" s="2596"/>
      <c r="E4" s="2597"/>
      <c r="F4" s="2598"/>
      <c r="G4" s="2599"/>
      <c r="H4" s="2600"/>
      <c r="I4" s="2601"/>
      <c r="J4" s="3863" t="s">
        <v>2331</v>
      </c>
      <c r="K4" s="3864"/>
      <c r="L4" s="2613"/>
      <c r="M4" s="2613"/>
      <c r="N4" s="2613"/>
      <c r="O4" s="2613"/>
      <c r="P4" s="2613"/>
      <c r="Q4" s="2614"/>
      <c r="R4" s="2615">
        <f>SUM(L4:Q4)</f>
        <v>0</v>
      </c>
      <c r="S4" s="2593"/>
      <c r="T4" s="2593"/>
      <c r="U4" s="2593"/>
      <c r="V4" s="2601"/>
    </row>
    <row r="5" spans="1:22" s="2605" customFormat="1" ht="13.15"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15" customHeight="1" thickBot="1">
      <c r="A6" s="3869" t="s">
        <v>2335</v>
      </c>
      <c r="B6" s="3870"/>
      <c r="C6" s="3871"/>
      <c r="D6" s="2622"/>
      <c r="E6" s="2623"/>
      <c r="F6" s="2624"/>
      <c r="G6" s="2625"/>
      <c r="H6" s="2600"/>
      <c r="I6" s="2601"/>
      <c r="J6" s="3855">
        <v>1</v>
      </c>
      <c r="K6" s="3856"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15" customHeight="1">
      <c r="A7" s="2628" t="s">
        <v>2345</v>
      </c>
      <c r="B7" s="2629"/>
      <c r="C7" s="2630"/>
      <c r="D7" s="2631">
        <f>SUM(D9,D10,D11,D17,0)</f>
        <v>0</v>
      </c>
      <c r="E7" s="2632" t="e">
        <f>E9+E10+E11+E17</f>
        <v>#DIV/0!</v>
      </c>
      <c r="F7" s="2633"/>
      <c r="G7" s="2634"/>
      <c r="H7" s="2600"/>
      <c r="I7" s="2601"/>
      <c r="J7" s="3855"/>
      <c r="K7" s="3857"/>
      <c r="L7" s="2635" t="s">
        <v>2346</v>
      </c>
      <c r="M7" s="2636"/>
      <c r="N7" s="2612"/>
      <c r="O7" s="2637"/>
      <c r="P7" s="2637"/>
      <c r="Q7" s="2638">
        <v>365</v>
      </c>
      <c r="R7" s="2639">
        <f>ROUND(M7*N7*O7*P7*Q7/10000,0)</f>
        <v>0</v>
      </c>
      <c r="S7" s="2593"/>
      <c r="T7" s="2593" t="s">
        <v>2347</v>
      </c>
      <c r="U7" s="2593"/>
      <c r="V7" s="2601"/>
    </row>
    <row r="8" spans="1:22" s="2605" customFormat="1" ht="13.15" customHeight="1">
      <c r="A8" s="2640" t="s">
        <v>2348</v>
      </c>
      <c r="B8" s="3872" t="s">
        <v>2349</v>
      </c>
      <c r="C8" s="3873"/>
      <c r="D8" s="2641" t="s">
        <v>2350</v>
      </c>
      <c r="E8" s="2642" t="s">
        <v>2351</v>
      </c>
      <c r="F8" s="2643" t="s">
        <v>2352</v>
      </c>
      <c r="G8" s="2644"/>
      <c r="H8" s="2600"/>
      <c r="I8" s="2601"/>
      <c r="J8" s="3855"/>
      <c r="K8" s="3857"/>
      <c r="L8" s="2635" t="s">
        <v>2353</v>
      </c>
      <c r="M8" s="2636"/>
      <c r="N8" s="2612"/>
      <c r="O8" s="2637"/>
      <c r="P8" s="2637"/>
      <c r="Q8" s="2638">
        <v>365</v>
      </c>
      <c r="R8" s="2639">
        <f t="shared" ref="R8:R13" si="0">ROUND(M8*N8*O8*P8*Q8/10000,0)</f>
        <v>0</v>
      </c>
      <c r="S8" s="2593"/>
      <c r="T8" s="2593" t="s">
        <v>2354</v>
      </c>
      <c r="U8" s="2593"/>
      <c r="V8" s="2601"/>
    </row>
    <row r="9" spans="1:22" s="2605" customFormat="1" ht="13.15" customHeight="1">
      <c r="A9" s="2640">
        <v>1</v>
      </c>
      <c r="B9" s="3872" t="s">
        <v>2355</v>
      </c>
      <c r="C9" s="3873"/>
      <c r="D9" s="2641">
        <f>ROUND(D6*E9,0)</f>
        <v>0</v>
      </c>
      <c r="E9" s="2645"/>
      <c r="F9" s="2646" t="s">
        <v>2356</v>
      </c>
      <c r="G9" s="2625"/>
      <c r="H9" s="2600"/>
      <c r="I9" s="2601"/>
      <c r="J9" s="3855"/>
      <c r="K9" s="3857"/>
      <c r="L9" s="2635" t="s">
        <v>2357</v>
      </c>
      <c r="M9" s="2636"/>
      <c r="N9" s="2612"/>
      <c r="O9" s="2637"/>
      <c r="P9" s="2637"/>
      <c r="Q9" s="2638">
        <v>365</v>
      </c>
      <c r="R9" s="2639">
        <f t="shared" si="0"/>
        <v>0</v>
      </c>
      <c r="S9" s="2593"/>
      <c r="T9" s="2593"/>
      <c r="U9" s="2593"/>
      <c r="V9" s="2601"/>
    </row>
    <row r="10" spans="1:22" s="2605" customFormat="1" ht="13.15" customHeight="1">
      <c r="A10" s="2640">
        <v>2</v>
      </c>
      <c r="B10" s="3872" t="s">
        <v>2358</v>
      </c>
      <c r="C10" s="3873"/>
      <c r="D10" s="2641">
        <f>ROUND(D6*E10,0)</f>
        <v>0</v>
      </c>
      <c r="E10" s="2645"/>
      <c r="F10" s="2646" t="s">
        <v>2359</v>
      </c>
      <c r="G10" s="2625"/>
      <c r="H10" s="2600"/>
      <c r="I10" s="2601"/>
      <c r="J10" s="3855"/>
      <c r="K10" s="3857"/>
      <c r="L10" s="2635" t="s">
        <v>2360</v>
      </c>
      <c r="M10" s="2636"/>
      <c r="N10" s="2612"/>
      <c r="O10" s="2637"/>
      <c r="P10" s="2637"/>
      <c r="Q10" s="2638">
        <v>365</v>
      </c>
      <c r="R10" s="2639">
        <f t="shared" si="0"/>
        <v>0</v>
      </c>
      <c r="S10" s="2593"/>
      <c r="T10" s="2593"/>
      <c r="U10" s="2593"/>
      <c r="V10" s="2601"/>
    </row>
    <row r="11" spans="1:22" s="2605" customFormat="1" ht="13.15" customHeight="1">
      <c r="A11" s="2640">
        <v>3</v>
      </c>
      <c r="B11" s="3872" t="s">
        <v>2361</v>
      </c>
      <c r="C11" s="3873"/>
      <c r="D11" s="2641">
        <f>D12+D14+D15+D16</f>
        <v>0</v>
      </c>
      <c r="E11" s="2647" t="e">
        <f>D11/D6</f>
        <v>#DIV/0!</v>
      </c>
      <c r="F11" s="2643"/>
      <c r="G11" s="2644"/>
      <c r="H11" s="2600"/>
      <c r="I11" s="2601"/>
      <c r="J11" s="3855"/>
      <c r="K11" s="3857"/>
      <c r="L11" s="2635" t="s">
        <v>2362</v>
      </c>
      <c r="M11" s="2636"/>
      <c r="N11" s="2612"/>
      <c r="O11" s="2637"/>
      <c r="P11" s="2637"/>
      <c r="Q11" s="2638">
        <v>365</v>
      </c>
      <c r="R11" s="2639">
        <f t="shared" si="0"/>
        <v>0</v>
      </c>
      <c r="S11" s="2593"/>
      <c r="T11" s="2593"/>
      <c r="U11" s="2593"/>
      <c r="V11" s="2601"/>
    </row>
    <row r="12" spans="1:22" s="2605" customFormat="1" ht="13.15" customHeight="1">
      <c r="A12" s="2648" t="s">
        <v>2363</v>
      </c>
      <c r="B12" s="3865" t="s">
        <v>2364</v>
      </c>
      <c r="C12" s="3866"/>
      <c r="D12" s="2649">
        <f>ROUND(D13*1.2%*(1-30%),0)</f>
        <v>0</v>
      </c>
      <c r="E12" s="2650">
        <v>1.2E-2</v>
      </c>
      <c r="F12" s="2643" t="s">
        <v>2365</v>
      </c>
      <c r="G12" s="2644"/>
      <c r="H12" s="2600"/>
      <c r="I12" s="2601"/>
      <c r="J12" s="3855"/>
      <c r="K12" s="3857"/>
      <c r="L12" s="2635" t="s">
        <v>2366</v>
      </c>
      <c r="M12" s="2636"/>
      <c r="N12" s="2612"/>
      <c r="O12" s="2637"/>
      <c r="P12" s="2637"/>
      <c r="Q12" s="2638">
        <v>365</v>
      </c>
      <c r="R12" s="2639">
        <f t="shared" si="0"/>
        <v>0</v>
      </c>
      <c r="S12" s="2593"/>
      <c r="T12" s="2593"/>
      <c r="U12" s="2593"/>
      <c r="V12" s="2601"/>
    </row>
    <row r="13" spans="1:22" s="2605" customFormat="1" ht="13.15" customHeight="1">
      <c r="A13" s="2648"/>
      <c r="B13" s="2651"/>
      <c r="C13" s="2652" t="s">
        <v>2367</v>
      </c>
      <c r="D13" s="2653"/>
      <c r="E13" s="2654"/>
      <c r="F13" s="2643"/>
      <c r="G13" s="2644"/>
      <c r="H13" s="2600"/>
      <c r="I13" s="2601"/>
      <c r="J13" s="3855"/>
      <c r="K13" s="3857"/>
      <c r="L13" s="2635" t="s">
        <v>2368</v>
      </c>
      <c r="M13" s="2636"/>
      <c r="N13" s="2612"/>
      <c r="O13" s="2637"/>
      <c r="P13" s="2637"/>
      <c r="Q13" s="2638">
        <v>365</v>
      </c>
      <c r="R13" s="2639">
        <f t="shared" si="0"/>
        <v>0</v>
      </c>
      <c r="S13" s="2593"/>
      <c r="T13" s="2593"/>
      <c r="U13" s="2593"/>
      <c r="V13" s="2601"/>
    </row>
    <row r="14" spans="1:22" s="2605" customFormat="1" ht="13.15" customHeight="1">
      <c r="A14" s="2648" t="s">
        <v>2369</v>
      </c>
      <c r="B14" s="3865" t="s">
        <v>2370</v>
      </c>
      <c r="C14" s="3866"/>
      <c r="D14" s="2649">
        <f>ROUND(E14*B5/10000,0)</f>
        <v>0</v>
      </c>
      <c r="E14" s="2638"/>
      <c r="F14" s="2643" t="s">
        <v>2371</v>
      </c>
      <c r="G14" s="2644"/>
      <c r="H14" s="2600"/>
      <c r="I14" s="2601"/>
      <c r="J14" s="3855"/>
      <c r="K14" s="3858"/>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2373</v>
      </c>
      <c r="B15" s="3865" t="s">
        <v>2374</v>
      </c>
      <c r="C15" s="3866"/>
      <c r="D15" s="2649">
        <f>ROUND(D6*E15,0)</f>
        <v>0</v>
      </c>
      <c r="E15" s="2650">
        <v>5.5E-2</v>
      </c>
      <c r="F15" s="2643" t="s">
        <v>2375</v>
      </c>
      <c r="G15" s="2625"/>
      <c r="H15" s="2600"/>
      <c r="I15" s="2601"/>
      <c r="J15" s="3855">
        <v>2</v>
      </c>
      <c r="K15" s="3856"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15" customHeight="1">
      <c r="A16" s="2648" t="s">
        <v>2382</v>
      </c>
      <c r="B16" s="3865" t="s">
        <v>2383</v>
      </c>
      <c r="C16" s="3866"/>
      <c r="D16" s="2660">
        <f>D6*E16</f>
        <v>0</v>
      </c>
      <c r="E16" s="2661"/>
      <c r="F16" s="2646" t="s">
        <v>2384</v>
      </c>
      <c r="G16" s="2625"/>
      <c r="H16" s="2600"/>
      <c r="I16" s="2601"/>
      <c r="J16" s="3855"/>
      <c r="K16" s="3857"/>
      <c r="L16" s="2635" t="s">
        <v>2385</v>
      </c>
      <c r="M16" s="2636"/>
      <c r="N16" s="2636"/>
      <c r="O16" s="2637"/>
      <c r="P16" s="2638">
        <v>365</v>
      </c>
      <c r="Q16" s="2612"/>
      <c r="R16" s="2659">
        <f>ROUND(M16*N16*O16*P16/10000,0)</f>
        <v>0</v>
      </c>
      <c r="S16" s="2593"/>
      <c r="T16" s="2593"/>
      <c r="U16" s="2593"/>
      <c r="V16" s="2601"/>
    </row>
    <row r="17" spans="1:22" s="2605" customFormat="1" ht="13.15" customHeight="1" thickBot="1">
      <c r="A17" s="2662">
        <v>4</v>
      </c>
      <c r="B17" s="3867" t="s">
        <v>2386</v>
      </c>
      <c r="C17" s="3868"/>
      <c r="D17" s="2663">
        <f>ROUND(D6*E17,0)</f>
        <v>0</v>
      </c>
      <c r="E17" s="2664"/>
      <c r="F17" s="2665" t="s">
        <v>2387</v>
      </c>
      <c r="G17" s="2625"/>
      <c r="H17" s="2600"/>
      <c r="I17" s="2601"/>
      <c r="J17" s="3855"/>
      <c r="K17" s="3857"/>
      <c r="L17" s="2635" t="s">
        <v>2388</v>
      </c>
      <c r="M17" s="2636"/>
      <c r="N17" s="2636"/>
      <c r="O17" s="2637"/>
      <c r="P17" s="2638">
        <v>365</v>
      </c>
      <c r="Q17" s="2612"/>
      <c r="R17" s="2659">
        <f>ROUND(M17*N17*O17*P17/10000,0)</f>
        <v>0</v>
      </c>
      <c r="S17" s="2593"/>
      <c r="T17" s="2593"/>
      <c r="U17" s="2593"/>
      <c r="V17" s="2601"/>
    </row>
    <row r="18" spans="1:22" s="2605" customFormat="1" ht="13.15" customHeight="1" thickBot="1">
      <c r="A18" s="2628" t="s">
        <v>2389</v>
      </c>
      <c r="B18" s="2629"/>
      <c r="C18" s="2629"/>
      <c r="D18" s="2666">
        <f>ROUND(D6*E18,0)</f>
        <v>0</v>
      </c>
      <c r="E18" s="2667"/>
      <c r="F18" s="2668" t="s">
        <v>2390</v>
      </c>
      <c r="G18" s="2625"/>
      <c r="H18" s="2600"/>
      <c r="I18" s="2601"/>
      <c r="J18" s="3855"/>
      <c r="K18" s="3857"/>
      <c r="L18" s="2635" t="s">
        <v>2391</v>
      </c>
      <c r="M18" s="2636"/>
      <c r="N18" s="2636"/>
      <c r="O18" s="2637"/>
      <c r="P18" s="2638">
        <v>365</v>
      </c>
      <c r="Q18" s="2612"/>
      <c r="R18" s="2659">
        <f>ROUND(M18*N18*O18*P18/10000,0)</f>
        <v>0</v>
      </c>
      <c r="S18" s="2593"/>
      <c r="T18" s="2593"/>
      <c r="U18" s="2593"/>
      <c r="V18" s="2601"/>
    </row>
    <row r="19" spans="1:22" s="2605" customFormat="1" ht="13.15" customHeight="1" thickBot="1">
      <c r="A19" s="2669" t="s">
        <v>2392</v>
      </c>
      <c r="B19" s="2623"/>
      <c r="C19" s="2623"/>
      <c r="D19" s="2623"/>
      <c r="E19" s="2623"/>
      <c r="F19" s="2624"/>
      <c r="G19" s="2644"/>
      <c r="H19" s="2600"/>
      <c r="I19" s="2601"/>
      <c r="J19" s="3855"/>
      <c r="K19" s="3858"/>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855">
        <v>3</v>
      </c>
      <c r="K20" s="3856"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15" customHeight="1">
      <c r="A21" s="2628"/>
      <c r="B21" s="2629"/>
      <c r="C21" s="2674" t="s">
        <v>2401</v>
      </c>
      <c r="D21" s="2675" t="s">
        <v>2402</v>
      </c>
      <c r="E21" s="2676" t="s">
        <v>2403</v>
      </c>
      <c r="F21" s="2672"/>
      <c r="G21" s="2644"/>
      <c r="H21" s="2600"/>
      <c r="I21" s="2601"/>
      <c r="J21" s="3855"/>
      <c r="K21" s="3857"/>
      <c r="L21" s="2635" t="s">
        <v>2404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2405</v>
      </c>
      <c r="D22" s="2679" t="s">
        <v>2406</v>
      </c>
      <c r="E22" s="2680" t="s">
        <v>2407</v>
      </c>
      <c r="F22" s="2672"/>
      <c r="G22" s="2593"/>
      <c r="H22" s="2600"/>
      <c r="I22" s="2601"/>
      <c r="J22" s="3855"/>
      <c r="K22" s="3857"/>
      <c r="L22" s="2635" t="s">
        <v>2408</v>
      </c>
      <c r="M22" s="2636"/>
      <c r="N22" s="2636"/>
      <c r="O22" s="2637"/>
      <c r="P22" s="2638">
        <v>365</v>
      </c>
      <c r="Q22" s="2612"/>
      <c r="R22" s="2677">
        <f>ROUND(M22*N22*O22*P22/10000,0)</f>
        <v>0</v>
      </c>
      <c r="S22" s="2593"/>
      <c r="T22" s="2593"/>
      <c r="U22" s="2593"/>
      <c r="V22" s="2601"/>
    </row>
    <row r="23" spans="1:22" s="2605" customFormat="1" ht="13.15" customHeight="1">
      <c r="A23" s="2681">
        <v>1</v>
      </c>
      <c r="B23" s="2682" t="s">
        <v>2409</v>
      </c>
      <c r="C23" s="2683">
        <f>D6</f>
        <v>0</v>
      </c>
      <c r="D23" s="2684">
        <f>C23*(1+D24)</f>
        <v>0</v>
      </c>
      <c r="E23" s="2685">
        <f>D23*(1+E24)</f>
        <v>0</v>
      </c>
      <c r="F23" s="2686"/>
      <c r="G23" s="2687"/>
      <c r="H23" s="2600"/>
      <c r="I23" s="2601"/>
      <c r="J23" s="3855"/>
      <c r="K23" s="3857"/>
      <c r="L23" s="2635" t="s">
        <v>2410</v>
      </c>
      <c r="M23" s="2636"/>
      <c r="N23" s="2636"/>
      <c r="O23" s="2637"/>
      <c r="P23" s="2638">
        <v>365</v>
      </c>
      <c r="Q23" s="2612"/>
      <c r="R23" s="2677">
        <f>ROUND(M23*N23*O23*P23/10000,0)</f>
        <v>0</v>
      </c>
      <c r="S23" s="2593"/>
      <c r="T23" s="2593"/>
      <c r="U23" s="2593"/>
      <c r="V23" s="2601"/>
    </row>
    <row r="24" spans="1:22" s="2605" customFormat="1" ht="13.15" customHeight="1">
      <c r="A24" s="2688"/>
      <c r="B24" s="2689" t="s">
        <v>2411</v>
      </c>
      <c r="C24" s="2690"/>
      <c r="D24" s="2691"/>
      <c r="E24" s="2692"/>
      <c r="F24" s="2693"/>
      <c r="G24" s="2687"/>
      <c r="H24" s="2600"/>
      <c r="I24" s="2601"/>
      <c r="J24" s="3855"/>
      <c r="K24" s="3858"/>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15" customHeight="1">
      <c r="A26" s="2681">
        <v>2</v>
      </c>
      <c r="B26" s="2682" t="s">
        <v>2413</v>
      </c>
      <c r="C26" s="2683">
        <f>D7</f>
        <v>0</v>
      </c>
      <c r="D26" s="2684">
        <f>D23*D27</f>
        <v>0</v>
      </c>
      <c r="E26" s="2685">
        <f>E23*E27</f>
        <v>0</v>
      </c>
      <c r="F26" s="2686"/>
      <c r="G26" s="2687"/>
      <c r="H26" s="2600"/>
      <c r="I26" s="2601"/>
      <c r="J26" s="3859">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15" customHeight="1">
      <c r="A27" s="2688"/>
      <c r="B27" s="2689" t="s">
        <v>2419</v>
      </c>
      <c r="C27" s="2706" t="e">
        <f>E7</f>
        <v>#DIV/0!</v>
      </c>
      <c r="D27" s="2691"/>
      <c r="E27" s="2692"/>
      <c r="F27" s="2693"/>
      <c r="G27" s="2687"/>
      <c r="H27" s="2707"/>
      <c r="I27" s="2699"/>
      <c r="J27" s="386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15"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15" customHeight="1">
      <c r="A32" s="2681">
        <v>4</v>
      </c>
      <c r="B32" s="2682" t="s">
        <v>2427</v>
      </c>
      <c r="C32" s="2683">
        <f>C23-C26-C29</f>
        <v>0</v>
      </c>
      <c r="D32" s="2684">
        <f>D23-D26-D29</f>
        <v>0</v>
      </c>
      <c r="E32" s="2685">
        <f>E23-E26-E29</f>
        <v>0</v>
      </c>
      <c r="F32" s="2686"/>
      <c r="G32" s="2593"/>
      <c r="H32" s="2600"/>
      <c r="I32" s="2601"/>
      <c r="J32" s="3861" t="s">
        <v>2319</v>
      </c>
      <c r="K32" s="3862"/>
      <c r="L32" s="2602" t="s">
        <v>2320</v>
      </c>
      <c r="M32" s="2602" t="s">
        <v>2321</v>
      </c>
      <c r="N32" s="2602" t="s">
        <v>2322</v>
      </c>
      <c r="O32" s="2602" t="s">
        <v>2323</v>
      </c>
      <c r="P32" s="2602" t="s">
        <v>2324</v>
      </c>
      <c r="Q32" s="2603" t="s">
        <v>2325</v>
      </c>
      <c r="R32" s="2722" t="s">
        <v>2326</v>
      </c>
      <c r="S32" s="2593"/>
      <c r="T32" s="2593"/>
      <c r="U32" s="2593"/>
      <c r="V32" s="2699"/>
    </row>
    <row r="33" spans="1:23" s="2605" customFormat="1" ht="13.15" customHeight="1">
      <c r="A33" s="2681"/>
      <c r="B33" s="2682"/>
      <c r="C33" s="2683"/>
      <c r="D33" s="2723"/>
      <c r="E33" s="2724"/>
      <c r="F33" s="2686"/>
      <c r="G33" s="2593"/>
      <c r="H33" s="2707"/>
      <c r="I33" s="2699"/>
      <c r="J33" s="3863" t="s">
        <v>2329</v>
      </c>
      <c r="K33" s="3864"/>
      <c r="L33" s="2608"/>
      <c r="M33" s="2608"/>
      <c r="N33" s="2608"/>
      <c r="O33" s="2608"/>
      <c r="P33" s="2608"/>
      <c r="Q33" s="2609"/>
      <c r="R33" s="2725">
        <f>SUM(L33:Q33)</f>
        <v>0</v>
      </c>
      <c r="S33" s="2593"/>
      <c r="T33" s="2593"/>
      <c r="U33" s="2593"/>
      <c r="V33" s="2601"/>
    </row>
    <row r="34" spans="1:23" s="2605" customFormat="1" ht="13.15" customHeight="1">
      <c r="A34" s="2681">
        <v>5</v>
      </c>
      <c r="B34" s="2682" t="s">
        <v>2428</v>
      </c>
      <c r="C34" s="2726"/>
      <c r="D34" s="2727"/>
      <c r="E34" s="2728"/>
      <c r="F34" s="2686"/>
      <c r="G34" s="2593"/>
      <c r="H34" s="2707"/>
      <c r="I34" s="2699"/>
      <c r="J34" s="3863" t="s">
        <v>2331</v>
      </c>
      <c r="K34" s="386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15" customHeight="1" thickBot="1">
      <c r="A36" s="2681">
        <v>7</v>
      </c>
      <c r="B36" s="2735" t="s">
        <v>2430</v>
      </c>
      <c r="C36" s="2736"/>
      <c r="D36" s="2737"/>
      <c r="E36" s="2738"/>
      <c r="F36" s="2739">
        <f>C36+D36+E36</f>
        <v>0</v>
      </c>
      <c r="G36" s="2593"/>
      <c r="H36" s="2600"/>
      <c r="I36" s="2601"/>
      <c r="J36" s="3855">
        <v>1</v>
      </c>
      <c r="K36" s="3856" t="s">
        <v>2431</v>
      </c>
      <c r="L36" s="2626"/>
      <c r="M36" s="2627"/>
      <c r="N36" s="2627"/>
      <c r="O36" s="2627"/>
      <c r="P36" s="2627"/>
      <c r="Q36" s="2627"/>
      <c r="R36" s="2610" t="s">
        <v>2343</v>
      </c>
      <c r="S36" s="2593"/>
      <c r="T36" s="2593" t="s">
        <v>2344</v>
      </c>
      <c r="U36" s="2593"/>
      <c r="V36" s="2601"/>
    </row>
    <row r="37" spans="1:23" s="2605" customFormat="1" ht="13.15" customHeight="1">
      <c r="A37" s="2681"/>
      <c r="B37" s="2682"/>
      <c r="C37" s="2682"/>
      <c r="D37" s="2682"/>
      <c r="E37" s="2682"/>
      <c r="F37" s="2686"/>
      <c r="G37" s="2593"/>
      <c r="H37" s="2600"/>
      <c r="I37" s="2601"/>
      <c r="J37" s="3855"/>
      <c r="K37" s="3857"/>
      <c r="L37" s="2635"/>
      <c r="M37" s="2636"/>
      <c r="N37" s="2612"/>
      <c r="O37" s="2637"/>
      <c r="P37" s="2637"/>
      <c r="Q37" s="2638"/>
      <c r="R37" s="2639"/>
      <c r="S37" s="2593"/>
      <c r="T37" s="2593" t="s">
        <v>2347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855"/>
      <c r="K38" s="3857"/>
      <c r="L38" s="2635"/>
      <c r="M38" s="2636"/>
      <c r="N38" s="2612"/>
      <c r="O38" s="2637"/>
      <c r="P38" s="2637"/>
      <c r="Q38" s="2638"/>
      <c r="R38" s="2639"/>
      <c r="S38" s="2593"/>
      <c r="T38" s="2593" t="s">
        <v>2354</v>
      </c>
      <c r="U38" s="2593"/>
      <c r="V38" s="2601"/>
    </row>
    <row r="39" spans="1:23" s="2605" customFormat="1" ht="13.15" customHeight="1">
      <c r="A39" s="2681">
        <v>9</v>
      </c>
      <c r="B39" s="2682" t="s">
        <v>2432</v>
      </c>
      <c r="C39" s="2649" t="e">
        <f>C38</f>
        <v>#DIV/0!</v>
      </c>
      <c r="D39" s="2682">
        <f>D38/(1+D34)^C36</f>
        <v>0</v>
      </c>
      <c r="E39" s="2682">
        <f>E38/(1+E34)^(C36+D36)</f>
        <v>0</v>
      </c>
      <c r="F39" s="2686"/>
      <c r="G39" s="2601"/>
      <c r="H39" s="2600"/>
      <c r="I39" s="2601"/>
      <c r="J39" s="3855"/>
      <c r="K39" s="3857"/>
      <c r="L39" s="2635"/>
      <c r="M39" s="2636"/>
      <c r="N39" s="2612"/>
      <c r="O39" s="2637"/>
      <c r="P39" s="2637"/>
      <c r="Q39" s="2638"/>
      <c r="R39" s="2639"/>
      <c r="S39" s="2593"/>
      <c r="T39" s="2593"/>
      <c r="U39" s="2593"/>
      <c r="V39" s="2601"/>
    </row>
    <row r="40" spans="1:23" s="2605" customFormat="1" ht="13.15" customHeight="1">
      <c r="A40" s="2740">
        <v>10</v>
      </c>
      <c r="B40" s="2682" t="s">
        <v>2433</v>
      </c>
      <c r="C40" s="2741" t="e">
        <f>C39+D39+E39</f>
        <v>#DIV/0!</v>
      </c>
      <c r="D40" s="2742"/>
      <c r="E40" s="2742"/>
      <c r="F40" s="2743"/>
      <c r="G40" s="2593"/>
      <c r="H40" s="2600"/>
      <c r="I40" s="2601"/>
      <c r="J40" s="3855"/>
      <c r="K40" s="3858"/>
      <c r="L40" s="2655" t="s">
        <v>2372</v>
      </c>
      <c r="M40" s="2656"/>
      <c r="N40" s="2656"/>
      <c r="O40" s="2657"/>
      <c r="P40" s="2657"/>
      <c r="Q40" s="2658"/>
      <c r="R40" s="2604">
        <f>SUM(R37:R39)</f>
        <v>0</v>
      </c>
      <c r="S40" s="2593"/>
      <c r="T40" s="2593"/>
      <c r="U40" s="2593"/>
      <c r="V40" s="2601"/>
    </row>
    <row r="41" spans="1:23" s="2605" customFormat="1" ht="13.15"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15" customHeight="1">
      <c r="G42" s="2600"/>
      <c r="H42" s="2600"/>
      <c r="I42" s="2601"/>
      <c r="J42" s="3859">
        <v>3</v>
      </c>
      <c r="K42" s="2701" t="s">
        <v>2414</v>
      </c>
      <c r="L42" s="2702"/>
      <c r="M42" s="2703"/>
      <c r="N42" s="2704" t="s">
        <v>2415</v>
      </c>
      <c r="O42" s="2704" t="s">
        <v>2416</v>
      </c>
      <c r="P42" s="2705" t="s">
        <v>2417</v>
      </c>
      <c r="Q42" s="2705" t="s">
        <v>2418</v>
      </c>
      <c r="R42" s="2610" t="s">
        <v>2343</v>
      </c>
      <c r="S42" s="2644"/>
      <c r="T42" s="2644"/>
      <c r="U42" s="2593"/>
      <c r="V42" s="2601"/>
    </row>
    <row r="43" spans="1:23" ht="13.15" customHeight="1">
      <c r="A43" s="2605"/>
      <c r="B43" s="2605"/>
      <c r="C43" s="2605"/>
      <c r="D43" s="2605"/>
      <c r="E43" s="2605"/>
      <c r="F43" s="2605"/>
      <c r="I43" s="2588"/>
      <c r="J43" s="386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46330.329999999994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892" t="s">
        <v>1667</v>
      </c>
      <c r="D4" s="3893"/>
      <c r="E4" s="3894" t="s">
        <v>1668</v>
      </c>
      <c r="F4" s="3895"/>
      <c r="G4" s="3892" t="s">
        <v>1669</v>
      </c>
      <c r="H4" s="3893"/>
      <c r="I4" s="3892" t="s">
        <v>1670</v>
      </c>
      <c r="J4" s="3893"/>
      <c r="K4" s="1744" t="s">
        <v>1671</v>
      </c>
      <c r="L4" s="2487"/>
      <c r="M4" s="2488"/>
      <c r="N4" s="2488"/>
      <c r="O4" s="2488"/>
      <c r="P4" s="3896" t="s">
        <v>1672</v>
      </c>
      <c r="Q4" s="3897"/>
      <c r="R4" s="3902" t="s">
        <v>1668</v>
      </c>
      <c r="S4" s="3903"/>
      <c r="T4" s="3902" t="s">
        <v>1669</v>
      </c>
      <c r="U4" s="3903"/>
      <c r="V4" s="3878" t="s">
        <v>1670</v>
      </c>
      <c r="W4" s="3878"/>
      <c r="X4" s="1265"/>
      <c r="Y4" s="3902" t="s">
        <v>1672</v>
      </c>
      <c r="Z4" s="3903"/>
      <c r="AA4" s="3889" t="s">
        <v>1668</v>
      </c>
      <c r="AB4" s="3889" t="s">
        <v>1669</v>
      </c>
      <c r="AC4" s="3889" t="s">
        <v>1670</v>
      </c>
    </row>
    <row r="5" spans="1:29" ht="15">
      <c r="A5" s="348"/>
      <c r="B5" s="349"/>
      <c r="C5" s="3910" t="s">
        <v>1673</v>
      </c>
      <c r="D5" s="3911"/>
      <c r="E5" s="3917" t="s">
        <v>1674</v>
      </c>
      <c r="F5" s="3918"/>
      <c r="G5" s="3910" t="s">
        <v>1675</v>
      </c>
      <c r="H5" s="3911"/>
      <c r="I5" s="3910" t="s">
        <v>1676</v>
      </c>
      <c r="J5" s="3911"/>
      <c r="K5" s="1745"/>
      <c r="L5" s="2487"/>
      <c r="M5" s="2488"/>
      <c r="N5" s="2488"/>
      <c r="O5" s="2488"/>
      <c r="P5" s="3898"/>
      <c r="Q5" s="3899"/>
      <c r="R5" s="3904"/>
      <c r="S5" s="3905"/>
      <c r="T5" s="3904"/>
      <c r="U5" s="3905"/>
      <c r="V5" s="3878"/>
      <c r="W5" s="3878"/>
      <c r="X5" s="1265"/>
      <c r="Y5" s="3904"/>
      <c r="Z5" s="3905"/>
      <c r="AA5" s="3890"/>
      <c r="AB5" s="3890"/>
      <c r="AC5" s="3890"/>
    </row>
    <row r="6" spans="1:29" ht="15.75" thickBot="1">
      <c r="A6" s="350"/>
      <c r="B6" s="351"/>
      <c r="C6" s="3908" t="s">
        <v>1677</v>
      </c>
      <c r="D6" s="3909"/>
      <c r="E6" s="3915" t="s">
        <v>1677</v>
      </c>
      <c r="F6" s="3916"/>
      <c r="G6" s="3908" t="s">
        <v>1677</v>
      </c>
      <c r="H6" s="3909"/>
      <c r="I6" s="3908" t="s">
        <v>1677</v>
      </c>
      <c r="J6" s="3909"/>
      <c r="K6" s="1745" t="s">
        <v>1678</v>
      </c>
      <c r="L6" s="2487"/>
      <c r="M6" s="2488"/>
      <c r="N6" s="2488"/>
      <c r="O6" s="2488"/>
      <c r="P6" s="3900"/>
      <c r="Q6" s="3901"/>
      <c r="R6" s="3904"/>
      <c r="S6" s="3905"/>
      <c r="T6" s="3906"/>
      <c r="U6" s="3907"/>
      <c r="V6" s="3878"/>
      <c r="W6" s="3878"/>
      <c r="X6" s="1265"/>
      <c r="Y6" s="3906"/>
      <c r="Z6" s="3907"/>
      <c r="AA6" s="3891"/>
      <c r="AB6" s="3891"/>
      <c r="AC6" s="3891"/>
    </row>
    <row r="7" spans="1:29" s="102" customFormat="1" ht="15.75" thickBot="1">
      <c r="A7" s="352" t="s">
        <v>1679</v>
      </c>
      <c r="B7" s="353"/>
      <c r="C7" s="354">
        <f>'数据-取费表'!B2</f>
        <v>45473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912" t="s">
        <v>1680</v>
      </c>
      <c r="Q7" s="3914"/>
      <c r="R7" s="664" t="s">
        <v>20</v>
      </c>
      <c r="S7" s="665">
        <f t="shared" ref="S7:S15" si="0">F7</f>
        <v>0</v>
      </c>
      <c r="T7" s="664" t="s">
        <v>20</v>
      </c>
      <c r="U7" s="665">
        <f t="shared" ref="U7:U15" si="1">H7</f>
        <v>0</v>
      </c>
      <c r="V7" s="664" t="s">
        <v>20</v>
      </c>
      <c r="W7" s="665">
        <f t="shared" ref="W7:W15" si="2">J7</f>
        <v>0</v>
      </c>
      <c r="X7" s="666"/>
      <c r="Y7" s="3912" t="s">
        <v>1680</v>
      </c>
      <c r="Z7" s="391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912" t="s">
        <v>1683</v>
      </c>
      <c r="Q8" s="3913"/>
      <c r="R8" s="664" t="s">
        <v>20</v>
      </c>
      <c r="S8" s="665">
        <f t="shared" si="0"/>
        <v>100</v>
      </c>
      <c r="T8" s="664" t="s">
        <v>20</v>
      </c>
      <c r="U8" s="665">
        <f t="shared" si="1"/>
        <v>100</v>
      </c>
      <c r="V8" s="664" t="s">
        <v>20</v>
      </c>
      <c r="W8" s="665">
        <f t="shared" si="2"/>
        <v>100</v>
      </c>
      <c r="X8" s="666"/>
      <c r="Y8" s="3912" t="s">
        <v>1683</v>
      </c>
      <c r="Z8" s="391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888" t="s">
        <v>1686</v>
      </c>
      <c r="Q9" s="530" t="str">
        <f t="shared" ref="Q9:Q15" si="6">B9</f>
        <v>用途</v>
      </c>
      <c r="R9" s="664" t="s">
        <v>14</v>
      </c>
      <c r="S9" s="665">
        <f t="shared" si="0"/>
        <v>100</v>
      </c>
      <c r="T9" s="664" t="s">
        <v>14</v>
      </c>
      <c r="U9" s="665">
        <f t="shared" si="1"/>
        <v>100</v>
      </c>
      <c r="V9" s="664" t="s">
        <v>14</v>
      </c>
      <c r="W9" s="665">
        <f t="shared" si="2"/>
        <v>100</v>
      </c>
      <c r="X9" s="666"/>
      <c r="Y9" s="373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888"/>
      <c r="Q10" s="530" t="str">
        <f t="shared" si="6"/>
        <v>土地使用年限（年）</v>
      </c>
      <c r="R10" s="664" t="s">
        <v>14</v>
      </c>
      <c r="S10" s="665">
        <f t="shared" si="0"/>
        <v>100</v>
      </c>
      <c r="T10" s="664" t="s">
        <v>14</v>
      </c>
      <c r="U10" s="665">
        <f t="shared" si="1"/>
        <v>100</v>
      </c>
      <c r="V10" s="664" t="s">
        <v>14</v>
      </c>
      <c r="W10" s="665">
        <f t="shared" si="2"/>
        <v>100</v>
      </c>
      <c r="X10" s="666"/>
      <c r="Y10" s="373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888"/>
      <c r="Q11" s="530" t="str">
        <f t="shared" si="6"/>
        <v>容积率</v>
      </c>
      <c r="R11" s="664" t="s">
        <v>18</v>
      </c>
      <c r="S11" s="665" t="e">
        <f t="shared" si="0"/>
        <v>#N/A</v>
      </c>
      <c r="T11" s="664" t="s">
        <v>18</v>
      </c>
      <c r="U11" s="665" t="e">
        <f t="shared" si="1"/>
        <v>#N/A</v>
      </c>
      <c r="V11" s="664" t="s">
        <v>18</v>
      </c>
      <c r="W11" s="665" t="e">
        <f t="shared" si="2"/>
        <v>#N/A</v>
      </c>
      <c r="X11" s="666"/>
      <c r="Y11" s="373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888"/>
      <c r="Q12" s="530">
        <f t="shared" si="6"/>
        <v>111</v>
      </c>
      <c r="R12" s="664" t="s">
        <v>18</v>
      </c>
      <c r="S12" s="665">
        <f t="shared" si="0"/>
        <v>100</v>
      </c>
      <c r="T12" s="664" t="s">
        <v>18</v>
      </c>
      <c r="U12" s="665">
        <f t="shared" si="1"/>
        <v>100</v>
      </c>
      <c r="V12" s="664" t="s">
        <v>18</v>
      </c>
      <c r="W12" s="665">
        <f t="shared" si="2"/>
        <v>100</v>
      </c>
      <c r="X12" s="666"/>
      <c r="Y12" s="37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888"/>
      <c r="Q13" s="530">
        <f t="shared" si="6"/>
        <v>111</v>
      </c>
      <c r="R13" s="664" t="s">
        <v>18</v>
      </c>
      <c r="S13" s="665">
        <f t="shared" si="0"/>
        <v>100</v>
      </c>
      <c r="T13" s="664" t="s">
        <v>18</v>
      </c>
      <c r="U13" s="665">
        <f t="shared" si="1"/>
        <v>100</v>
      </c>
      <c r="V13" s="664" t="s">
        <v>18</v>
      </c>
      <c r="W13" s="665">
        <f t="shared" si="2"/>
        <v>100</v>
      </c>
      <c r="X13" s="666"/>
      <c r="Y13" s="373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888"/>
      <c r="Q14" s="530">
        <f t="shared" si="6"/>
        <v>111</v>
      </c>
      <c r="R14" s="664" t="s">
        <v>18</v>
      </c>
      <c r="S14" s="665">
        <f t="shared" si="0"/>
        <v>100</v>
      </c>
      <c r="T14" s="664" t="s">
        <v>18</v>
      </c>
      <c r="U14" s="665">
        <f t="shared" si="1"/>
        <v>100</v>
      </c>
      <c r="V14" s="664" t="s">
        <v>18</v>
      </c>
      <c r="W14" s="665">
        <f t="shared" si="2"/>
        <v>100</v>
      </c>
      <c r="X14" s="666"/>
      <c r="Y14" s="373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886" t="s">
        <v>1691</v>
      </c>
      <c r="Q15" s="1263" t="str">
        <f t="shared" si="6"/>
        <v>居住社区成熟度</v>
      </c>
      <c r="R15" s="667" t="s">
        <v>18</v>
      </c>
      <c r="S15" s="668">
        <f t="shared" si="0"/>
        <v>100</v>
      </c>
      <c r="T15" s="667" t="s">
        <v>18</v>
      </c>
      <c r="U15" s="668">
        <f t="shared" si="1"/>
        <v>100</v>
      </c>
      <c r="V15" s="667" t="s">
        <v>18</v>
      </c>
      <c r="W15" s="668">
        <f t="shared" si="2"/>
        <v>100</v>
      </c>
      <c r="X15" s="1265"/>
      <c r="Y15" s="387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887"/>
      <c r="Q16" s="1263"/>
      <c r="R16" s="667"/>
      <c r="S16" s="668"/>
      <c r="T16" s="667"/>
      <c r="U16" s="668"/>
      <c r="V16" s="667"/>
      <c r="W16" s="668"/>
      <c r="X16" s="1265"/>
      <c r="Y16" s="388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887"/>
      <c r="Q17" s="1263" t="str">
        <f>B17</f>
        <v>交通便捷度</v>
      </c>
      <c r="R17" s="667" t="s">
        <v>18</v>
      </c>
      <c r="S17" s="668">
        <f>F17</f>
        <v>100</v>
      </c>
      <c r="T17" s="667" t="s">
        <v>18</v>
      </c>
      <c r="U17" s="668">
        <f>H17</f>
        <v>100</v>
      </c>
      <c r="V17" s="667" t="s">
        <v>18</v>
      </c>
      <c r="W17" s="668">
        <f>J17</f>
        <v>100</v>
      </c>
      <c r="X17" s="1265"/>
      <c r="Y17" s="388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887"/>
      <c r="Q18" s="1263"/>
      <c r="R18" s="667"/>
      <c r="S18" s="668"/>
      <c r="T18" s="667"/>
      <c r="U18" s="668"/>
      <c r="V18" s="667"/>
      <c r="W18" s="668"/>
      <c r="X18" s="1265"/>
      <c r="Y18" s="388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887"/>
      <c r="Q19" s="1263" t="str">
        <f>B19</f>
        <v>公共配套设施</v>
      </c>
      <c r="R19" s="667" t="s">
        <v>18</v>
      </c>
      <c r="S19" s="668">
        <f>F19</f>
        <v>100</v>
      </c>
      <c r="T19" s="667" t="s">
        <v>18</v>
      </c>
      <c r="U19" s="668">
        <f>H19</f>
        <v>100</v>
      </c>
      <c r="V19" s="667" t="s">
        <v>18</v>
      </c>
      <c r="W19" s="668">
        <f>J19</f>
        <v>100</v>
      </c>
      <c r="X19" s="1265"/>
      <c r="Y19" s="388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887"/>
      <c r="Q20" s="1263"/>
      <c r="R20" s="667"/>
      <c r="S20" s="668"/>
      <c r="T20" s="667"/>
      <c r="U20" s="668"/>
      <c r="V20" s="667"/>
      <c r="W20" s="668"/>
      <c r="X20" s="1265"/>
      <c r="Y20" s="388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887"/>
      <c r="Q21" s="1263" t="str">
        <f>B21</f>
        <v>基础设施水平</v>
      </c>
      <c r="R21" s="667" t="s">
        <v>14</v>
      </c>
      <c r="S21" s="668">
        <f>F21</f>
        <v>100</v>
      </c>
      <c r="T21" s="667" t="s">
        <v>14</v>
      </c>
      <c r="U21" s="668">
        <f>H21</f>
        <v>100</v>
      </c>
      <c r="V21" s="667" t="s">
        <v>14</v>
      </c>
      <c r="W21" s="668">
        <f>J21</f>
        <v>100</v>
      </c>
      <c r="X21" s="1265"/>
      <c r="Y21" s="38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887"/>
      <c r="Q22" s="1263"/>
      <c r="R22" s="667"/>
      <c r="S22" s="668"/>
      <c r="T22" s="667"/>
      <c r="U22" s="668"/>
      <c r="V22" s="667"/>
      <c r="W22" s="668"/>
      <c r="X22" s="1265"/>
      <c r="Y22" s="388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887"/>
      <c r="Q23" s="1263" t="str">
        <f>B23</f>
        <v>自然及人文环境</v>
      </c>
      <c r="R23" s="667" t="s">
        <v>18</v>
      </c>
      <c r="S23" s="668">
        <f>F23</f>
        <v>100</v>
      </c>
      <c r="T23" s="667" t="s">
        <v>18</v>
      </c>
      <c r="U23" s="668">
        <f>H23</f>
        <v>100</v>
      </c>
      <c r="V23" s="667" t="s">
        <v>18</v>
      </c>
      <c r="W23" s="668">
        <f>J23</f>
        <v>100</v>
      </c>
      <c r="X23" s="1265"/>
      <c r="Y23" s="388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887"/>
      <c r="Q24" s="1263"/>
      <c r="R24" s="667"/>
      <c r="S24" s="668"/>
      <c r="T24" s="667"/>
      <c r="U24" s="668"/>
      <c r="V24" s="667"/>
      <c r="W24" s="668"/>
      <c r="X24" s="1265"/>
      <c r="Y24" s="388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88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88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887"/>
      <c r="Q26" s="1263" t="str">
        <f t="shared" si="11"/>
        <v>朝向</v>
      </c>
      <c r="R26" s="667" t="s">
        <v>18</v>
      </c>
      <c r="S26" s="668">
        <f t="shared" si="12"/>
        <v>100</v>
      </c>
      <c r="T26" s="667" t="s">
        <v>18</v>
      </c>
      <c r="U26" s="668">
        <f t="shared" si="13"/>
        <v>100</v>
      </c>
      <c r="V26" s="667" t="s">
        <v>18</v>
      </c>
      <c r="W26" s="668">
        <f t="shared" si="14"/>
        <v>100</v>
      </c>
      <c r="X26" s="1265"/>
      <c r="Y26" s="388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887"/>
      <c r="Q27" s="530">
        <f t="shared" si="11"/>
        <v>111</v>
      </c>
      <c r="R27" s="664" t="s">
        <v>18</v>
      </c>
      <c r="S27" s="665">
        <f t="shared" si="12"/>
        <v>100</v>
      </c>
      <c r="T27" s="664" t="s">
        <v>18</v>
      </c>
      <c r="U27" s="665">
        <f t="shared" si="13"/>
        <v>100</v>
      </c>
      <c r="V27" s="664" t="s">
        <v>18</v>
      </c>
      <c r="W27" s="665">
        <f t="shared" si="14"/>
        <v>100</v>
      </c>
      <c r="X27" s="666"/>
      <c r="Y27" s="388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887"/>
      <c r="Q28" s="1263">
        <f t="shared" si="11"/>
        <v>111</v>
      </c>
      <c r="R28" s="667" t="s">
        <v>18</v>
      </c>
      <c r="S28" s="668">
        <f t="shared" si="12"/>
        <v>100</v>
      </c>
      <c r="T28" s="667" t="s">
        <v>18</v>
      </c>
      <c r="U28" s="668">
        <f t="shared" si="13"/>
        <v>100</v>
      </c>
      <c r="V28" s="667" t="s">
        <v>18</v>
      </c>
      <c r="W28" s="668">
        <f t="shared" si="14"/>
        <v>100</v>
      </c>
      <c r="X28" s="1265"/>
      <c r="Y28" s="388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887"/>
      <c r="Q29" s="1263">
        <f t="shared" si="11"/>
        <v>111</v>
      </c>
      <c r="R29" s="667" t="s">
        <v>18</v>
      </c>
      <c r="S29" s="668">
        <f t="shared" si="12"/>
        <v>100</v>
      </c>
      <c r="T29" s="667" t="s">
        <v>18</v>
      </c>
      <c r="U29" s="668">
        <f t="shared" si="13"/>
        <v>100</v>
      </c>
      <c r="V29" s="667" t="s">
        <v>18</v>
      </c>
      <c r="W29" s="668">
        <f t="shared" si="14"/>
        <v>100</v>
      </c>
      <c r="X29" s="1265"/>
      <c r="Y29" s="388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887"/>
      <c r="Q30" s="1263">
        <f t="shared" si="11"/>
        <v>111</v>
      </c>
      <c r="R30" s="667" t="s">
        <v>18</v>
      </c>
      <c r="S30" s="668">
        <f t="shared" si="12"/>
        <v>100</v>
      </c>
      <c r="T30" s="667" t="s">
        <v>18</v>
      </c>
      <c r="U30" s="668">
        <f t="shared" si="13"/>
        <v>100</v>
      </c>
      <c r="V30" s="667" t="s">
        <v>18</v>
      </c>
      <c r="W30" s="668">
        <f t="shared" si="14"/>
        <v>100</v>
      </c>
      <c r="X30" s="1265"/>
      <c r="Y30" s="388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887"/>
      <c r="Q31" s="1263">
        <f t="shared" si="11"/>
        <v>111</v>
      </c>
      <c r="R31" s="667" t="s">
        <v>18</v>
      </c>
      <c r="S31" s="668">
        <f t="shared" si="12"/>
        <v>100</v>
      </c>
      <c r="T31" s="667" t="s">
        <v>18</v>
      </c>
      <c r="U31" s="668">
        <f t="shared" si="13"/>
        <v>100</v>
      </c>
      <c r="V31" s="667" t="s">
        <v>18</v>
      </c>
      <c r="W31" s="668">
        <f t="shared" si="14"/>
        <v>100</v>
      </c>
      <c r="X31" s="1265"/>
      <c r="Y31" s="388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881" t="s">
        <v>1696</v>
      </c>
      <c r="Q32" s="1263" t="str">
        <f t="shared" si="11"/>
        <v>建筑类型</v>
      </c>
      <c r="R32" s="667" t="s">
        <v>18</v>
      </c>
      <c r="S32" s="668">
        <f t="shared" si="12"/>
        <v>100</v>
      </c>
      <c r="T32" s="667" t="s">
        <v>18</v>
      </c>
      <c r="U32" s="668">
        <f t="shared" si="13"/>
        <v>100</v>
      </c>
      <c r="V32" s="667" t="s">
        <v>18</v>
      </c>
      <c r="W32" s="668">
        <f t="shared" si="14"/>
        <v>100</v>
      </c>
      <c r="X32" s="1265"/>
      <c r="Y32" s="388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882"/>
      <c r="Q33" s="531" t="str">
        <f t="shared" si="11"/>
        <v>项目建筑规模</v>
      </c>
      <c r="R33" s="669" t="s">
        <v>18</v>
      </c>
      <c r="S33" s="670" t="e">
        <f t="shared" si="12"/>
        <v>#N/A</v>
      </c>
      <c r="T33" s="669" t="s">
        <v>18</v>
      </c>
      <c r="U33" s="670" t="e">
        <f t="shared" si="13"/>
        <v>#N/A</v>
      </c>
      <c r="V33" s="669" t="s">
        <v>18</v>
      </c>
      <c r="W33" s="670" t="e">
        <f t="shared" si="14"/>
        <v>#N/A</v>
      </c>
      <c r="X33" s="671"/>
      <c r="Y33" s="388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882"/>
      <c r="Q34" s="1263" t="str">
        <f t="shared" si="11"/>
        <v>建筑结构</v>
      </c>
      <c r="R34" s="667" t="s">
        <v>18</v>
      </c>
      <c r="S34" s="668">
        <f t="shared" si="12"/>
        <v>100</v>
      </c>
      <c r="T34" s="667" t="s">
        <v>18</v>
      </c>
      <c r="U34" s="668">
        <f t="shared" si="13"/>
        <v>100</v>
      </c>
      <c r="V34" s="667" t="s">
        <v>18</v>
      </c>
      <c r="W34" s="668">
        <f t="shared" si="14"/>
        <v>100</v>
      </c>
      <c r="X34" s="1265"/>
      <c r="Y34" s="388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882"/>
      <c r="Q35" s="1263" t="str">
        <f t="shared" si="11"/>
        <v>建筑品质</v>
      </c>
      <c r="R35" s="667" t="s">
        <v>18</v>
      </c>
      <c r="S35" s="668">
        <f t="shared" si="12"/>
        <v>100</v>
      </c>
      <c r="T35" s="667" t="s">
        <v>18</v>
      </c>
      <c r="U35" s="668">
        <f t="shared" si="13"/>
        <v>100</v>
      </c>
      <c r="V35" s="667" t="s">
        <v>18</v>
      </c>
      <c r="W35" s="668">
        <f t="shared" si="14"/>
        <v>100</v>
      </c>
      <c r="X35" s="1265"/>
      <c r="Y35" s="388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882"/>
      <c r="Q36" s="1263" t="str">
        <f t="shared" si="11"/>
        <v>公共部分装修</v>
      </c>
      <c r="R36" s="667" t="s">
        <v>18</v>
      </c>
      <c r="S36" s="668">
        <f t="shared" si="12"/>
        <v>100</v>
      </c>
      <c r="T36" s="667" t="s">
        <v>18</v>
      </c>
      <c r="U36" s="668">
        <f t="shared" si="13"/>
        <v>100</v>
      </c>
      <c r="V36" s="667" t="s">
        <v>18</v>
      </c>
      <c r="W36" s="668">
        <f t="shared" si="14"/>
        <v>100</v>
      </c>
      <c r="X36" s="1265"/>
      <c r="Y36" s="388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882"/>
      <c r="Q37" s="530" t="str">
        <f t="shared" si="11"/>
        <v>成新度</v>
      </c>
      <c r="R37" s="664" t="s">
        <v>18</v>
      </c>
      <c r="S37" s="665" t="e">
        <f t="shared" si="12"/>
        <v>#N/A</v>
      </c>
      <c r="T37" s="664" t="s">
        <v>18</v>
      </c>
      <c r="U37" s="665" t="e">
        <f t="shared" si="13"/>
        <v>#N/A</v>
      </c>
      <c r="V37" s="664" t="s">
        <v>18</v>
      </c>
      <c r="W37" s="665" t="e">
        <f t="shared" si="14"/>
        <v>#N/A</v>
      </c>
      <c r="X37" s="666"/>
      <c r="Y37" s="388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882" t="s">
        <v>1696</v>
      </c>
      <c r="Q38" s="1263" t="str">
        <f t="shared" si="11"/>
        <v>物业管理</v>
      </c>
      <c r="R38" s="667" t="s">
        <v>18</v>
      </c>
      <c r="S38" s="668">
        <f t="shared" si="12"/>
        <v>100</v>
      </c>
      <c r="T38" s="667" t="s">
        <v>18</v>
      </c>
      <c r="U38" s="668">
        <f t="shared" si="13"/>
        <v>100</v>
      </c>
      <c r="V38" s="667" t="s">
        <v>18</v>
      </c>
      <c r="W38" s="668">
        <f t="shared" si="14"/>
        <v>100</v>
      </c>
      <c r="X38" s="1265"/>
      <c r="Y38" s="388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882"/>
      <c r="Q39" s="1263" t="str">
        <f t="shared" si="11"/>
        <v>市政基础设施</v>
      </c>
      <c r="R39" s="667" t="s">
        <v>18</v>
      </c>
      <c r="S39" s="668">
        <f t="shared" si="12"/>
        <v>100</v>
      </c>
      <c r="T39" s="667" t="s">
        <v>18</v>
      </c>
      <c r="U39" s="668">
        <f t="shared" si="13"/>
        <v>100</v>
      </c>
      <c r="V39" s="667" t="s">
        <v>18</v>
      </c>
      <c r="W39" s="668">
        <f t="shared" si="14"/>
        <v>100</v>
      </c>
      <c r="X39" s="1265"/>
      <c r="Y39" s="388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882"/>
      <c r="Q40" s="1263" t="str">
        <f t="shared" si="11"/>
        <v>房型</v>
      </c>
      <c r="R40" s="667" t="s">
        <v>18</v>
      </c>
      <c r="S40" s="668">
        <f t="shared" si="12"/>
        <v>100</v>
      </c>
      <c r="T40" s="667" t="s">
        <v>18</v>
      </c>
      <c r="U40" s="668">
        <f t="shared" si="13"/>
        <v>100</v>
      </c>
      <c r="V40" s="667" t="s">
        <v>18</v>
      </c>
      <c r="W40" s="668">
        <f t="shared" si="14"/>
        <v>100</v>
      </c>
      <c r="X40" s="1265"/>
      <c r="Y40" s="388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882"/>
      <c r="Q41" s="531" t="str">
        <f t="shared" si="11"/>
        <v>单套/主力户型建筑面积</v>
      </c>
      <c r="R41" s="669" t="s">
        <v>18</v>
      </c>
      <c r="S41" s="670">
        <f t="shared" si="12"/>
        <v>100</v>
      </c>
      <c r="T41" s="669" t="s">
        <v>18</v>
      </c>
      <c r="U41" s="670">
        <f t="shared" si="13"/>
        <v>100</v>
      </c>
      <c r="V41" s="669" t="s">
        <v>18</v>
      </c>
      <c r="W41" s="670">
        <f t="shared" si="14"/>
        <v>100</v>
      </c>
      <c r="X41" s="671"/>
      <c r="Y41" s="388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882"/>
      <c r="Q42" s="1263" t="str">
        <f t="shared" si="11"/>
        <v>内部装修</v>
      </c>
      <c r="R42" s="667" t="s">
        <v>18</v>
      </c>
      <c r="S42" s="668">
        <f t="shared" si="12"/>
        <v>100</v>
      </c>
      <c r="T42" s="667" t="s">
        <v>18</v>
      </c>
      <c r="U42" s="668">
        <f t="shared" si="13"/>
        <v>100</v>
      </c>
      <c r="V42" s="667" t="s">
        <v>18</v>
      </c>
      <c r="W42" s="668">
        <f t="shared" si="14"/>
        <v>100</v>
      </c>
      <c r="X42" s="1265"/>
      <c r="Y42" s="388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882"/>
      <c r="Q43" s="1263" t="str">
        <f t="shared" si="11"/>
        <v>内部装修维护情况</v>
      </c>
      <c r="R43" s="667" t="s">
        <v>18</v>
      </c>
      <c r="S43" s="668">
        <f t="shared" si="12"/>
        <v>100</v>
      </c>
      <c r="T43" s="667" t="s">
        <v>18</v>
      </c>
      <c r="U43" s="668">
        <f t="shared" si="13"/>
        <v>100</v>
      </c>
      <c r="V43" s="667" t="s">
        <v>18</v>
      </c>
      <c r="W43" s="668">
        <f t="shared" si="14"/>
        <v>100</v>
      </c>
      <c r="X43" s="1265"/>
      <c r="Y43" s="388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882"/>
      <c r="Q44" s="530">
        <f t="shared" si="11"/>
        <v>111</v>
      </c>
      <c r="R44" s="664" t="s">
        <v>18</v>
      </c>
      <c r="S44" s="665">
        <f t="shared" si="12"/>
        <v>100</v>
      </c>
      <c r="T44" s="664" t="s">
        <v>18</v>
      </c>
      <c r="U44" s="665">
        <f t="shared" si="13"/>
        <v>100</v>
      </c>
      <c r="V44" s="664" t="s">
        <v>18</v>
      </c>
      <c r="W44" s="665">
        <f t="shared" si="14"/>
        <v>100</v>
      </c>
      <c r="X44" s="666"/>
      <c r="Y44" s="388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882"/>
      <c r="Q45" s="1263">
        <f t="shared" si="11"/>
        <v>111</v>
      </c>
      <c r="R45" s="667" t="s">
        <v>18</v>
      </c>
      <c r="S45" s="668">
        <f t="shared" si="12"/>
        <v>100</v>
      </c>
      <c r="T45" s="667" t="s">
        <v>18</v>
      </c>
      <c r="U45" s="668">
        <f t="shared" si="13"/>
        <v>100</v>
      </c>
      <c r="V45" s="667" t="s">
        <v>18</v>
      </c>
      <c r="W45" s="668">
        <f t="shared" si="14"/>
        <v>100</v>
      </c>
      <c r="X45" s="1265"/>
      <c r="Y45" s="388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883"/>
      <c r="Q46" s="1263">
        <f t="shared" si="11"/>
        <v>111</v>
      </c>
      <c r="R46" s="667" t="s">
        <v>17</v>
      </c>
      <c r="S46" s="668">
        <f t="shared" si="12"/>
        <v>100</v>
      </c>
      <c r="T46" s="667" t="s">
        <v>17</v>
      </c>
      <c r="U46" s="668">
        <f t="shared" si="13"/>
        <v>100</v>
      </c>
      <c r="V46" s="667" t="s">
        <v>17</v>
      </c>
      <c r="W46" s="668">
        <f t="shared" si="14"/>
        <v>100</v>
      </c>
      <c r="X46" s="1265"/>
      <c r="Y46" s="388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877" t="str">
        <f>A47</f>
        <v>成交单价（元/平方米）</v>
      </c>
      <c r="Q47" s="3877"/>
      <c r="R47" s="3878">
        <f>E47</f>
        <v>0</v>
      </c>
      <c r="S47" s="3878"/>
      <c r="T47" s="3878">
        <f>G47</f>
        <v>0</v>
      </c>
      <c r="U47" s="3878"/>
      <c r="V47" s="3878">
        <f>I47</f>
        <v>0</v>
      </c>
      <c r="W47" s="387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877" t="str">
        <f>A48</f>
        <v>比较价值（元/平方米）</v>
      </c>
      <c r="Q48" s="3877"/>
      <c r="R48" s="3878" t="e">
        <f>IF(F1="售价",ROUND(PRODUCT(R47,AA7:AA46),0),ROUND(PRODUCT(R47,AA7:AA46),1))</f>
        <v>#DIV/0!</v>
      </c>
      <c r="S48" s="3878"/>
      <c r="T48" s="3878" t="e">
        <f>IF(F1="售价",ROUND(PRODUCT(T47,AB7:AB46),0),ROUND(PRODUCT(T47,AB7:AB46),1))</f>
        <v>#DIV/0!</v>
      </c>
      <c r="U48" s="3878"/>
      <c r="V48" s="3878" t="e">
        <f>IF(F1="售价",ROUND(PRODUCT(V47,AC7:AC46),0),ROUND(PRODUCT(V47,AC7:AC46),1))</f>
        <v>#DIV/0!</v>
      </c>
      <c r="W48" s="387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874" t="str">
        <f>A49</f>
        <v>估价对象XX用房的比较价值（楼面单价，元/平方米）</v>
      </c>
      <c r="Q49" s="3875"/>
      <c r="R49" s="3876" t="e">
        <f>IF(F1="售价",ROUND(IF(D48="简单平均",AVERAGE(R48:V48),R48*F48+T48*H48+V48*J48),0),ROUND(IF(D48="简单平均",AVERAGE(R48:V48),R48*F48+T48*H48+V48*J48),1))</f>
        <v>#DIV/0!</v>
      </c>
      <c r="S49" s="3876"/>
      <c r="T49" s="3876"/>
      <c r="U49" s="3876"/>
      <c r="V49" s="3876"/>
      <c r="W49" s="38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2024-6</v>
      </c>
      <c r="D58" s="1104">
        <f>EDATE(C58,-1)</f>
        <v>45413</v>
      </c>
      <c r="E58" s="1104">
        <f>EDATE(D58,-1)</f>
        <v>45383</v>
      </c>
      <c r="F58" s="1104">
        <f t="shared" ref="F58:O58" si="19">EDATE(E58,-1)</f>
        <v>45352</v>
      </c>
      <c r="G58" s="1104">
        <f t="shared" si="19"/>
        <v>45323</v>
      </c>
      <c r="H58" s="1104">
        <f t="shared" si="19"/>
        <v>45292</v>
      </c>
      <c r="I58" s="1104">
        <f t="shared" si="19"/>
        <v>45261</v>
      </c>
      <c r="J58" s="1104">
        <f t="shared" si="19"/>
        <v>45231</v>
      </c>
      <c r="K58" s="1104">
        <f t="shared" si="19"/>
        <v>45200</v>
      </c>
      <c r="L58" s="1104">
        <f t="shared" si="19"/>
        <v>45170</v>
      </c>
      <c r="M58" s="1104">
        <f t="shared" si="19"/>
        <v>45139</v>
      </c>
      <c r="N58" s="1104">
        <f t="shared" si="19"/>
        <v>45108</v>
      </c>
      <c r="O58" s="1104">
        <f t="shared" si="19"/>
        <v>45078</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65" priority="14" stopIfTrue="1">
      <formula>$F$52="超过30%"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F7:F46 H7:H46 J7:J46">
    <cfRule type="cellIs" dxfId="162" priority="1" operator="notEqual">
      <formula>100</formula>
    </cfRule>
  </conditionalFormatting>
  <conditionalFormatting sqref="F48">
    <cfRule type="expression" dxfId="161" priority="4">
      <formula>$D$48="简单平均"</formula>
    </cfRule>
  </conditionalFormatting>
  <conditionalFormatting sqref="F52:F54 H52:H54 J52:J54">
    <cfRule type="containsText" dxfId="160" priority="15" stopIfTrue="1" operator="containsText" text="超过">
      <formula>NOT(ISERROR(SEARCH("超过",F52)))</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G54">
    <cfRule type="expression" dxfId="157" priority="12" stopIfTrue="1">
      <formula>$H$54="超过30%"</formula>
    </cfRule>
  </conditionalFormatting>
  <conditionalFormatting sqref="H48">
    <cfRule type="expression" dxfId="156" priority="3">
      <formula>$D$48="简单平均"</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J48">
    <cfRule type="expression" dxfId="15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估价对象为北京市房地产，为所有。根据《国有土地使用证》[]，估价对象（分摊）出让国有建设用地使用权面积为4831.42平方米，建筑面积为46330.33平方米。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估价对象为北京市房地产,属开发建设的，该项目尚在开发建设中。根据《国有土地使用证》[]，估价对象（分摊）出让国有建设用地使用权面积为4831.42平方米，规划建筑面积为46330.33平方米。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2024年6月30日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30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本次评估采用的主估价方法为收益法和成本法。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46330.329999999994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892" t="s">
        <v>1770</v>
      </c>
      <c r="D4" s="3893"/>
      <c r="E4" s="3894" t="s">
        <v>1771</v>
      </c>
      <c r="F4" s="3895"/>
      <c r="G4" s="3892" t="s">
        <v>1772</v>
      </c>
      <c r="H4" s="3893"/>
      <c r="I4" s="3892" t="s">
        <v>1773</v>
      </c>
      <c r="J4" s="3893"/>
      <c r="K4" s="537" t="s">
        <v>1774</v>
      </c>
      <c r="L4" s="2487"/>
      <c r="M4" s="2488"/>
      <c r="N4" s="2488"/>
      <c r="O4" s="2488"/>
      <c r="P4" s="3896" t="s">
        <v>1775</v>
      </c>
      <c r="Q4" s="3897"/>
      <c r="R4" s="3902" t="s">
        <v>1771</v>
      </c>
      <c r="S4" s="3903"/>
      <c r="T4" s="3902" t="s">
        <v>1772</v>
      </c>
      <c r="U4" s="3903"/>
      <c r="V4" s="3878" t="s">
        <v>1773</v>
      </c>
      <c r="W4" s="3878"/>
      <c r="X4" s="1265"/>
      <c r="Y4" s="3902" t="s">
        <v>1775</v>
      </c>
      <c r="Z4" s="3903"/>
      <c r="AA4" s="3889" t="s">
        <v>1771</v>
      </c>
      <c r="AB4" s="3878" t="s">
        <v>1772</v>
      </c>
      <c r="AC4" s="3889" t="s">
        <v>1773</v>
      </c>
    </row>
    <row r="5" spans="1:29" ht="15">
      <c r="A5" s="348"/>
      <c r="B5" s="349"/>
      <c r="C5" s="3910" t="s">
        <v>1673</v>
      </c>
      <c r="D5" s="3911"/>
      <c r="E5" s="3917" t="s">
        <v>1674</v>
      </c>
      <c r="F5" s="3918"/>
      <c r="G5" s="3910" t="s">
        <v>1675</v>
      </c>
      <c r="H5" s="3911"/>
      <c r="I5" s="3910" t="s">
        <v>1676</v>
      </c>
      <c r="J5" s="3911"/>
      <c r="K5" s="537"/>
      <c r="L5" s="2487"/>
      <c r="M5" s="2488"/>
      <c r="N5" s="2488"/>
      <c r="O5" s="2488"/>
      <c r="P5" s="3898"/>
      <c r="Q5" s="3899"/>
      <c r="R5" s="3904"/>
      <c r="S5" s="3905"/>
      <c r="T5" s="3904"/>
      <c r="U5" s="3905"/>
      <c r="V5" s="3878"/>
      <c r="W5" s="3878"/>
      <c r="X5" s="1265"/>
      <c r="Y5" s="3904"/>
      <c r="Z5" s="3905"/>
      <c r="AA5" s="3890"/>
      <c r="AB5" s="3878"/>
      <c r="AC5" s="3890"/>
    </row>
    <row r="6" spans="1:29" ht="15.75" thickBot="1">
      <c r="A6" s="350"/>
      <c r="B6" s="351"/>
      <c r="C6" s="3908" t="s">
        <v>1677</v>
      </c>
      <c r="D6" s="3909"/>
      <c r="E6" s="3915" t="s">
        <v>1677</v>
      </c>
      <c r="F6" s="3916"/>
      <c r="G6" s="3908" t="s">
        <v>1677</v>
      </c>
      <c r="H6" s="3909"/>
      <c r="I6" s="3908" t="s">
        <v>1677</v>
      </c>
      <c r="J6" s="3909"/>
      <c r="K6" s="537" t="s">
        <v>1678</v>
      </c>
      <c r="L6" s="2487"/>
      <c r="M6" s="2488"/>
      <c r="N6" s="2488"/>
      <c r="O6" s="2488"/>
      <c r="P6" s="3900"/>
      <c r="Q6" s="3901"/>
      <c r="R6" s="3904"/>
      <c r="S6" s="3905"/>
      <c r="T6" s="3906"/>
      <c r="U6" s="3907"/>
      <c r="V6" s="3878"/>
      <c r="W6" s="3878"/>
      <c r="X6" s="1265"/>
      <c r="Y6" s="3906"/>
      <c r="Z6" s="3907"/>
      <c r="AA6" s="3891"/>
      <c r="AB6" s="3878"/>
      <c r="AC6" s="3891"/>
    </row>
    <row r="7" spans="1:29" s="102" customFormat="1" ht="15.75" thickBot="1">
      <c r="A7" s="352" t="s">
        <v>1679</v>
      </c>
      <c r="B7" s="353"/>
      <c r="C7" s="354">
        <f>'数据-取费表'!B2</f>
        <v>45473</v>
      </c>
      <c r="D7" s="355">
        <v>100</v>
      </c>
      <c r="E7" s="356"/>
      <c r="F7" s="357">
        <f>SUMIF(58:58,YEAR(E7)&amp;"-"&amp;MONTH(E7),59:59)</f>
        <v>0</v>
      </c>
      <c r="G7" s="356"/>
      <c r="H7" s="355">
        <f>SUMIF(58:58,YEAR(G7)&amp;"-"&amp;MONTH(G7),59:59)</f>
        <v>0</v>
      </c>
      <c r="I7" s="356"/>
      <c r="J7" s="355">
        <f>SUMIF(58:58,YEAR(I7)&amp;"-"&amp;MONTH(I7),59:59)</f>
        <v>0</v>
      </c>
      <c r="K7" s="38"/>
      <c r="L7" s="2489"/>
      <c r="M7" s="2440"/>
      <c r="N7" s="2440"/>
      <c r="O7" s="2440"/>
      <c r="P7" s="3912" t="s">
        <v>1680</v>
      </c>
      <c r="Q7" s="3914"/>
      <c r="R7" s="664" t="s">
        <v>14</v>
      </c>
      <c r="S7" s="665">
        <f t="shared" ref="S7:S15" si="0">F7</f>
        <v>0</v>
      </c>
      <c r="T7" s="664" t="s">
        <v>14</v>
      </c>
      <c r="U7" s="665">
        <f t="shared" ref="U7:U15" si="1">H7</f>
        <v>0</v>
      </c>
      <c r="V7" s="664" t="s">
        <v>14</v>
      </c>
      <c r="W7" s="665">
        <f t="shared" ref="W7:W15" si="2">J7</f>
        <v>0</v>
      </c>
      <c r="X7" s="666"/>
      <c r="Y7" s="3912" t="s">
        <v>1680</v>
      </c>
      <c r="Z7" s="391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912" t="s">
        <v>1683</v>
      </c>
      <c r="Q8" s="3913"/>
      <c r="R8" s="664" t="s">
        <v>14</v>
      </c>
      <c r="S8" s="665">
        <f t="shared" si="0"/>
        <v>100</v>
      </c>
      <c r="T8" s="664" t="s">
        <v>14</v>
      </c>
      <c r="U8" s="665">
        <f t="shared" si="1"/>
        <v>100</v>
      </c>
      <c r="V8" s="664" t="s">
        <v>14</v>
      </c>
      <c r="W8" s="665">
        <f t="shared" si="2"/>
        <v>100</v>
      </c>
      <c r="X8" s="666"/>
      <c r="Y8" s="3912" t="s">
        <v>1683</v>
      </c>
      <c r="Z8" s="391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888" t="s">
        <v>1686</v>
      </c>
      <c r="Q9" s="530" t="str">
        <f t="shared" ref="Q9:Q15" si="6">B9</f>
        <v>用途</v>
      </c>
      <c r="R9" s="664" t="s">
        <v>14</v>
      </c>
      <c r="S9" s="665">
        <f t="shared" si="0"/>
        <v>100</v>
      </c>
      <c r="T9" s="664" t="s">
        <v>14</v>
      </c>
      <c r="U9" s="665">
        <f t="shared" si="1"/>
        <v>100</v>
      </c>
      <c r="V9" s="664" t="s">
        <v>14</v>
      </c>
      <c r="W9" s="665">
        <f t="shared" si="2"/>
        <v>100</v>
      </c>
      <c r="X9" s="666"/>
      <c r="Y9" s="373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888"/>
      <c r="Q10" s="530" t="str">
        <f t="shared" si="6"/>
        <v>土地使用年限（年）</v>
      </c>
      <c r="R10" s="664" t="s">
        <v>14</v>
      </c>
      <c r="S10" s="665">
        <f t="shared" si="0"/>
        <v>100</v>
      </c>
      <c r="T10" s="664" t="s">
        <v>14</v>
      </c>
      <c r="U10" s="665">
        <f t="shared" si="1"/>
        <v>100</v>
      </c>
      <c r="V10" s="664" t="s">
        <v>14</v>
      </c>
      <c r="W10" s="665">
        <f t="shared" si="2"/>
        <v>100</v>
      </c>
      <c r="X10" s="666"/>
      <c r="Y10" s="373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888"/>
      <c r="Q11" s="530" t="str">
        <f t="shared" si="6"/>
        <v>容积率</v>
      </c>
      <c r="R11" s="664" t="s">
        <v>14</v>
      </c>
      <c r="S11" s="665" t="e">
        <f t="shared" si="0"/>
        <v>#N/A</v>
      </c>
      <c r="T11" s="664" t="s">
        <v>14</v>
      </c>
      <c r="U11" s="665" t="e">
        <f t="shared" si="1"/>
        <v>#N/A</v>
      </c>
      <c r="V11" s="664" t="s">
        <v>14</v>
      </c>
      <c r="W11" s="665" t="e">
        <f t="shared" si="2"/>
        <v>#N/A</v>
      </c>
      <c r="X11" s="666"/>
      <c r="Y11" s="373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888"/>
      <c r="Q12" s="530">
        <f t="shared" si="6"/>
        <v>111</v>
      </c>
      <c r="R12" s="664" t="s">
        <v>14</v>
      </c>
      <c r="S12" s="665">
        <f t="shared" si="0"/>
        <v>100</v>
      </c>
      <c r="T12" s="664" t="s">
        <v>14</v>
      </c>
      <c r="U12" s="665">
        <f t="shared" si="1"/>
        <v>100</v>
      </c>
      <c r="V12" s="664" t="s">
        <v>14</v>
      </c>
      <c r="W12" s="665">
        <f t="shared" si="2"/>
        <v>100</v>
      </c>
      <c r="X12" s="666"/>
      <c r="Y12" s="37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888"/>
      <c r="Q13" s="530">
        <f t="shared" si="6"/>
        <v>111</v>
      </c>
      <c r="R13" s="664" t="s">
        <v>14</v>
      </c>
      <c r="S13" s="665">
        <f t="shared" si="0"/>
        <v>100</v>
      </c>
      <c r="T13" s="664" t="s">
        <v>14</v>
      </c>
      <c r="U13" s="665">
        <f t="shared" si="1"/>
        <v>100</v>
      </c>
      <c r="V13" s="664" t="s">
        <v>14</v>
      </c>
      <c r="W13" s="665">
        <f t="shared" si="2"/>
        <v>100</v>
      </c>
      <c r="X13" s="666"/>
      <c r="Y13" s="373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888"/>
      <c r="Q14" s="530">
        <f t="shared" si="6"/>
        <v>111</v>
      </c>
      <c r="R14" s="664" t="s">
        <v>14</v>
      </c>
      <c r="S14" s="665">
        <f t="shared" si="0"/>
        <v>100</v>
      </c>
      <c r="T14" s="664" t="s">
        <v>14</v>
      </c>
      <c r="U14" s="665">
        <f t="shared" si="1"/>
        <v>100</v>
      </c>
      <c r="V14" s="664" t="s">
        <v>14</v>
      </c>
      <c r="W14" s="665">
        <f t="shared" si="2"/>
        <v>100</v>
      </c>
      <c r="X14" s="666"/>
      <c r="Y14" s="373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886" t="s">
        <v>1691</v>
      </c>
      <c r="Q15" s="1263" t="str">
        <f t="shared" si="6"/>
        <v>商业繁华度</v>
      </c>
      <c r="R15" s="667" t="s">
        <v>14</v>
      </c>
      <c r="S15" s="668">
        <f t="shared" si="0"/>
        <v>100</v>
      </c>
      <c r="T15" s="667" t="s">
        <v>14</v>
      </c>
      <c r="U15" s="668">
        <f t="shared" si="1"/>
        <v>100</v>
      </c>
      <c r="V15" s="667" t="s">
        <v>14</v>
      </c>
      <c r="W15" s="668">
        <f t="shared" si="2"/>
        <v>100</v>
      </c>
      <c r="X15" s="1265"/>
      <c r="Y15" s="387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887"/>
      <c r="Q16" s="1263"/>
      <c r="R16" s="667"/>
      <c r="S16" s="668"/>
      <c r="T16" s="667"/>
      <c r="U16" s="668"/>
      <c r="V16" s="667"/>
      <c r="W16" s="668"/>
      <c r="X16" s="1265"/>
      <c r="Y16" s="388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887"/>
      <c r="Q17" s="1263" t="str">
        <f>B17</f>
        <v>交通便捷度</v>
      </c>
      <c r="R17" s="667" t="s">
        <v>14</v>
      </c>
      <c r="S17" s="668">
        <f>F17</f>
        <v>100</v>
      </c>
      <c r="T17" s="667" t="s">
        <v>14</v>
      </c>
      <c r="U17" s="668">
        <f>H17</f>
        <v>100</v>
      </c>
      <c r="V17" s="667" t="s">
        <v>14</v>
      </c>
      <c r="W17" s="668">
        <f>J17</f>
        <v>100</v>
      </c>
      <c r="X17" s="1265"/>
      <c r="Y17" s="38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887"/>
      <c r="Q18" s="1263"/>
      <c r="R18" s="667"/>
      <c r="S18" s="668"/>
      <c r="T18" s="667"/>
      <c r="U18" s="668"/>
      <c r="V18" s="667"/>
      <c r="W18" s="668"/>
      <c r="X18" s="1265"/>
      <c r="Y18" s="388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887"/>
      <c r="Q19" s="1263" t="str">
        <f>B19</f>
        <v>公共配套设施</v>
      </c>
      <c r="R19" s="667" t="s">
        <v>14</v>
      </c>
      <c r="S19" s="668">
        <f>F19</f>
        <v>100</v>
      </c>
      <c r="T19" s="667" t="s">
        <v>14</v>
      </c>
      <c r="U19" s="668">
        <f>H19</f>
        <v>100</v>
      </c>
      <c r="V19" s="667" t="s">
        <v>14</v>
      </c>
      <c r="W19" s="668">
        <f>J19</f>
        <v>100</v>
      </c>
      <c r="X19" s="1265"/>
      <c r="Y19" s="38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887"/>
      <c r="Q20" s="1263"/>
      <c r="R20" s="667"/>
      <c r="S20" s="668"/>
      <c r="T20" s="667"/>
      <c r="U20" s="668"/>
      <c r="V20" s="667"/>
      <c r="W20" s="668"/>
      <c r="X20" s="1265"/>
      <c r="Y20" s="388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887"/>
      <c r="Q21" s="1263" t="str">
        <f>B21</f>
        <v>基础设施水平</v>
      </c>
      <c r="R21" s="667" t="s">
        <v>14</v>
      </c>
      <c r="S21" s="668">
        <f>F21</f>
        <v>100</v>
      </c>
      <c r="T21" s="667" t="s">
        <v>14</v>
      </c>
      <c r="U21" s="668">
        <f>H21</f>
        <v>100</v>
      </c>
      <c r="V21" s="667" t="s">
        <v>14</v>
      </c>
      <c r="W21" s="668">
        <f>J21</f>
        <v>100</v>
      </c>
      <c r="X21" s="1265"/>
      <c r="Y21" s="38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887"/>
      <c r="Q22" s="1263"/>
      <c r="R22" s="667"/>
      <c r="S22" s="668"/>
      <c r="T22" s="667"/>
      <c r="U22" s="668"/>
      <c r="V22" s="667"/>
      <c r="W22" s="668"/>
      <c r="X22" s="1265"/>
      <c r="Y22" s="388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887"/>
      <c r="Q23" s="1263" t="str">
        <f>B23</f>
        <v>自然及人文环境</v>
      </c>
      <c r="R23" s="667" t="s">
        <v>14</v>
      </c>
      <c r="S23" s="668">
        <f>F23</f>
        <v>100</v>
      </c>
      <c r="T23" s="667" t="s">
        <v>14</v>
      </c>
      <c r="U23" s="668">
        <f>H23</f>
        <v>100</v>
      </c>
      <c r="V23" s="667" t="s">
        <v>14</v>
      </c>
      <c r="W23" s="668">
        <f>J23</f>
        <v>100</v>
      </c>
      <c r="X23" s="1265"/>
      <c r="Y23" s="388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887"/>
      <c r="Q24" s="1263"/>
      <c r="R24" s="667"/>
      <c r="S24" s="668"/>
      <c r="T24" s="667"/>
      <c r="U24" s="668"/>
      <c r="V24" s="667"/>
      <c r="W24" s="668"/>
      <c r="X24" s="1265"/>
      <c r="Y24" s="388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887"/>
      <c r="Q25" s="1263" t="str">
        <f t="shared" ref="Q25:Q46" si="11">B25</f>
        <v>临街状况</v>
      </c>
      <c r="R25" s="667" t="s">
        <v>14</v>
      </c>
      <c r="S25" s="668">
        <f>F25</f>
        <v>100</v>
      </c>
      <c r="T25" s="667" t="s">
        <v>14</v>
      </c>
      <c r="U25" s="668">
        <f>H25</f>
        <v>100</v>
      </c>
      <c r="V25" s="667" t="s">
        <v>14</v>
      </c>
      <c r="W25" s="668">
        <f>J25</f>
        <v>100</v>
      </c>
      <c r="X25" s="1265"/>
      <c r="Y25" s="388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887"/>
      <c r="Q26" s="1263" t="str">
        <f t="shared" si="11"/>
        <v>平面位置/可视性</v>
      </c>
      <c r="R26" s="667" t="s">
        <v>14</v>
      </c>
      <c r="S26" s="668">
        <f>F26</f>
        <v>100</v>
      </c>
      <c r="T26" s="667" t="s">
        <v>14</v>
      </c>
      <c r="U26" s="668">
        <f>H26</f>
        <v>100</v>
      </c>
      <c r="V26" s="667" t="s">
        <v>14</v>
      </c>
      <c r="W26" s="668">
        <f>J26</f>
        <v>100</v>
      </c>
      <c r="X26" s="1265"/>
      <c r="Y26" s="388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887"/>
      <c r="Q27" s="530" t="str">
        <f t="shared" si="11"/>
        <v>人流量</v>
      </c>
      <c r="R27" s="664" t="s">
        <v>14</v>
      </c>
      <c r="S27" s="665">
        <f>F27</f>
        <v>100</v>
      </c>
      <c r="T27" s="664" t="s">
        <v>14</v>
      </c>
      <c r="U27" s="665">
        <f>H27</f>
        <v>100</v>
      </c>
      <c r="V27" s="664" t="s">
        <v>14</v>
      </c>
      <c r="W27" s="665">
        <f>J27</f>
        <v>100</v>
      </c>
      <c r="X27" s="666"/>
      <c r="Y27" s="388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88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88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887"/>
      <c r="Q29" s="1263">
        <f t="shared" si="11"/>
        <v>111</v>
      </c>
      <c r="R29" s="667" t="s">
        <v>14</v>
      </c>
      <c r="S29" s="668">
        <f t="shared" si="12"/>
        <v>100</v>
      </c>
      <c r="T29" s="667" t="s">
        <v>14</v>
      </c>
      <c r="U29" s="668">
        <f t="shared" si="13"/>
        <v>100</v>
      </c>
      <c r="V29" s="667" t="s">
        <v>14</v>
      </c>
      <c r="W29" s="668">
        <f t="shared" si="14"/>
        <v>100</v>
      </c>
      <c r="X29" s="1265"/>
      <c r="Y29" s="388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887"/>
      <c r="Q30" s="1263">
        <f t="shared" si="11"/>
        <v>111</v>
      </c>
      <c r="R30" s="667" t="s">
        <v>14</v>
      </c>
      <c r="S30" s="668">
        <f t="shared" si="12"/>
        <v>100</v>
      </c>
      <c r="T30" s="667" t="s">
        <v>14</v>
      </c>
      <c r="U30" s="668">
        <f t="shared" si="13"/>
        <v>100</v>
      </c>
      <c r="V30" s="667" t="s">
        <v>14</v>
      </c>
      <c r="W30" s="668">
        <f t="shared" si="14"/>
        <v>100</v>
      </c>
      <c r="X30" s="1265"/>
      <c r="Y30" s="388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887"/>
      <c r="Q31" s="1263">
        <f t="shared" si="11"/>
        <v>111</v>
      </c>
      <c r="R31" s="667" t="s">
        <v>14</v>
      </c>
      <c r="S31" s="668">
        <f t="shared" si="12"/>
        <v>100</v>
      </c>
      <c r="T31" s="667" t="s">
        <v>14</v>
      </c>
      <c r="U31" s="668">
        <f t="shared" si="13"/>
        <v>100</v>
      </c>
      <c r="V31" s="667" t="s">
        <v>14</v>
      </c>
      <c r="W31" s="668">
        <f t="shared" si="14"/>
        <v>100</v>
      </c>
      <c r="X31" s="1265"/>
      <c r="Y31" s="388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881" t="s">
        <v>1696</v>
      </c>
      <c r="Q32" s="1263" t="str">
        <f t="shared" si="11"/>
        <v>商业类型</v>
      </c>
      <c r="R32" s="667" t="s">
        <v>14</v>
      </c>
      <c r="S32" s="668">
        <f t="shared" si="12"/>
        <v>100</v>
      </c>
      <c r="T32" s="667" t="s">
        <v>14</v>
      </c>
      <c r="U32" s="668">
        <f t="shared" si="13"/>
        <v>100</v>
      </c>
      <c r="V32" s="667" t="s">
        <v>14</v>
      </c>
      <c r="W32" s="668">
        <f t="shared" si="14"/>
        <v>100</v>
      </c>
      <c r="X32" s="1265"/>
      <c r="Y32" s="388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882"/>
      <c r="Q33" s="531" t="str">
        <f t="shared" si="11"/>
        <v>项目建筑规模</v>
      </c>
      <c r="R33" s="669" t="s">
        <v>14</v>
      </c>
      <c r="S33" s="670" t="e">
        <f t="shared" si="12"/>
        <v>#N/A</v>
      </c>
      <c r="T33" s="669" t="s">
        <v>14</v>
      </c>
      <c r="U33" s="670" t="e">
        <f t="shared" si="13"/>
        <v>#N/A</v>
      </c>
      <c r="V33" s="669" t="s">
        <v>14</v>
      </c>
      <c r="W33" s="670" t="e">
        <f t="shared" si="14"/>
        <v>#N/A</v>
      </c>
      <c r="X33" s="671"/>
      <c r="Y33" s="388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882"/>
      <c r="Q34" s="1263" t="str">
        <f t="shared" si="11"/>
        <v>建筑结构</v>
      </c>
      <c r="R34" s="667" t="s">
        <v>14</v>
      </c>
      <c r="S34" s="668">
        <f t="shared" si="12"/>
        <v>100</v>
      </c>
      <c r="T34" s="667" t="s">
        <v>14</v>
      </c>
      <c r="U34" s="668">
        <f t="shared" si="13"/>
        <v>100</v>
      </c>
      <c r="V34" s="667" t="s">
        <v>14</v>
      </c>
      <c r="W34" s="668">
        <f t="shared" si="14"/>
        <v>100</v>
      </c>
      <c r="X34" s="1265"/>
      <c r="Y34" s="388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882"/>
      <c r="Q35" s="1263" t="str">
        <f t="shared" si="11"/>
        <v>公共部分装修</v>
      </c>
      <c r="R35" s="667" t="s">
        <v>14</v>
      </c>
      <c r="S35" s="668">
        <f t="shared" si="12"/>
        <v>100</v>
      </c>
      <c r="T35" s="667" t="s">
        <v>14</v>
      </c>
      <c r="U35" s="668">
        <f t="shared" si="13"/>
        <v>100</v>
      </c>
      <c r="V35" s="667" t="s">
        <v>14</v>
      </c>
      <c r="W35" s="668">
        <f t="shared" si="14"/>
        <v>100</v>
      </c>
      <c r="X35" s="1265"/>
      <c r="Y35" s="388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882"/>
      <c r="Q36" s="1263" t="str">
        <f t="shared" si="11"/>
        <v>成新度</v>
      </c>
      <c r="R36" s="667" t="s">
        <v>14</v>
      </c>
      <c r="S36" s="668" t="e">
        <f t="shared" si="12"/>
        <v>#N/A</v>
      </c>
      <c r="T36" s="667" t="s">
        <v>14</v>
      </c>
      <c r="U36" s="668" t="e">
        <f t="shared" si="13"/>
        <v>#N/A</v>
      </c>
      <c r="V36" s="667" t="s">
        <v>14</v>
      </c>
      <c r="W36" s="668" t="e">
        <f t="shared" si="14"/>
        <v>#N/A</v>
      </c>
      <c r="X36" s="1265"/>
      <c r="Y36" s="388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882"/>
      <c r="Q37" s="530" t="str">
        <f t="shared" si="11"/>
        <v>市政基础设施</v>
      </c>
      <c r="R37" s="664" t="s">
        <v>14</v>
      </c>
      <c r="S37" s="665">
        <f t="shared" si="12"/>
        <v>100</v>
      </c>
      <c r="T37" s="664" t="s">
        <v>14</v>
      </c>
      <c r="U37" s="665">
        <f t="shared" si="13"/>
        <v>100</v>
      </c>
      <c r="V37" s="664" t="s">
        <v>14</v>
      </c>
      <c r="W37" s="665">
        <f t="shared" si="14"/>
        <v>100</v>
      </c>
      <c r="X37" s="666"/>
      <c r="Y37" s="388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882" t="s">
        <v>1696</v>
      </c>
      <c r="Q38" s="1263" t="str">
        <f t="shared" si="11"/>
        <v>业态</v>
      </c>
      <c r="R38" s="667" t="s">
        <v>14</v>
      </c>
      <c r="S38" s="668">
        <f t="shared" si="12"/>
        <v>100</v>
      </c>
      <c r="T38" s="667" t="s">
        <v>14</v>
      </c>
      <c r="U38" s="668">
        <f t="shared" si="13"/>
        <v>100</v>
      </c>
      <c r="V38" s="667" t="s">
        <v>14</v>
      </c>
      <c r="W38" s="668">
        <f t="shared" si="14"/>
        <v>100</v>
      </c>
      <c r="X38" s="1265"/>
      <c r="Y38" s="388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882"/>
      <c r="Q39" s="1263" t="str">
        <f t="shared" si="11"/>
        <v>层高</v>
      </c>
      <c r="R39" s="667" t="s">
        <v>14</v>
      </c>
      <c r="S39" s="668">
        <f t="shared" si="12"/>
        <v>100</v>
      </c>
      <c r="T39" s="667" t="s">
        <v>14</v>
      </c>
      <c r="U39" s="668">
        <f t="shared" si="13"/>
        <v>100</v>
      </c>
      <c r="V39" s="667" t="s">
        <v>14</v>
      </c>
      <c r="W39" s="668">
        <f t="shared" si="14"/>
        <v>100</v>
      </c>
      <c r="X39" s="1265"/>
      <c r="Y39" s="388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882"/>
      <c r="Q40" s="1263" t="str">
        <f t="shared" si="11"/>
        <v>单套建筑面积</v>
      </c>
      <c r="R40" s="667" t="s">
        <v>14</v>
      </c>
      <c r="S40" s="668">
        <f t="shared" si="12"/>
        <v>100</v>
      </c>
      <c r="T40" s="667" t="s">
        <v>14</v>
      </c>
      <c r="U40" s="668">
        <f t="shared" si="13"/>
        <v>100</v>
      </c>
      <c r="V40" s="667" t="s">
        <v>14</v>
      </c>
      <c r="W40" s="668">
        <f t="shared" si="14"/>
        <v>100</v>
      </c>
      <c r="X40" s="1265"/>
      <c r="Y40" s="388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882"/>
      <c r="Q41" s="531" t="str">
        <f t="shared" si="11"/>
        <v>进深比</v>
      </c>
      <c r="R41" s="669" t="s">
        <v>14</v>
      </c>
      <c r="S41" s="670">
        <f t="shared" si="12"/>
        <v>100</v>
      </c>
      <c r="T41" s="669" t="s">
        <v>14</v>
      </c>
      <c r="U41" s="670">
        <f t="shared" si="13"/>
        <v>100</v>
      </c>
      <c r="V41" s="669" t="s">
        <v>14</v>
      </c>
      <c r="W41" s="670">
        <f t="shared" si="14"/>
        <v>100</v>
      </c>
      <c r="X41" s="671"/>
      <c r="Y41" s="388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882"/>
      <c r="Q42" s="1263" t="str">
        <f t="shared" si="11"/>
        <v>内部装修</v>
      </c>
      <c r="R42" s="667" t="s">
        <v>14</v>
      </c>
      <c r="S42" s="668">
        <f t="shared" si="12"/>
        <v>100</v>
      </c>
      <c r="T42" s="667" t="s">
        <v>14</v>
      </c>
      <c r="U42" s="668">
        <f t="shared" si="13"/>
        <v>100</v>
      </c>
      <c r="V42" s="667" t="s">
        <v>14</v>
      </c>
      <c r="W42" s="668">
        <f t="shared" si="14"/>
        <v>100</v>
      </c>
      <c r="X42" s="1265"/>
      <c r="Y42" s="388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882"/>
      <c r="Q43" s="1263" t="str">
        <f t="shared" si="11"/>
        <v>内部装修维护情况</v>
      </c>
      <c r="R43" s="667" t="s">
        <v>14</v>
      </c>
      <c r="S43" s="668">
        <f t="shared" si="12"/>
        <v>100</v>
      </c>
      <c r="T43" s="667" t="s">
        <v>14</v>
      </c>
      <c r="U43" s="668">
        <f t="shared" si="13"/>
        <v>100</v>
      </c>
      <c r="V43" s="667" t="s">
        <v>14</v>
      </c>
      <c r="W43" s="668">
        <f t="shared" si="14"/>
        <v>100</v>
      </c>
      <c r="X43" s="1265"/>
      <c r="Y43" s="388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882"/>
      <c r="Q44" s="530">
        <f t="shared" si="11"/>
        <v>111</v>
      </c>
      <c r="R44" s="664" t="s">
        <v>14</v>
      </c>
      <c r="S44" s="665">
        <f t="shared" si="12"/>
        <v>100</v>
      </c>
      <c r="T44" s="664" t="s">
        <v>14</v>
      </c>
      <c r="U44" s="665">
        <f t="shared" si="13"/>
        <v>100</v>
      </c>
      <c r="V44" s="664" t="s">
        <v>14</v>
      </c>
      <c r="W44" s="665">
        <f t="shared" si="14"/>
        <v>100</v>
      </c>
      <c r="X44" s="666"/>
      <c r="Y44" s="388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882"/>
      <c r="Q45" s="1263">
        <f t="shared" si="11"/>
        <v>111</v>
      </c>
      <c r="R45" s="667" t="s">
        <v>14</v>
      </c>
      <c r="S45" s="668">
        <f t="shared" si="12"/>
        <v>100</v>
      </c>
      <c r="T45" s="667" t="s">
        <v>14</v>
      </c>
      <c r="U45" s="668">
        <f t="shared" si="13"/>
        <v>100</v>
      </c>
      <c r="V45" s="667" t="s">
        <v>14</v>
      </c>
      <c r="W45" s="668">
        <f t="shared" si="14"/>
        <v>100</v>
      </c>
      <c r="X45" s="1265"/>
      <c r="Y45" s="388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883"/>
      <c r="Q46" s="1263">
        <f t="shared" si="11"/>
        <v>111</v>
      </c>
      <c r="R46" s="667" t="s">
        <v>14</v>
      </c>
      <c r="S46" s="668">
        <f t="shared" si="12"/>
        <v>100</v>
      </c>
      <c r="T46" s="667" t="s">
        <v>14</v>
      </c>
      <c r="U46" s="668">
        <f t="shared" si="13"/>
        <v>100</v>
      </c>
      <c r="V46" s="667" t="s">
        <v>14</v>
      </c>
      <c r="W46" s="668">
        <f t="shared" si="14"/>
        <v>100</v>
      </c>
      <c r="X46" s="1265"/>
      <c r="Y46" s="388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877" t="str">
        <f>A47</f>
        <v>成交单价（元/平方米）</v>
      </c>
      <c r="Q47" s="3877"/>
      <c r="R47" s="3878">
        <f>E47</f>
        <v>0</v>
      </c>
      <c r="S47" s="3878"/>
      <c r="T47" s="3878">
        <f>G47</f>
        <v>0</v>
      </c>
      <c r="U47" s="3878"/>
      <c r="V47" s="3878">
        <f>I47</f>
        <v>0</v>
      </c>
      <c r="W47" s="387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877" t="str">
        <f>A48</f>
        <v>比较价值（元/平方米）</v>
      </c>
      <c r="Q48" s="3877"/>
      <c r="R48" s="3878" t="e">
        <f>IF(F1="售价",ROUND(PRODUCT(R47,AA7:AA46),0),ROUND(PRODUCT(R47,AA7:AA46),1))</f>
        <v>#DIV/0!</v>
      </c>
      <c r="S48" s="3878"/>
      <c r="T48" s="3878" t="e">
        <f>IF(F1="售价",ROUND(PRODUCT(T47,AB7:AB46),0),ROUND(PRODUCT(T47,AB7:AB46),1))</f>
        <v>#DIV/0!</v>
      </c>
      <c r="U48" s="3878"/>
      <c r="V48" s="3878" t="e">
        <f>IF(F1="售价",ROUND(PRODUCT(V47,AC7:AC46),0),ROUND(PRODUCT(V47,AC7:AC46),1))</f>
        <v>#DIV/0!</v>
      </c>
      <c r="W48" s="387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874" t="str">
        <f>A49</f>
        <v>估价对象XX用房的比较价值（楼面单价，元/平方米）</v>
      </c>
      <c r="Q49" s="3875"/>
      <c r="R49" s="3876" t="e">
        <f>IF(F1="售价",ROUND(IF(D48="简单平均",AVERAGE(R48:V48),R48*F48+T48*H48+V48*J48),0),ROUND(IF(D48="简单平均",AVERAGE(R48:V48),R48*F48+T48*H48+V48*J48),1))</f>
        <v>#DIV/0!</v>
      </c>
      <c r="S49" s="3876"/>
      <c r="T49" s="3876"/>
      <c r="U49" s="3876"/>
      <c r="V49" s="3876"/>
      <c r="W49" s="38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2024-6</v>
      </c>
      <c r="D58" s="1104">
        <f>EDATE(C58,-1)</f>
        <v>45413</v>
      </c>
      <c r="E58" s="1104">
        <f t="shared" ref="E58:N58" si="16">EDATE(D58,-1)</f>
        <v>45383</v>
      </c>
      <c r="F58" s="1104">
        <f t="shared" si="16"/>
        <v>45352</v>
      </c>
      <c r="G58" s="1104">
        <f t="shared" si="16"/>
        <v>45323</v>
      </c>
      <c r="H58" s="1104">
        <f t="shared" si="16"/>
        <v>45292</v>
      </c>
      <c r="I58" s="1104">
        <f t="shared" si="16"/>
        <v>45261</v>
      </c>
      <c r="J58" s="1104">
        <f t="shared" si="16"/>
        <v>45231</v>
      </c>
      <c r="K58" s="1104">
        <f t="shared" si="16"/>
        <v>45200</v>
      </c>
      <c r="L58" s="1104">
        <f t="shared" si="16"/>
        <v>45170</v>
      </c>
      <c r="M58" s="1104">
        <f t="shared" si="16"/>
        <v>45139</v>
      </c>
      <c r="N58" s="1104">
        <f t="shared" si="16"/>
        <v>45108</v>
      </c>
      <c r="O58" s="1104">
        <f>EDATE(N58,-1)</f>
        <v>45078</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F7:F46 H7:H46 J7:J46">
    <cfRule type="cellIs" dxfId="148" priority="1" operator="notEqual">
      <formula>100</formula>
    </cfRule>
  </conditionalFormatting>
  <conditionalFormatting sqref="F48">
    <cfRule type="expression" dxfId="147" priority="4">
      <formula>$D$48="简单平均"</formula>
    </cfRule>
  </conditionalFormatting>
  <conditionalFormatting sqref="F52:F54 H52:H54">
    <cfRule type="containsText" dxfId="146" priority="17" stopIfTrue="1" operator="containsText" text="超过">
      <formula>NOT(ISERROR(SEARCH("超过",F52)))</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G54">
    <cfRule type="expression" dxfId="143" priority="13" stopIfTrue="1">
      <formula>$H$54="超过30%"</formula>
    </cfRule>
  </conditionalFormatting>
  <conditionalFormatting sqref="H48">
    <cfRule type="expression" dxfId="142" priority="3">
      <formula>$D$48="简单平均"</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J48">
    <cfRule type="expression" dxfId="138" priority="2">
      <formula>$D$48="简单平均"</formula>
    </cfRule>
  </conditionalFormatting>
  <conditionalFormatting sqref="J52:J54">
    <cfRule type="containsText" dxfId="13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4" zoomScale="85" zoomScaleNormal="70" zoomScaleSheetLayoutView="85"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46330.329999999994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892" t="s">
        <v>1770</v>
      </c>
      <c r="D4" s="3893"/>
      <c r="E4" s="3894" t="s">
        <v>1771</v>
      </c>
      <c r="F4" s="3895"/>
      <c r="G4" s="3892" t="s">
        <v>1772</v>
      </c>
      <c r="H4" s="3893"/>
      <c r="I4" s="3892" t="s">
        <v>1773</v>
      </c>
      <c r="J4" s="3893"/>
      <c r="K4" s="537" t="s">
        <v>1774</v>
      </c>
      <c r="L4" s="2487"/>
      <c r="M4" s="2488"/>
      <c r="N4" s="2488"/>
      <c r="O4" s="2488"/>
      <c r="P4" s="3925" t="s">
        <v>1775</v>
      </c>
      <c r="Q4" s="3926"/>
      <c r="R4" s="3929" t="s">
        <v>1771</v>
      </c>
      <c r="S4" s="3930"/>
      <c r="T4" s="3929" t="s">
        <v>1772</v>
      </c>
      <c r="U4" s="3930"/>
      <c r="V4" s="3931" t="s">
        <v>1773</v>
      </c>
      <c r="W4" s="3931"/>
      <c r="X4" s="1809"/>
      <c r="Y4" s="3929" t="s">
        <v>1775</v>
      </c>
      <c r="Z4" s="3930"/>
      <c r="AA4" s="3933" t="s">
        <v>1771</v>
      </c>
      <c r="AB4" s="3933" t="s">
        <v>1772</v>
      </c>
      <c r="AC4" s="3922" t="s">
        <v>1773</v>
      </c>
    </row>
    <row r="5" spans="1:29" ht="15">
      <c r="A5" s="348"/>
      <c r="B5" s="349"/>
      <c r="C5" s="3910" t="s">
        <v>1673</v>
      </c>
      <c r="D5" s="3911"/>
      <c r="E5" s="3917" t="s">
        <v>1674</v>
      </c>
      <c r="F5" s="3918"/>
      <c r="G5" s="3910" t="s">
        <v>1675</v>
      </c>
      <c r="H5" s="3911"/>
      <c r="I5" s="3910" t="s">
        <v>1676</v>
      </c>
      <c r="J5" s="3911"/>
      <c r="K5" s="537"/>
      <c r="L5" s="2487"/>
      <c r="M5" s="2488"/>
      <c r="N5" s="2488"/>
      <c r="O5" s="2488"/>
      <c r="P5" s="3927"/>
      <c r="Q5" s="3899"/>
      <c r="R5" s="3904"/>
      <c r="S5" s="3905"/>
      <c r="T5" s="3904"/>
      <c r="U5" s="3905"/>
      <c r="V5" s="3878"/>
      <c r="W5" s="3878"/>
      <c r="X5" s="1265"/>
      <c r="Y5" s="3904"/>
      <c r="Z5" s="3905"/>
      <c r="AA5" s="3890"/>
      <c r="AB5" s="3890"/>
      <c r="AC5" s="3923"/>
    </row>
    <row r="6" spans="1:29" ht="15.75" thickBot="1">
      <c r="A6" s="350"/>
      <c r="B6" s="351"/>
      <c r="C6" s="3908" t="s">
        <v>1677</v>
      </c>
      <c r="D6" s="3909"/>
      <c r="E6" s="3915" t="s">
        <v>1677</v>
      </c>
      <c r="F6" s="3916"/>
      <c r="G6" s="3908" t="s">
        <v>1677</v>
      </c>
      <c r="H6" s="3909"/>
      <c r="I6" s="3908" t="s">
        <v>1677</v>
      </c>
      <c r="J6" s="3909"/>
      <c r="K6" s="537" t="s">
        <v>1678</v>
      </c>
      <c r="L6" s="2487"/>
      <c r="M6" s="2488"/>
      <c r="N6" s="2488"/>
      <c r="O6" s="2488"/>
      <c r="P6" s="3928"/>
      <c r="Q6" s="3901"/>
      <c r="R6" s="3904"/>
      <c r="S6" s="3905"/>
      <c r="T6" s="3906"/>
      <c r="U6" s="3907"/>
      <c r="V6" s="3878"/>
      <c r="W6" s="3878"/>
      <c r="X6" s="1265"/>
      <c r="Y6" s="3906"/>
      <c r="Z6" s="3907"/>
      <c r="AA6" s="3891"/>
      <c r="AB6" s="3891"/>
      <c r="AC6" s="3924"/>
    </row>
    <row r="7" spans="1:29" s="102" customFormat="1" ht="15.75" thickBot="1">
      <c r="A7" s="352" t="s">
        <v>1679</v>
      </c>
      <c r="B7" s="353"/>
      <c r="C7" s="354">
        <f>'数据-取费表'!B2</f>
        <v>45473</v>
      </c>
      <c r="D7" s="355">
        <v>100</v>
      </c>
      <c r="E7" s="356"/>
      <c r="F7" s="357">
        <f>SUMIF(59:59,YEAR(E7)&amp;"-"&amp;MONTH(E7),60:60)</f>
        <v>0</v>
      </c>
      <c r="G7" s="356"/>
      <c r="H7" s="355">
        <f>SUMIF(59:59,YEAR(G7)&amp;"-"&amp;MONTH(G7),60:60)</f>
        <v>0</v>
      </c>
      <c r="I7" s="356"/>
      <c r="J7" s="355">
        <f>SUMIF(59:59,YEAR(I7)&amp;"-"&amp;MONTH(I7),60:60)</f>
        <v>0</v>
      </c>
      <c r="K7" s="38"/>
      <c r="L7" s="2489"/>
      <c r="M7" s="2440"/>
      <c r="N7" s="2440"/>
      <c r="O7" s="2440"/>
      <c r="P7" s="3932" t="s">
        <v>1680</v>
      </c>
      <c r="Q7" s="3914"/>
      <c r="R7" s="664" t="s">
        <v>14</v>
      </c>
      <c r="S7" s="665">
        <f t="shared" ref="S7:S15" si="0">F7</f>
        <v>0</v>
      </c>
      <c r="T7" s="664" t="s">
        <v>14</v>
      </c>
      <c r="U7" s="665">
        <f t="shared" ref="U7:U15" si="1">H7</f>
        <v>0</v>
      </c>
      <c r="V7" s="664" t="s">
        <v>14</v>
      </c>
      <c r="W7" s="665">
        <f t="shared" ref="W7:W15" si="2">J7</f>
        <v>0</v>
      </c>
      <c r="X7" s="666"/>
      <c r="Y7" s="3912" t="s">
        <v>1680</v>
      </c>
      <c r="Z7" s="391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932" t="s">
        <v>1683</v>
      </c>
      <c r="Q8" s="3913"/>
      <c r="R8" s="664" t="s">
        <v>14</v>
      </c>
      <c r="S8" s="665">
        <f t="shared" si="0"/>
        <v>100</v>
      </c>
      <c r="T8" s="664" t="s">
        <v>14</v>
      </c>
      <c r="U8" s="665">
        <f t="shared" si="1"/>
        <v>100</v>
      </c>
      <c r="V8" s="664" t="s">
        <v>14</v>
      </c>
      <c r="W8" s="665">
        <f t="shared" si="2"/>
        <v>100</v>
      </c>
      <c r="X8" s="666"/>
      <c r="Y8" s="3912" t="s">
        <v>1683</v>
      </c>
      <c r="Z8" s="391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888" t="s">
        <v>1686</v>
      </c>
      <c r="Q9" s="530" t="str">
        <f t="shared" ref="Q9:Q15" si="6">B9</f>
        <v>用途</v>
      </c>
      <c r="R9" s="664" t="s">
        <v>14</v>
      </c>
      <c r="S9" s="665">
        <f t="shared" si="0"/>
        <v>100</v>
      </c>
      <c r="T9" s="664" t="s">
        <v>14</v>
      </c>
      <c r="U9" s="665">
        <f t="shared" si="1"/>
        <v>100</v>
      </c>
      <c r="V9" s="664" t="s">
        <v>14</v>
      </c>
      <c r="W9" s="665">
        <f t="shared" si="2"/>
        <v>100</v>
      </c>
      <c r="X9" s="666"/>
      <c r="Y9" s="373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888"/>
      <c r="Q10" s="530" t="str">
        <f t="shared" si="6"/>
        <v>土地使用年限（年）</v>
      </c>
      <c r="R10" s="664" t="s">
        <v>14</v>
      </c>
      <c r="S10" s="665">
        <f t="shared" si="0"/>
        <v>100</v>
      </c>
      <c r="T10" s="664" t="s">
        <v>14</v>
      </c>
      <c r="U10" s="665">
        <f t="shared" si="1"/>
        <v>100</v>
      </c>
      <c r="V10" s="664" t="s">
        <v>14</v>
      </c>
      <c r="W10" s="665">
        <f t="shared" si="2"/>
        <v>100</v>
      </c>
      <c r="X10" s="666"/>
      <c r="Y10" s="373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888"/>
      <c r="Q11" s="530" t="str">
        <f t="shared" si="6"/>
        <v>容积率</v>
      </c>
      <c r="R11" s="664" t="s">
        <v>14</v>
      </c>
      <c r="S11" s="665">
        <f t="shared" si="0"/>
        <v>100</v>
      </c>
      <c r="T11" s="664" t="s">
        <v>14</v>
      </c>
      <c r="U11" s="665">
        <f t="shared" si="1"/>
        <v>100</v>
      </c>
      <c r="V11" s="664" t="s">
        <v>14</v>
      </c>
      <c r="W11" s="665">
        <f t="shared" si="2"/>
        <v>100</v>
      </c>
      <c r="X11" s="666"/>
      <c r="Y11" s="373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888"/>
      <c r="Q12" s="530">
        <f t="shared" si="6"/>
        <v>111</v>
      </c>
      <c r="R12" s="664" t="s">
        <v>14</v>
      </c>
      <c r="S12" s="665">
        <f t="shared" si="0"/>
        <v>100</v>
      </c>
      <c r="T12" s="664" t="s">
        <v>14</v>
      </c>
      <c r="U12" s="665">
        <f t="shared" si="1"/>
        <v>100</v>
      </c>
      <c r="V12" s="664" t="s">
        <v>14</v>
      </c>
      <c r="W12" s="665">
        <f t="shared" si="2"/>
        <v>100</v>
      </c>
      <c r="X12" s="666"/>
      <c r="Y12" s="373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888"/>
      <c r="Q13" s="530">
        <f t="shared" si="6"/>
        <v>111</v>
      </c>
      <c r="R13" s="664" t="s">
        <v>14</v>
      </c>
      <c r="S13" s="665">
        <f t="shared" si="0"/>
        <v>100</v>
      </c>
      <c r="T13" s="664" t="s">
        <v>14</v>
      </c>
      <c r="U13" s="665">
        <f t="shared" si="1"/>
        <v>100</v>
      </c>
      <c r="V13" s="664" t="s">
        <v>14</v>
      </c>
      <c r="W13" s="665">
        <f t="shared" si="2"/>
        <v>100</v>
      </c>
      <c r="X13" s="666"/>
      <c r="Y13" s="373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888"/>
      <c r="Q14" s="530">
        <f t="shared" si="6"/>
        <v>111</v>
      </c>
      <c r="R14" s="664" t="s">
        <v>14</v>
      </c>
      <c r="S14" s="665">
        <f t="shared" si="0"/>
        <v>100</v>
      </c>
      <c r="T14" s="664" t="s">
        <v>14</v>
      </c>
      <c r="U14" s="665">
        <f t="shared" si="1"/>
        <v>100</v>
      </c>
      <c r="V14" s="664" t="s">
        <v>14</v>
      </c>
      <c r="W14" s="665">
        <f t="shared" si="2"/>
        <v>100</v>
      </c>
      <c r="X14" s="666"/>
      <c r="Y14" s="373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886" t="s">
        <v>1691</v>
      </c>
      <c r="Q15" s="1263" t="str">
        <f t="shared" si="6"/>
        <v>办公集聚程度</v>
      </c>
      <c r="R15" s="667" t="s">
        <v>14</v>
      </c>
      <c r="S15" s="668">
        <f t="shared" si="0"/>
        <v>100</v>
      </c>
      <c r="T15" s="667" t="s">
        <v>14</v>
      </c>
      <c r="U15" s="668">
        <f t="shared" si="1"/>
        <v>100</v>
      </c>
      <c r="V15" s="667" t="s">
        <v>14</v>
      </c>
      <c r="W15" s="668">
        <f t="shared" si="2"/>
        <v>100</v>
      </c>
      <c r="X15" s="1265"/>
      <c r="Y15" s="387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887"/>
      <c r="Q16" s="1263"/>
      <c r="R16" s="667"/>
      <c r="S16" s="668"/>
      <c r="T16" s="667"/>
      <c r="U16" s="668"/>
      <c r="V16" s="667"/>
      <c r="W16" s="668"/>
      <c r="X16" s="1265"/>
      <c r="Y16" s="388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887"/>
      <c r="Q17" s="1263" t="str">
        <f>B17</f>
        <v>交通便捷度</v>
      </c>
      <c r="R17" s="667" t="s">
        <v>14</v>
      </c>
      <c r="S17" s="668">
        <f>F17</f>
        <v>100</v>
      </c>
      <c r="T17" s="667" t="s">
        <v>14</v>
      </c>
      <c r="U17" s="668">
        <f>H17</f>
        <v>100</v>
      </c>
      <c r="V17" s="667" t="s">
        <v>14</v>
      </c>
      <c r="W17" s="668">
        <f>J17</f>
        <v>100</v>
      </c>
      <c r="X17" s="1265"/>
      <c r="Y17" s="388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887"/>
      <c r="Q18" s="1263"/>
      <c r="R18" s="667"/>
      <c r="S18" s="668"/>
      <c r="T18" s="667"/>
      <c r="U18" s="668"/>
      <c r="V18" s="667"/>
      <c r="W18" s="668"/>
      <c r="X18" s="1265"/>
      <c r="Y18" s="388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887"/>
      <c r="Q19" s="1263" t="str">
        <f>B19</f>
        <v>公共配套设施</v>
      </c>
      <c r="R19" s="667" t="s">
        <v>14</v>
      </c>
      <c r="S19" s="668">
        <f>F19</f>
        <v>100</v>
      </c>
      <c r="T19" s="667" t="s">
        <v>14</v>
      </c>
      <c r="U19" s="668">
        <f>H19</f>
        <v>100</v>
      </c>
      <c r="V19" s="667" t="s">
        <v>14</v>
      </c>
      <c r="W19" s="668">
        <f>J19</f>
        <v>100</v>
      </c>
      <c r="X19" s="1265"/>
      <c r="Y19" s="388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887"/>
      <c r="Q20" s="1263"/>
      <c r="R20" s="667"/>
      <c r="S20" s="668"/>
      <c r="T20" s="667"/>
      <c r="U20" s="668"/>
      <c r="V20" s="667"/>
      <c r="W20" s="668"/>
      <c r="X20" s="1265"/>
      <c r="Y20" s="388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887"/>
      <c r="Q21" s="1263" t="str">
        <f>B21</f>
        <v>基础设施水平</v>
      </c>
      <c r="R21" s="667" t="s">
        <v>14</v>
      </c>
      <c r="S21" s="668">
        <f>F21</f>
        <v>100</v>
      </c>
      <c r="T21" s="667" t="s">
        <v>14</v>
      </c>
      <c r="U21" s="668">
        <f>H21</f>
        <v>100</v>
      </c>
      <c r="V21" s="667" t="s">
        <v>14</v>
      </c>
      <c r="W21" s="668">
        <f>J21</f>
        <v>100</v>
      </c>
      <c r="X21" s="1265"/>
      <c r="Y21" s="388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887"/>
      <c r="Q22" s="1263"/>
      <c r="R22" s="667"/>
      <c r="S22" s="668"/>
      <c r="T22" s="667"/>
      <c r="U22" s="668"/>
      <c r="V22" s="667"/>
      <c r="W22" s="668"/>
      <c r="X22" s="1265"/>
      <c r="Y22" s="388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887"/>
      <c r="Q23" s="1263" t="str">
        <f>B23</f>
        <v>环境质量</v>
      </c>
      <c r="R23" s="667" t="s">
        <v>14</v>
      </c>
      <c r="S23" s="668">
        <f>F23</f>
        <v>100</v>
      </c>
      <c r="T23" s="667" t="s">
        <v>14</v>
      </c>
      <c r="U23" s="668">
        <f>H23</f>
        <v>100</v>
      </c>
      <c r="V23" s="667" t="s">
        <v>14</v>
      </c>
      <c r="W23" s="668">
        <f>J23</f>
        <v>100</v>
      </c>
      <c r="X23" s="1265"/>
      <c r="Y23" s="388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887"/>
      <c r="Q24" s="1263"/>
      <c r="R24" s="667"/>
      <c r="S24" s="668"/>
      <c r="T24" s="667"/>
      <c r="U24" s="668"/>
      <c r="V24" s="667"/>
      <c r="W24" s="668"/>
      <c r="X24" s="1265"/>
      <c r="Y24" s="388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887"/>
      <c r="Q25" s="1263" t="str">
        <f>B25</f>
        <v>毗邻道路的类型与等级</v>
      </c>
      <c r="R25" s="667" t="s">
        <v>14</v>
      </c>
      <c r="S25" s="668">
        <f>F25</f>
        <v>100</v>
      </c>
      <c r="T25" s="667" t="s">
        <v>14</v>
      </c>
      <c r="U25" s="668">
        <f>H25</f>
        <v>100</v>
      </c>
      <c r="V25" s="667" t="s">
        <v>14</v>
      </c>
      <c r="W25" s="668">
        <f>J25</f>
        <v>100</v>
      </c>
      <c r="X25" s="1265"/>
      <c r="Y25" s="388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887"/>
      <c r="Q26" s="1263"/>
      <c r="R26" s="667"/>
      <c r="S26" s="668"/>
      <c r="T26" s="667"/>
      <c r="U26" s="668"/>
      <c r="V26" s="667"/>
      <c r="W26" s="668"/>
      <c r="X26" s="1265"/>
      <c r="Y26" s="388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887"/>
      <c r="Q27" s="1263" t="str">
        <f t="shared" ref="Q27:Q47" si="11">B27</f>
        <v>楼层</v>
      </c>
      <c r="R27" s="667" t="s">
        <v>14</v>
      </c>
      <c r="S27" s="668">
        <f>F27</f>
        <v>100</v>
      </c>
      <c r="T27" s="667" t="s">
        <v>14</v>
      </c>
      <c r="U27" s="668">
        <f>H27</f>
        <v>100</v>
      </c>
      <c r="V27" s="667" t="s">
        <v>14</v>
      </c>
      <c r="W27" s="668">
        <f>J27</f>
        <v>100</v>
      </c>
      <c r="X27" s="1265"/>
      <c r="Y27" s="388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887"/>
      <c r="Q28" s="530" t="str">
        <f t="shared" si="11"/>
        <v>朝向</v>
      </c>
      <c r="R28" s="664" t="s">
        <v>14</v>
      </c>
      <c r="S28" s="665">
        <f>F28</f>
        <v>100</v>
      </c>
      <c r="T28" s="664" t="s">
        <v>14</v>
      </c>
      <c r="U28" s="665">
        <f>H28</f>
        <v>100</v>
      </c>
      <c r="V28" s="664" t="s">
        <v>14</v>
      </c>
      <c r="W28" s="665">
        <f>J28</f>
        <v>100</v>
      </c>
      <c r="X28" s="666"/>
      <c r="Y28" s="388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887"/>
      <c r="Q29" s="1263">
        <f t="shared" si="11"/>
        <v>111</v>
      </c>
      <c r="R29" s="667" t="s">
        <v>14</v>
      </c>
      <c r="S29" s="668">
        <f t="shared" ref="S29:S47" si="12">F29</f>
        <v>100</v>
      </c>
      <c r="T29" s="667" t="s">
        <v>14</v>
      </c>
      <c r="U29" s="668">
        <f t="shared" ref="U29:U47" si="13">H29</f>
        <v>100</v>
      </c>
      <c r="V29" s="667" t="s">
        <v>14</v>
      </c>
      <c r="W29" s="668">
        <f t="shared" ref="W29:W47" si="14">J29</f>
        <v>100</v>
      </c>
      <c r="X29" s="1265"/>
      <c r="Y29" s="388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887"/>
      <c r="Q30" s="1263">
        <f t="shared" si="11"/>
        <v>111</v>
      </c>
      <c r="R30" s="667" t="s">
        <v>14</v>
      </c>
      <c r="S30" s="668">
        <f t="shared" si="12"/>
        <v>100</v>
      </c>
      <c r="T30" s="667" t="s">
        <v>14</v>
      </c>
      <c r="U30" s="668">
        <f t="shared" si="13"/>
        <v>100</v>
      </c>
      <c r="V30" s="667" t="s">
        <v>14</v>
      </c>
      <c r="W30" s="668">
        <f t="shared" si="14"/>
        <v>100</v>
      </c>
      <c r="X30" s="1265"/>
      <c r="Y30" s="388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887"/>
      <c r="Q31" s="1263">
        <f t="shared" si="11"/>
        <v>111</v>
      </c>
      <c r="R31" s="667" t="s">
        <v>14</v>
      </c>
      <c r="S31" s="668">
        <f t="shared" si="12"/>
        <v>100</v>
      </c>
      <c r="T31" s="667" t="s">
        <v>14</v>
      </c>
      <c r="U31" s="668">
        <f t="shared" si="13"/>
        <v>100</v>
      </c>
      <c r="V31" s="667" t="s">
        <v>14</v>
      </c>
      <c r="W31" s="668">
        <f t="shared" si="14"/>
        <v>100</v>
      </c>
      <c r="X31" s="1265"/>
      <c r="Y31" s="388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887"/>
      <c r="Q32" s="1263">
        <f t="shared" si="11"/>
        <v>111</v>
      </c>
      <c r="R32" s="667" t="s">
        <v>14</v>
      </c>
      <c r="S32" s="668">
        <f t="shared" si="12"/>
        <v>100</v>
      </c>
      <c r="T32" s="667" t="s">
        <v>14</v>
      </c>
      <c r="U32" s="668">
        <f t="shared" si="13"/>
        <v>100</v>
      </c>
      <c r="V32" s="667" t="s">
        <v>14</v>
      </c>
      <c r="W32" s="668">
        <f t="shared" si="14"/>
        <v>100</v>
      </c>
      <c r="X32" s="1265"/>
      <c r="Y32" s="388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881" t="s">
        <v>1696</v>
      </c>
      <c r="Q33" s="1263" t="str">
        <f t="shared" si="11"/>
        <v>建筑类型</v>
      </c>
      <c r="R33" s="667" t="s">
        <v>14</v>
      </c>
      <c r="S33" s="668">
        <f t="shared" si="12"/>
        <v>100</v>
      </c>
      <c r="T33" s="667" t="s">
        <v>14</v>
      </c>
      <c r="U33" s="668">
        <f t="shared" si="13"/>
        <v>100</v>
      </c>
      <c r="V33" s="667" t="s">
        <v>14</v>
      </c>
      <c r="W33" s="668">
        <f t="shared" si="14"/>
        <v>100</v>
      </c>
      <c r="X33" s="1265"/>
      <c r="Y33" s="388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882"/>
      <c r="Q34" s="531" t="str">
        <f t="shared" si="11"/>
        <v>项目建筑规模</v>
      </c>
      <c r="R34" s="669" t="s">
        <v>14</v>
      </c>
      <c r="S34" s="670" t="e">
        <f t="shared" si="12"/>
        <v>#N/A</v>
      </c>
      <c r="T34" s="669" t="s">
        <v>14</v>
      </c>
      <c r="U34" s="670" t="e">
        <f t="shared" si="13"/>
        <v>#N/A</v>
      </c>
      <c r="V34" s="669" t="s">
        <v>14</v>
      </c>
      <c r="W34" s="670" t="e">
        <f t="shared" si="14"/>
        <v>#N/A</v>
      </c>
      <c r="X34" s="671"/>
      <c r="Y34" s="388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882"/>
      <c r="Q35" s="1263" t="str">
        <f t="shared" si="11"/>
        <v>建筑结构</v>
      </c>
      <c r="R35" s="667" t="s">
        <v>14</v>
      </c>
      <c r="S35" s="668">
        <f t="shared" si="12"/>
        <v>100</v>
      </c>
      <c r="T35" s="667" t="s">
        <v>14</v>
      </c>
      <c r="U35" s="668">
        <f t="shared" si="13"/>
        <v>100</v>
      </c>
      <c r="V35" s="667" t="s">
        <v>14</v>
      </c>
      <c r="W35" s="668">
        <f t="shared" si="14"/>
        <v>100</v>
      </c>
      <c r="X35" s="1265"/>
      <c r="Y35" s="388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882"/>
      <c r="Q36" s="1263" t="str">
        <f t="shared" si="11"/>
        <v>公共部分装修</v>
      </c>
      <c r="R36" s="667" t="s">
        <v>14</v>
      </c>
      <c r="S36" s="668">
        <f t="shared" si="12"/>
        <v>100</v>
      </c>
      <c r="T36" s="667" t="s">
        <v>14</v>
      </c>
      <c r="U36" s="668">
        <f t="shared" si="13"/>
        <v>100</v>
      </c>
      <c r="V36" s="667" t="s">
        <v>14</v>
      </c>
      <c r="W36" s="668">
        <f t="shared" si="14"/>
        <v>100</v>
      </c>
      <c r="X36" s="1265"/>
      <c r="Y36" s="388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882"/>
      <c r="Q37" s="1263" t="str">
        <f t="shared" si="11"/>
        <v>成新度</v>
      </c>
      <c r="R37" s="667" t="s">
        <v>14</v>
      </c>
      <c r="S37" s="668" t="e">
        <f t="shared" si="12"/>
        <v>#N/A</v>
      </c>
      <c r="T37" s="667" t="s">
        <v>14</v>
      </c>
      <c r="U37" s="668" t="e">
        <f t="shared" si="13"/>
        <v>#N/A</v>
      </c>
      <c r="V37" s="667" t="s">
        <v>14</v>
      </c>
      <c r="W37" s="668" t="e">
        <f t="shared" si="14"/>
        <v>#N/A</v>
      </c>
      <c r="X37" s="1265"/>
      <c r="Y37" s="388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882"/>
      <c r="Q38" s="530" t="str">
        <f t="shared" si="11"/>
        <v>写字楼等级</v>
      </c>
      <c r="R38" s="664" t="s">
        <v>14</v>
      </c>
      <c r="S38" s="665">
        <f t="shared" si="12"/>
        <v>100</v>
      </c>
      <c r="T38" s="664" t="s">
        <v>14</v>
      </c>
      <c r="U38" s="665">
        <f t="shared" si="13"/>
        <v>100</v>
      </c>
      <c r="V38" s="664" t="s">
        <v>14</v>
      </c>
      <c r="W38" s="665">
        <f t="shared" si="14"/>
        <v>100</v>
      </c>
      <c r="X38" s="666"/>
      <c r="Y38" s="388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882" t="s">
        <v>1696</v>
      </c>
      <c r="Q39" s="1263" t="str">
        <f t="shared" si="11"/>
        <v>物业管理</v>
      </c>
      <c r="R39" s="667" t="s">
        <v>14</v>
      </c>
      <c r="S39" s="668">
        <f t="shared" si="12"/>
        <v>100</v>
      </c>
      <c r="T39" s="667" t="s">
        <v>14</v>
      </c>
      <c r="U39" s="668">
        <f t="shared" si="13"/>
        <v>100</v>
      </c>
      <c r="V39" s="667" t="s">
        <v>14</v>
      </c>
      <c r="W39" s="668">
        <f t="shared" si="14"/>
        <v>100</v>
      </c>
      <c r="X39" s="1265"/>
      <c r="Y39" s="388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882"/>
      <c r="Q40" s="1263" t="str">
        <f t="shared" si="11"/>
        <v>市政基础设施</v>
      </c>
      <c r="R40" s="667" t="s">
        <v>14</v>
      </c>
      <c r="S40" s="668">
        <f t="shared" si="12"/>
        <v>100</v>
      </c>
      <c r="T40" s="667" t="s">
        <v>14</v>
      </c>
      <c r="U40" s="668">
        <f t="shared" si="13"/>
        <v>100</v>
      </c>
      <c r="V40" s="667" t="s">
        <v>14</v>
      </c>
      <c r="W40" s="668">
        <f t="shared" si="14"/>
        <v>100</v>
      </c>
      <c r="X40" s="1265"/>
      <c r="Y40" s="388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882"/>
      <c r="Q41" s="1263" t="str">
        <f t="shared" si="11"/>
        <v>层高</v>
      </c>
      <c r="R41" s="667" t="s">
        <v>14</v>
      </c>
      <c r="S41" s="668">
        <f t="shared" si="12"/>
        <v>100</v>
      </c>
      <c r="T41" s="667" t="s">
        <v>14</v>
      </c>
      <c r="U41" s="668">
        <f t="shared" si="13"/>
        <v>100</v>
      </c>
      <c r="V41" s="667" t="s">
        <v>14</v>
      </c>
      <c r="W41" s="668">
        <f t="shared" si="14"/>
        <v>100</v>
      </c>
      <c r="X41" s="1265"/>
      <c r="Y41" s="388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882"/>
      <c r="Q42" s="531" t="str">
        <f t="shared" si="11"/>
        <v>单套建筑面积</v>
      </c>
      <c r="R42" s="669" t="s">
        <v>14</v>
      </c>
      <c r="S42" s="670">
        <f t="shared" si="12"/>
        <v>100</v>
      </c>
      <c r="T42" s="669" t="s">
        <v>14</v>
      </c>
      <c r="U42" s="670">
        <f t="shared" si="13"/>
        <v>100</v>
      </c>
      <c r="V42" s="669" t="s">
        <v>14</v>
      </c>
      <c r="W42" s="670">
        <f t="shared" si="14"/>
        <v>100</v>
      </c>
      <c r="X42" s="671"/>
      <c r="Y42" s="388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882"/>
      <c r="Q43" s="1263" t="str">
        <f t="shared" si="11"/>
        <v>内部装修</v>
      </c>
      <c r="R43" s="667" t="s">
        <v>14</v>
      </c>
      <c r="S43" s="668">
        <f t="shared" si="12"/>
        <v>100</v>
      </c>
      <c r="T43" s="667" t="s">
        <v>14</v>
      </c>
      <c r="U43" s="668">
        <f t="shared" si="13"/>
        <v>100</v>
      </c>
      <c r="V43" s="667" t="s">
        <v>14</v>
      </c>
      <c r="W43" s="668">
        <f t="shared" si="14"/>
        <v>100</v>
      </c>
      <c r="X43" s="1265"/>
      <c r="Y43" s="388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882"/>
      <c r="Q44" s="1263" t="str">
        <f t="shared" si="11"/>
        <v>内部装修维护情况</v>
      </c>
      <c r="R44" s="667" t="s">
        <v>14</v>
      </c>
      <c r="S44" s="668">
        <f t="shared" si="12"/>
        <v>100</v>
      </c>
      <c r="T44" s="667" t="s">
        <v>14</v>
      </c>
      <c r="U44" s="668">
        <f t="shared" si="13"/>
        <v>100</v>
      </c>
      <c r="V44" s="667" t="s">
        <v>14</v>
      </c>
      <c r="W44" s="668">
        <f t="shared" si="14"/>
        <v>100</v>
      </c>
      <c r="X44" s="1265"/>
      <c r="Y44" s="388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882"/>
      <c r="Q45" s="530">
        <f t="shared" si="11"/>
        <v>111</v>
      </c>
      <c r="R45" s="664" t="s">
        <v>14</v>
      </c>
      <c r="S45" s="665">
        <f t="shared" si="12"/>
        <v>100</v>
      </c>
      <c r="T45" s="664" t="s">
        <v>14</v>
      </c>
      <c r="U45" s="665">
        <f t="shared" si="13"/>
        <v>100</v>
      </c>
      <c r="V45" s="664" t="s">
        <v>14</v>
      </c>
      <c r="W45" s="665">
        <f t="shared" si="14"/>
        <v>100</v>
      </c>
      <c r="X45" s="666"/>
      <c r="Y45" s="388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882"/>
      <c r="Q46" s="1263">
        <f t="shared" si="11"/>
        <v>111</v>
      </c>
      <c r="R46" s="667" t="s">
        <v>14</v>
      </c>
      <c r="S46" s="668">
        <f t="shared" si="12"/>
        <v>100</v>
      </c>
      <c r="T46" s="667" t="s">
        <v>14</v>
      </c>
      <c r="U46" s="668">
        <f t="shared" si="13"/>
        <v>100</v>
      </c>
      <c r="V46" s="667" t="s">
        <v>14</v>
      </c>
      <c r="W46" s="668">
        <f t="shared" si="14"/>
        <v>100</v>
      </c>
      <c r="X46" s="1265"/>
      <c r="Y46" s="388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883"/>
      <c r="Q47" s="1263">
        <f t="shared" si="11"/>
        <v>111</v>
      </c>
      <c r="R47" s="667" t="s">
        <v>14</v>
      </c>
      <c r="S47" s="668">
        <f t="shared" si="12"/>
        <v>100</v>
      </c>
      <c r="T47" s="667" t="s">
        <v>14</v>
      </c>
      <c r="U47" s="668">
        <f t="shared" si="13"/>
        <v>100</v>
      </c>
      <c r="V47" s="667" t="s">
        <v>14</v>
      </c>
      <c r="W47" s="668">
        <f t="shared" si="14"/>
        <v>100</v>
      </c>
      <c r="X47" s="1265"/>
      <c r="Y47" s="388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888" t="str">
        <f>A48</f>
        <v>成交单价（元/平方米）</v>
      </c>
      <c r="Q48" s="3877"/>
      <c r="R48" s="3878">
        <f>E48</f>
        <v>0</v>
      </c>
      <c r="S48" s="3878"/>
      <c r="T48" s="3878">
        <f>G48</f>
        <v>0</v>
      </c>
      <c r="U48" s="3878"/>
      <c r="V48" s="3878">
        <f>I48</f>
        <v>0</v>
      </c>
      <c r="W48" s="387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888" t="str">
        <f>A49</f>
        <v>比较价值（元/平方米）</v>
      </c>
      <c r="Q49" s="3877"/>
      <c r="R49" s="3878" t="e">
        <f>IF(F1="售价",ROUND(PRODUCT(R48,AA7:AA47),0),ROUND(PRODUCT(R48,AA7:AA47),1))</f>
        <v>#DIV/0!</v>
      </c>
      <c r="S49" s="3878"/>
      <c r="T49" s="3878" t="e">
        <f>IF(F1="售价",ROUND(PRODUCT(T48,AB7:AB47),0),ROUND(PRODUCT(T48,AB7:AB47),1))</f>
        <v>#DIV/0!</v>
      </c>
      <c r="U49" s="3878"/>
      <c r="V49" s="3878" t="e">
        <f>IF(F1="售价",ROUND(PRODUCT(V48,AC7:AC47),0),ROUND(PRODUCT(V48,AC7:AC47),1))</f>
        <v>#DIV/0!</v>
      </c>
      <c r="W49" s="387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919" t="str">
        <f>A50</f>
        <v>估价对象XX用房的比较价值（楼面单价，元/平方米）</v>
      </c>
      <c r="Q50" s="3920"/>
      <c r="R50" s="3921" t="e">
        <f>IF(F1="售价",ROUND(IF(D49="简单平均",AVERAGE(R49:V49),R49*F49+T49*H49+V49*J49),0),ROUND(IF(D49="简单平均",AVERAGE(R49:V49),R49*F49+T49*H49+V49*J49),1))</f>
        <v>#DIV/0!</v>
      </c>
      <c r="S50" s="3921"/>
      <c r="T50" s="3921"/>
      <c r="U50" s="3921"/>
      <c r="V50" s="3921"/>
      <c r="W50" s="392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2024-6</v>
      </c>
      <c r="D59" s="1104">
        <f>EDATE(C59,-1)</f>
        <v>45413</v>
      </c>
      <c r="E59" s="1104">
        <f>EDATE(D59,-1)</f>
        <v>45383</v>
      </c>
      <c r="F59" s="1104">
        <f t="shared" ref="F59:O59" si="16">EDATE(E59,-1)</f>
        <v>45352</v>
      </c>
      <c r="G59" s="1104">
        <f t="shared" si="16"/>
        <v>45323</v>
      </c>
      <c r="H59" s="1104">
        <f t="shared" si="16"/>
        <v>45292</v>
      </c>
      <c r="I59" s="1104">
        <f t="shared" si="16"/>
        <v>45261</v>
      </c>
      <c r="J59" s="1104">
        <f t="shared" si="16"/>
        <v>45231</v>
      </c>
      <c r="K59" s="1104">
        <f t="shared" si="16"/>
        <v>45200</v>
      </c>
      <c r="L59" s="1104">
        <f t="shared" si="16"/>
        <v>45170</v>
      </c>
      <c r="M59" s="1104">
        <f t="shared" si="16"/>
        <v>45139</v>
      </c>
      <c r="N59" s="1104">
        <f t="shared" si="16"/>
        <v>45108</v>
      </c>
      <c r="O59" s="1104">
        <f t="shared" si="16"/>
        <v>45078</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46330.329999999994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892" t="s">
        <v>1770</v>
      </c>
      <c r="D4" s="3893"/>
      <c r="E4" s="3894" t="s">
        <v>1771</v>
      </c>
      <c r="F4" s="3895"/>
      <c r="G4" s="3892" t="s">
        <v>1772</v>
      </c>
      <c r="H4" s="3893"/>
      <c r="I4" s="3892" t="s">
        <v>1773</v>
      </c>
      <c r="J4" s="3893"/>
      <c r="K4" s="537" t="s">
        <v>1774</v>
      </c>
      <c r="L4" s="860"/>
      <c r="M4" s="861"/>
      <c r="N4" s="861"/>
      <c r="O4" s="861"/>
      <c r="P4" s="3896" t="s">
        <v>1775</v>
      </c>
      <c r="Q4" s="3897"/>
      <c r="R4" s="3902" t="s">
        <v>1771</v>
      </c>
      <c r="S4" s="3903"/>
      <c r="T4" s="3902" t="s">
        <v>1772</v>
      </c>
      <c r="U4" s="3903"/>
      <c r="V4" s="3878" t="s">
        <v>1773</v>
      </c>
      <c r="W4" s="3878"/>
      <c r="X4" s="1265"/>
      <c r="Y4" s="3902" t="s">
        <v>1775</v>
      </c>
      <c r="Z4" s="3903"/>
      <c r="AA4" s="3889" t="s">
        <v>1771</v>
      </c>
      <c r="AB4" s="3890" t="s">
        <v>1772</v>
      </c>
      <c r="AC4" s="3889" t="s">
        <v>1773</v>
      </c>
    </row>
    <row r="5" spans="1:29" ht="15">
      <c r="A5" s="348"/>
      <c r="B5" s="349"/>
      <c r="C5" s="3910" t="s">
        <v>1673</v>
      </c>
      <c r="D5" s="3911"/>
      <c r="E5" s="3917" t="s">
        <v>1674</v>
      </c>
      <c r="F5" s="3918"/>
      <c r="G5" s="3910" t="s">
        <v>1675</v>
      </c>
      <c r="H5" s="3911"/>
      <c r="I5" s="3910" t="s">
        <v>1676</v>
      </c>
      <c r="J5" s="3911"/>
      <c r="K5" s="537"/>
      <c r="L5" s="860"/>
      <c r="M5" s="861"/>
      <c r="N5" s="861"/>
      <c r="O5" s="861"/>
      <c r="P5" s="3898"/>
      <c r="Q5" s="3899"/>
      <c r="R5" s="3904"/>
      <c r="S5" s="3905"/>
      <c r="T5" s="3904"/>
      <c r="U5" s="3905"/>
      <c r="V5" s="3878"/>
      <c r="W5" s="3878"/>
      <c r="X5" s="1265"/>
      <c r="Y5" s="3904"/>
      <c r="Z5" s="3905"/>
      <c r="AA5" s="3890"/>
      <c r="AB5" s="3890"/>
      <c r="AC5" s="3890"/>
    </row>
    <row r="6" spans="1:29" ht="15.75" thickBot="1">
      <c r="A6" s="350"/>
      <c r="B6" s="351"/>
      <c r="C6" s="3908" t="s">
        <v>1677</v>
      </c>
      <c r="D6" s="3909"/>
      <c r="E6" s="3915" t="s">
        <v>1677</v>
      </c>
      <c r="F6" s="3916"/>
      <c r="G6" s="3908" t="s">
        <v>1677</v>
      </c>
      <c r="H6" s="3909"/>
      <c r="I6" s="3908" t="s">
        <v>1677</v>
      </c>
      <c r="J6" s="3909"/>
      <c r="K6" s="537" t="s">
        <v>1678</v>
      </c>
      <c r="L6" s="860"/>
      <c r="M6" s="861"/>
      <c r="N6" s="861"/>
      <c r="O6" s="861"/>
      <c r="P6" s="3900"/>
      <c r="Q6" s="3901"/>
      <c r="R6" s="3904"/>
      <c r="S6" s="3905"/>
      <c r="T6" s="3906"/>
      <c r="U6" s="3907"/>
      <c r="V6" s="3878"/>
      <c r="W6" s="3878"/>
      <c r="X6" s="1265"/>
      <c r="Y6" s="3906"/>
      <c r="Z6" s="3907"/>
      <c r="AA6" s="3891"/>
      <c r="AB6" s="3891"/>
      <c r="AC6" s="3891"/>
    </row>
    <row r="7" spans="1:29" s="102" customFormat="1" ht="15.75" thickBot="1">
      <c r="A7" s="352" t="s">
        <v>1679</v>
      </c>
      <c r="B7" s="353"/>
      <c r="C7" s="354">
        <f>'数据-取费表'!B2</f>
        <v>45473</v>
      </c>
      <c r="D7" s="355">
        <v>100</v>
      </c>
      <c r="E7" s="356"/>
      <c r="F7" s="357">
        <f>SUMIF(52:52,YEAR(E7)&amp;"-"&amp;MONTH(E7),53:53)</f>
        <v>0</v>
      </c>
      <c r="G7" s="356"/>
      <c r="H7" s="355">
        <f>SUMIF(52:52,YEAR(G7)&amp;"-"&amp;MONTH(G7),53:53)</f>
        <v>0</v>
      </c>
      <c r="I7" s="356"/>
      <c r="J7" s="355">
        <f>SUMIF(52:52,YEAR(I7)&amp;"-"&amp;MONTH(I7),53:53)</f>
        <v>0</v>
      </c>
      <c r="K7" s="38"/>
      <c r="L7" s="862"/>
      <c r="M7" s="863"/>
      <c r="N7" s="863"/>
      <c r="O7" s="863"/>
      <c r="P7" s="3912" t="s">
        <v>1680</v>
      </c>
      <c r="Q7" s="3914"/>
      <c r="R7" s="664" t="s">
        <v>14</v>
      </c>
      <c r="S7" s="665">
        <f t="shared" ref="S7:S15" si="0">F7</f>
        <v>0</v>
      </c>
      <c r="T7" s="664" t="s">
        <v>14</v>
      </c>
      <c r="U7" s="665">
        <f t="shared" ref="U7:U15" si="1">H7</f>
        <v>0</v>
      </c>
      <c r="V7" s="664" t="s">
        <v>14</v>
      </c>
      <c r="W7" s="665">
        <f t="shared" ref="W7:W15" si="2">J7</f>
        <v>0</v>
      </c>
      <c r="X7" s="666"/>
      <c r="Y7" s="3912" t="s">
        <v>1680</v>
      </c>
      <c r="Z7" s="391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912" t="s">
        <v>1683</v>
      </c>
      <c r="Q8" s="3913"/>
      <c r="R8" s="664" t="s">
        <v>14</v>
      </c>
      <c r="S8" s="665">
        <f t="shared" si="0"/>
        <v>100</v>
      </c>
      <c r="T8" s="664" t="s">
        <v>14</v>
      </c>
      <c r="U8" s="665">
        <f t="shared" si="1"/>
        <v>100</v>
      </c>
      <c r="V8" s="664" t="s">
        <v>14</v>
      </c>
      <c r="W8" s="665">
        <f t="shared" si="2"/>
        <v>100</v>
      </c>
      <c r="X8" s="666"/>
      <c r="Y8" s="3912" t="s">
        <v>1683</v>
      </c>
      <c r="Z8" s="391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877" t="s">
        <v>1686</v>
      </c>
      <c r="Q9" s="530" t="str">
        <f t="shared" ref="Q9:Q15" si="6">B9</f>
        <v>用途</v>
      </c>
      <c r="R9" s="664" t="s">
        <v>14</v>
      </c>
      <c r="S9" s="665">
        <f t="shared" si="0"/>
        <v>100</v>
      </c>
      <c r="T9" s="664" t="s">
        <v>14</v>
      </c>
      <c r="U9" s="665">
        <f t="shared" si="1"/>
        <v>100</v>
      </c>
      <c r="V9" s="664" t="s">
        <v>14</v>
      </c>
      <c r="W9" s="665">
        <f t="shared" si="2"/>
        <v>100</v>
      </c>
      <c r="X9" s="666"/>
      <c r="Y9" s="373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877"/>
      <c r="Q10" s="530" t="str">
        <f t="shared" si="6"/>
        <v>土地使用年限（年）</v>
      </c>
      <c r="R10" s="664" t="s">
        <v>14</v>
      </c>
      <c r="S10" s="665">
        <f t="shared" si="0"/>
        <v>100</v>
      </c>
      <c r="T10" s="664" t="s">
        <v>14</v>
      </c>
      <c r="U10" s="665">
        <f t="shared" si="1"/>
        <v>100</v>
      </c>
      <c r="V10" s="664" t="s">
        <v>14</v>
      </c>
      <c r="W10" s="665">
        <f t="shared" si="2"/>
        <v>100</v>
      </c>
      <c r="X10" s="666"/>
      <c r="Y10" s="373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877"/>
      <c r="Q11" s="530" t="str">
        <f t="shared" si="6"/>
        <v>容积率</v>
      </c>
      <c r="R11" s="664" t="s">
        <v>14</v>
      </c>
      <c r="S11" s="665">
        <f t="shared" si="0"/>
        <v>100</v>
      </c>
      <c r="T11" s="664" t="s">
        <v>14</v>
      </c>
      <c r="U11" s="665">
        <f t="shared" si="1"/>
        <v>100</v>
      </c>
      <c r="V11" s="664" t="s">
        <v>14</v>
      </c>
      <c r="W11" s="665">
        <f t="shared" si="2"/>
        <v>100</v>
      </c>
      <c r="X11" s="666"/>
      <c r="Y11" s="373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877"/>
      <c r="Q12" s="530">
        <f t="shared" si="6"/>
        <v>111</v>
      </c>
      <c r="R12" s="664" t="s">
        <v>14</v>
      </c>
      <c r="S12" s="665">
        <f t="shared" si="0"/>
        <v>100</v>
      </c>
      <c r="T12" s="664" t="s">
        <v>14</v>
      </c>
      <c r="U12" s="665">
        <f t="shared" si="1"/>
        <v>100</v>
      </c>
      <c r="V12" s="664" t="s">
        <v>14</v>
      </c>
      <c r="W12" s="665">
        <f t="shared" si="2"/>
        <v>100</v>
      </c>
      <c r="X12" s="666"/>
      <c r="Y12" s="373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877"/>
      <c r="Q13" s="530">
        <f t="shared" si="6"/>
        <v>111</v>
      </c>
      <c r="R13" s="664" t="s">
        <v>14</v>
      </c>
      <c r="S13" s="665">
        <f t="shared" si="0"/>
        <v>100</v>
      </c>
      <c r="T13" s="664" t="s">
        <v>14</v>
      </c>
      <c r="U13" s="665">
        <f t="shared" si="1"/>
        <v>100</v>
      </c>
      <c r="V13" s="664" t="s">
        <v>14</v>
      </c>
      <c r="W13" s="665">
        <f t="shared" si="2"/>
        <v>100</v>
      </c>
      <c r="X13" s="666"/>
      <c r="Y13" s="373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877"/>
      <c r="Q14" s="530">
        <f t="shared" si="6"/>
        <v>111</v>
      </c>
      <c r="R14" s="664" t="s">
        <v>14</v>
      </c>
      <c r="S14" s="665">
        <f t="shared" si="0"/>
        <v>100</v>
      </c>
      <c r="T14" s="664" t="s">
        <v>14</v>
      </c>
      <c r="U14" s="665">
        <f t="shared" si="1"/>
        <v>100</v>
      </c>
      <c r="V14" s="664" t="s">
        <v>14</v>
      </c>
      <c r="W14" s="665">
        <f t="shared" si="2"/>
        <v>100</v>
      </c>
      <c r="X14" s="666"/>
      <c r="Y14" s="373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879" t="s">
        <v>1691</v>
      </c>
      <c r="Q15" s="1263" t="str">
        <f t="shared" si="6"/>
        <v>产业集聚程度</v>
      </c>
      <c r="R15" s="667" t="s">
        <v>14</v>
      </c>
      <c r="S15" s="668">
        <f t="shared" si="0"/>
        <v>100</v>
      </c>
      <c r="T15" s="667" t="s">
        <v>14</v>
      </c>
      <c r="U15" s="668">
        <f t="shared" si="1"/>
        <v>100</v>
      </c>
      <c r="V15" s="667" t="s">
        <v>14</v>
      </c>
      <c r="W15" s="668">
        <f t="shared" si="2"/>
        <v>100</v>
      </c>
      <c r="X15" s="1265"/>
      <c r="Y15" s="387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880"/>
      <c r="Q16" s="1263"/>
      <c r="R16" s="667"/>
      <c r="S16" s="668"/>
      <c r="T16" s="667"/>
      <c r="U16" s="668"/>
      <c r="V16" s="667"/>
      <c r="W16" s="668"/>
      <c r="X16" s="1265"/>
      <c r="Y16" s="388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880"/>
      <c r="Q17" s="1263" t="str">
        <f>B17</f>
        <v>交通便捷度</v>
      </c>
      <c r="R17" s="667" t="s">
        <v>14</v>
      </c>
      <c r="S17" s="668">
        <f>F17</f>
        <v>100</v>
      </c>
      <c r="T17" s="667" t="s">
        <v>14</v>
      </c>
      <c r="U17" s="668">
        <f>H17</f>
        <v>100</v>
      </c>
      <c r="V17" s="667" t="s">
        <v>14</v>
      </c>
      <c r="W17" s="668">
        <f>J17</f>
        <v>100</v>
      </c>
      <c r="X17" s="1265"/>
      <c r="Y17" s="38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880"/>
      <c r="Q18" s="1263"/>
      <c r="R18" s="667"/>
      <c r="S18" s="668"/>
      <c r="T18" s="667"/>
      <c r="U18" s="668"/>
      <c r="V18" s="667"/>
      <c r="W18" s="668"/>
      <c r="X18" s="1265"/>
      <c r="Y18" s="388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880"/>
      <c r="Q19" s="1263" t="str">
        <f>B19</f>
        <v>公共配套设施</v>
      </c>
      <c r="R19" s="667" t="s">
        <v>14</v>
      </c>
      <c r="S19" s="668">
        <f>F19</f>
        <v>100</v>
      </c>
      <c r="T19" s="667" t="s">
        <v>14</v>
      </c>
      <c r="U19" s="668">
        <f>H19</f>
        <v>100</v>
      </c>
      <c r="V19" s="667" t="s">
        <v>14</v>
      </c>
      <c r="W19" s="668">
        <f>J19</f>
        <v>100</v>
      </c>
      <c r="X19" s="1265"/>
      <c r="Y19" s="38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880"/>
      <c r="Q20" s="1263"/>
      <c r="R20" s="667"/>
      <c r="S20" s="668"/>
      <c r="T20" s="667"/>
      <c r="U20" s="668"/>
      <c r="V20" s="667"/>
      <c r="W20" s="668"/>
      <c r="X20" s="1265"/>
      <c r="Y20" s="388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880"/>
      <c r="Q21" s="1263" t="str">
        <f>B21</f>
        <v>基础设施水平</v>
      </c>
      <c r="R21" s="667" t="s">
        <v>14</v>
      </c>
      <c r="S21" s="668">
        <f>F21</f>
        <v>100</v>
      </c>
      <c r="T21" s="667" t="s">
        <v>14</v>
      </c>
      <c r="U21" s="668">
        <f>H21</f>
        <v>100</v>
      </c>
      <c r="V21" s="667" t="s">
        <v>14</v>
      </c>
      <c r="W21" s="668">
        <f>J21</f>
        <v>100</v>
      </c>
      <c r="X21" s="1265"/>
      <c r="Y21" s="38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880"/>
      <c r="Q22" s="1263"/>
      <c r="R22" s="667"/>
      <c r="S22" s="668"/>
      <c r="T22" s="667"/>
      <c r="U22" s="668"/>
      <c r="V22" s="667"/>
      <c r="W22" s="668"/>
      <c r="X22" s="1265"/>
      <c r="Y22" s="388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880"/>
      <c r="Q23" s="1263" t="str">
        <f>B23</f>
        <v>环境质量</v>
      </c>
      <c r="R23" s="667" t="s">
        <v>14</v>
      </c>
      <c r="S23" s="668">
        <f>F23</f>
        <v>100</v>
      </c>
      <c r="T23" s="667" t="s">
        <v>14</v>
      </c>
      <c r="U23" s="668">
        <f>H23</f>
        <v>100</v>
      </c>
      <c r="V23" s="667" t="s">
        <v>14</v>
      </c>
      <c r="W23" s="668">
        <f>J23</f>
        <v>100</v>
      </c>
      <c r="X23" s="1265"/>
      <c r="Y23" s="388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880"/>
      <c r="Q24" s="1263"/>
      <c r="R24" s="667"/>
      <c r="S24" s="668"/>
      <c r="T24" s="667"/>
      <c r="U24" s="668"/>
      <c r="V24" s="667"/>
      <c r="W24" s="668"/>
      <c r="X24" s="1265"/>
      <c r="Y24" s="388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880"/>
      <c r="Q25" s="1263">
        <f>B25</f>
        <v>111</v>
      </c>
      <c r="R25" s="667" t="s">
        <v>14</v>
      </c>
      <c r="S25" s="668">
        <f>F25</f>
        <v>100</v>
      </c>
      <c r="T25" s="667" t="s">
        <v>14</v>
      </c>
      <c r="U25" s="668">
        <f>H25</f>
        <v>100</v>
      </c>
      <c r="V25" s="667" t="s">
        <v>14</v>
      </c>
      <c r="W25" s="668">
        <f>J25</f>
        <v>100</v>
      </c>
      <c r="X25" s="1265"/>
      <c r="Y25" s="388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880"/>
      <c r="Q26" s="1263">
        <f t="shared" ref="Q26:Q40" si="11">B26</f>
        <v>111</v>
      </c>
      <c r="R26" s="667" t="s">
        <v>14</v>
      </c>
      <c r="S26" s="668">
        <f>F26</f>
        <v>100</v>
      </c>
      <c r="T26" s="667" t="s">
        <v>14</v>
      </c>
      <c r="U26" s="668">
        <f>H26</f>
        <v>100</v>
      </c>
      <c r="V26" s="667" t="s">
        <v>14</v>
      </c>
      <c r="W26" s="668">
        <f>J26</f>
        <v>100</v>
      </c>
      <c r="X26" s="1265"/>
      <c r="Y26" s="388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880"/>
      <c r="Q27" s="530">
        <f t="shared" si="11"/>
        <v>111</v>
      </c>
      <c r="R27" s="664" t="s">
        <v>14</v>
      </c>
      <c r="S27" s="665">
        <f>F27</f>
        <v>100</v>
      </c>
      <c r="T27" s="664" t="s">
        <v>14</v>
      </c>
      <c r="U27" s="665">
        <f>H27</f>
        <v>100</v>
      </c>
      <c r="V27" s="664" t="s">
        <v>14</v>
      </c>
      <c r="W27" s="665">
        <f>J27</f>
        <v>100</v>
      </c>
      <c r="X27" s="666"/>
      <c r="Y27" s="388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880"/>
      <c r="Q28" s="1263">
        <f t="shared" si="11"/>
        <v>111</v>
      </c>
      <c r="R28" s="667" t="s">
        <v>14</v>
      </c>
      <c r="S28" s="668">
        <f t="shared" ref="S28:S40" si="12">F28</f>
        <v>100</v>
      </c>
      <c r="T28" s="667" t="s">
        <v>14</v>
      </c>
      <c r="U28" s="668">
        <f t="shared" ref="U28:U40" si="13">H28</f>
        <v>100</v>
      </c>
      <c r="V28" s="667" t="s">
        <v>14</v>
      </c>
      <c r="W28" s="668">
        <f t="shared" ref="W28:W40" si="14">J28</f>
        <v>100</v>
      </c>
      <c r="X28" s="1265"/>
      <c r="Y28" s="388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934" t="s">
        <v>1696</v>
      </c>
      <c r="Q29" s="1263" t="str">
        <f t="shared" si="11"/>
        <v>建筑类型</v>
      </c>
      <c r="R29" s="667" t="s">
        <v>14</v>
      </c>
      <c r="S29" s="668">
        <f t="shared" si="12"/>
        <v>100</v>
      </c>
      <c r="T29" s="667" t="s">
        <v>14</v>
      </c>
      <c r="U29" s="668">
        <f t="shared" si="13"/>
        <v>100</v>
      </c>
      <c r="V29" s="667" t="s">
        <v>14</v>
      </c>
      <c r="W29" s="668">
        <f t="shared" si="14"/>
        <v>100</v>
      </c>
      <c r="X29" s="1265"/>
      <c r="Y29" s="388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884"/>
      <c r="Q30" s="531" t="str">
        <f t="shared" si="11"/>
        <v>项目建筑规模</v>
      </c>
      <c r="R30" s="669" t="s">
        <v>14</v>
      </c>
      <c r="S30" s="670" t="e">
        <f t="shared" si="12"/>
        <v>#N/A</v>
      </c>
      <c r="T30" s="669" t="s">
        <v>14</v>
      </c>
      <c r="U30" s="670" t="e">
        <f t="shared" si="13"/>
        <v>#N/A</v>
      </c>
      <c r="V30" s="669" t="s">
        <v>14</v>
      </c>
      <c r="W30" s="670" t="e">
        <f t="shared" si="14"/>
        <v>#N/A</v>
      </c>
      <c r="X30" s="671"/>
      <c r="Y30" s="388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884"/>
      <c r="Q31" s="1263" t="str">
        <f t="shared" si="11"/>
        <v>建筑结构</v>
      </c>
      <c r="R31" s="667" t="s">
        <v>14</v>
      </c>
      <c r="S31" s="668">
        <f t="shared" si="12"/>
        <v>100</v>
      </c>
      <c r="T31" s="667" t="s">
        <v>14</v>
      </c>
      <c r="U31" s="668">
        <f t="shared" si="13"/>
        <v>100</v>
      </c>
      <c r="V31" s="667" t="s">
        <v>14</v>
      </c>
      <c r="W31" s="668">
        <f t="shared" si="14"/>
        <v>100</v>
      </c>
      <c r="X31" s="1265"/>
      <c r="Y31" s="388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884"/>
      <c r="Q32" s="1263" t="str">
        <f t="shared" si="11"/>
        <v>公共部分装修</v>
      </c>
      <c r="R32" s="667" t="s">
        <v>14</v>
      </c>
      <c r="S32" s="668">
        <f t="shared" si="12"/>
        <v>100</v>
      </c>
      <c r="T32" s="667" t="s">
        <v>14</v>
      </c>
      <c r="U32" s="668">
        <f t="shared" si="13"/>
        <v>100</v>
      </c>
      <c r="V32" s="667" t="s">
        <v>14</v>
      </c>
      <c r="W32" s="668">
        <f t="shared" si="14"/>
        <v>100</v>
      </c>
      <c r="X32" s="1265"/>
      <c r="Y32" s="388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884"/>
      <c r="Q33" s="1263" t="str">
        <f t="shared" si="11"/>
        <v>成新度</v>
      </c>
      <c r="R33" s="667" t="s">
        <v>14</v>
      </c>
      <c r="S33" s="668" t="e">
        <f t="shared" si="12"/>
        <v>#N/A</v>
      </c>
      <c r="T33" s="667" t="s">
        <v>14</v>
      </c>
      <c r="U33" s="668" t="e">
        <f t="shared" si="13"/>
        <v>#N/A</v>
      </c>
      <c r="V33" s="667" t="s">
        <v>14</v>
      </c>
      <c r="W33" s="668" t="e">
        <f t="shared" si="14"/>
        <v>#N/A</v>
      </c>
      <c r="X33" s="1265"/>
      <c r="Y33" s="388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884"/>
      <c r="Q34" s="530" t="str">
        <f t="shared" si="11"/>
        <v>物业管理</v>
      </c>
      <c r="R34" s="664" t="s">
        <v>14</v>
      </c>
      <c r="S34" s="665">
        <f t="shared" si="12"/>
        <v>100</v>
      </c>
      <c r="T34" s="664" t="s">
        <v>14</v>
      </c>
      <c r="U34" s="665">
        <f t="shared" si="13"/>
        <v>100</v>
      </c>
      <c r="V34" s="664" t="s">
        <v>14</v>
      </c>
      <c r="W34" s="665">
        <f t="shared" si="14"/>
        <v>100</v>
      </c>
      <c r="X34" s="666"/>
      <c r="Y34" s="388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884" t="s">
        <v>1696</v>
      </c>
      <c r="Q35" s="1263" t="str">
        <f t="shared" si="11"/>
        <v>市政基础设施</v>
      </c>
      <c r="R35" s="667" t="s">
        <v>14</v>
      </c>
      <c r="S35" s="668">
        <f t="shared" si="12"/>
        <v>100</v>
      </c>
      <c r="T35" s="667" t="s">
        <v>14</v>
      </c>
      <c r="U35" s="668">
        <f t="shared" si="13"/>
        <v>100</v>
      </c>
      <c r="V35" s="667" t="s">
        <v>14</v>
      </c>
      <c r="W35" s="668">
        <f t="shared" si="14"/>
        <v>100</v>
      </c>
      <c r="X35" s="1265"/>
      <c r="Y35" s="388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884"/>
      <c r="Q36" s="1263" t="str">
        <f t="shared" si="11"/>
        <v>内部装修</v>
      </c>
      <c r="R36" s="667" t="s">
        <v>14</v>
      </c>
      <c r="S36" s="668">
        <f t="shared" si="12"/>
        <v>100</v>
      </c>
      <c r="T36" s="667" t="s">
        <v>14</v>
      </c>
      <c r="U36" s="668">
        <f t="shared" si="13"/>
        <v>100</v>
      </c>
      <c r="V36" s="667" t="s">
        <v>14</v>
      </c>
      <c r="W36" s="668">
        <f t="shared" si="14"/>
        <v>100</v>
      </c>
      <c r="X36" s="1265"/>
      <c r="Y36" s="388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884"/>
      <c r="Q37" s="1263" t="str">
        <f t="shared" si="11"/>
        <v>内部装修状况</v>
      </c>
      <c r="R37" s="667" t="s">
        <v>14</v>
      </c>
      <c r="S37" s="668">
        <f t="shared" si="12"/>
        <v>100</v>
      </c>
      <c r="T37" s="667" t="s">
        <v>14</v>
      </c>
      <c r="U37" s="668">
        <f t="shared" si="13"/>
        <v>100</v>
      </c>
      <c r="V37" s="667" t="s">
        <v>14</v>
      </c>
      <c r="W37" s="668">
        <f t="shared" si="14"/>
        <v>100</v>
      </c>
      <c r="X37" s="1265"/>
      <c r="Y37" s="388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884"/>
      <c r="Q38" s="531">
        <f t="shared" si="11"/>
        <v>111</v>
      </c>
      <c r="R38" s="669" t="s">
        <v>14</v>
      </c>
      <c r="S38" s="670">
        <f t="shared" si="12"/>
        <v>100</v>
      </c>
      <c r="T38" s="669" t="s">
        <v>14</v>
      </c>
      <c r="U38" s="670">
        <f t="shared" si="13"/>
        <v>100</v>
      </c>
      <c r="V38" s="669" t="s">
        <v>14</v>
      </c>
      <c r="W38" s="670">
        <f t="shared" si="14"/>
        <v>100</v>
      </c>
      <c r="X38" s="671"/>
      <c r="Y38" s="388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884"/>
      <c r="Q39" s="1263">
        <f t="shared" si="11"/>
        <v>111</v>
      </c>
      <c r="R39" s="667" t="s">
        <v>14</v>
      </c>
      <c r="S39" s="668">
        <f t="shared" si="12"/>
        <v>100</v>
      </c>
      <c r="T39" s="667" t="s">
        <v>14</v>
      </c>
      <c r="U39" s="668">
        <f t="shared" si="13"/>
        <v>100</v>
      </c>
      <c r="V39" s="667" t="s">
        <v>14</v>
      </c>
      <c r="W39" s="668">
        <f t="shared" si="14"/>
        <v>100</v>
      </c>
      <c r="X39" s="1265"/>
      <c r="Y39" s="388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885"/>
      <c r="Q40" s="1263">
        <f t="shared" si="11"/>
        <v>111</v>
      </c>
      <c r="R40" s="667" t="s">
        <v>14</v>
      </c>
      <c r="S40" s="668">
        <f t="shared" si="12"/>
        <v>100</v>
      </c>
      <c r="T40" s="667" t="s">
        <v>14</v>
      </c>
      <c r="U40" s="668">
        <f t="shared" si="13"/>
        <v>100</v>
      </c>
      <c r="V40" s="667" t="s">
        <v>14</v>
      </c>
      <c r="W40" s="668">
        <f t="shared" si="14"/>
        <v>100</v>
      </c>
      <c r="X40" s="1265"/>
      <c r="Y40" s="388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877" t="str">
        <f>A41</f>
        <v>成交单价（元/平方米）</v>
      </c>
      <c r="Q41" s="3877"/>
      <c r="R41" s="3878">
        <f>E41</f>
        <v>0</v>
      </c>
      <c r="S41" s="3878"/>
      <c r="T41" s="3878">
        <f>G41</f>
        <v>0</v>
      </c>
      <c r="U41" s="3878"/>
      <c r="V41" s="3878">
        <f>I41</f>
        <v>0</v>
      </c>
      <c r="W41" s="387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877" t="str">
        <f>A42</f>
        <v>比较价值（元/平方米）</v>
      </c>
      <c r="Q42" s="3877"/>
      <c r="R42" s="3878" t="e">
        <f>IF(F1="售价",ROUND(PRODUCT(R41,AA7:AA40),0),ROUND(PRODUCT(R41,AA7:AA40),1))</f>
        <v>#DIV/0!</v>
      </c>
      <c r="S42" s="3878"/>
      <c r="T42" s="3878" t="e">
        <f>IF(F1="售价",ROUND(PRODUCT(T41,AB7:AB40),0),ROUND(PRODUCT(T41,AB7:AB40),1))</f>
        <v>#DIV/0!</v>
      </c>
      <c r="U42" s="3878"/>
      <c r="V42" s="3878" t="e">
        <f>IF(F1="售价",ROUND(PRODUCT(V41,AC7:AC40),0),ROUND(PRODUCT(V41,AC7:AC40),1))</f>
        <v>#DIV/0!</v>
      </c>
      <c r="W42" s="387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874" t="str">
        <f>A43</f>
        <v>估价对象XX用房的比较价值（楼面单价，元/平方米）</v>
      </c>
      <c r="Q43" s="3875"/>
      <c r="R43" s="3876" t="e">
        <f>IF(F1="售价",ROUND(IF(D42="简单平均",AVERAGE(R42:V42),R42*F42+T42*H42+V42*J42),0),ROUND(IF(D42="简单平均",AVERAGE(R42:V42),R42*F42+T42*H42+V42*J42),1))</f>
        <v>#DIV/0!</v>
      </c>
      <c r="S43" s="3876"/>
      <c r="T43" s="3876"/>
      <c r="U43" s="3876"/>
      <c r="V43" s="3876"/>
      <c r="W43" s="387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2024-6</v>
      </c>
      <c r="D52" s="1104">
        <f>EDATE(C52,-1)</f>
        <v>45413</v>
      </c>
      <c r="E52" s="1104">
        <f t="shared" ref="E52:O52" si="16">EDATE(D52,-1)</f>
        <v>45383</v>
      </c>
      <c r="F52" s="1104">
        <f t="shared" si="16"/>
        <v>45352</v>
      </c>
      <c r="G52" s="1104">
        <f t="shared" si="16"/>
        <v>45323</v>
      </c>
      <c r="H52" s="1104">
        <f t="shared" si="16"/>
        <v>45292</v>
      </c>
      <c r="I52" s="1104">
        <f t="shared" si="16"/>
        <v>45261</v>
      </c>
      <c r="J52" s="1104">
        <f t="shared" si="16"/>
        <v>45231</v>
      </c>
      <c r="K52" s="1104">
        <f t="shared" si="16"/>
        <v>45200</v>
      </c>
      <c r="L52" s="1104">
        <f t="shared" si="16"/>
        <v>45170</v>
      </c>
      <c r="M52" s="1104">
        <f t="shared" si="16"/>
        <v>45139</v>
      </c>
      <c r="N52" s="1104">
        <f t="shared" si="16"/>
        <v>45108</v>
      </c>
      <c r="O52" s="1104">
        <f t="shared" si="16"/>
        <v>45078</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21" priority="16" stopIfTrue="1">
      <formula>$F$46="超过30%"</formula>
    </cfRule>
  </conditionalFormatting>
  <conditionalFormatting sqref="E47">
    <cfRule type="expression" dxfId="120" priority="15" stopIfTrue="1">
      <formula>$F$47="超过20%"</formula>
    </cfRule>
  </conditionalFormatting>
  <conditionalFormatting sqref="E48">
    <cfRule type="expression" dxfId="119" priority="14" stopIfTrue="1">
      <formula>$F$48="超过30%"</formula>
    </cfRule>
  </conditionalFormatting>
  <conditionalFormatting sqref="F7:F40 H7:H40 J7:J40">
    <cfRule type="cellIs" dxfId="118" priority="1" operator="notEqual">
      <formula>100</formula>
    </cfRule>
  </conditionalFormatting>
  <conditionalFormatting sqref="F42">
    <cfRule type="expression" dxfId="117" priority="4">
      <formula>$D$42="简单平均"</formula>
    </cfRule>
  </conditionalFormatting>
  <conditionalFormatting sqref="F46:F48 H46:H48">
    <cfRule type="containsText" dxfId="116" priority="17" stopIfTrue="1" operator="containsText" text="超过">
      <formula>NOT(ISERROR(SEARCH("超过",F46)))</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G48">
    <cfRule type="expression" dxfId="113" priority="13" stopIfTrue="1">
      <formula>$H$48="超过30%"</formula>
    </cfRule>
  </conditionalFormatting>
  <conditionalFormatting sqref="H42">
    <cfRule type="expression" dxfId="112" priority="3">
      <formula>$D$42="简单平均"</formula>
    </cfRule>
  </conditionalFormatting>
  <conditionalFormatting sqref="I46">
    <cfRule type="expression" dxfId="111" priority="7" stopIfTrue="1">
      <formula>$J$46="超过30%"</formula>
    </cfRule>
  </conditionalFormatting>
  <conditionalFormatting sqref="I47">
    <cfRule type="expression" dxfId="110" priority="6" stopIfTrue="1">
      <formula>$J$47="超过20%"</formula>
    </cfRule>
  </conditionalFormatting>
  <conditionalFormatting sqref="I48">
    <cfRule type="expression" dxfId="109" priority="5" stopIfTrue="1">
      <formula>$J$48="超过30%"</formula>
    </cfRule>
  </conditionalFormatting>
  <conditionalFormatting sqref="J42">
    <cfRule type="expression" dxfId="108" priority="2">
      <formula>$D$42="简单平均"</formula>
    </cfRule>
  </conditionalFormatting>
  <conditionalFormatting sqref="J46:J48">
    <cfRule type="containsText" dxfId="10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892" t="s">
        <v>1770</v>
      </c>
      <c r="D4" s="3893"/>
      <c r="E4" s="3894" t="s">
        <v>1771</v>
      </c>
      <c r="F4" s="3895"/>
      <c r="G4" s="3892" t="s">
        <v>1772</v>
      </c>
      <c r="H4" s="3893"/>
      <c r="I4" s="3892" t="s">
        <v>1773</v>
      </c>
      <c r="J4" s="3893"/>
      <c r="K4" s="537" t="s">
        <v>1774</v>
      </c>
      <c r="L4" s="2487"/>
      <c r="M4" s="2488"/>
      <c r="N4" s="2488"/>
      <c r="O4" s="2488"/>
      <c r="P4" s="3896" t="s">
        <v>1775</v>
      </c>
      <c r="Q4" s="3897"/>
      <c r="R4" s="3902" t="s">
        <v>1771</v>
      </c>
      <c r="S4" s="3903"/>
      <c r="T4" s="3902" t="s">
        <v>1772</v>
      </c>
      <c r="U4" s="3903"/>
      <c r="V4" s="3878" t="s">
        <v>1773</v>
      </c>
      <c r="W4" s="3878"/>
      <c r="X4" s="1265"/>
      <c r="Y4" s="3902" t="s">
        <v>1775</v>
      </c>
      <c r="Z4" s="3903"/>
      <c r="AA4" s="3889" t="s">
        <v>1771</v>
      </c>
      <c r="AB4" s="3890" t="s">
        <v>1772</v>
      </c>
      <c r="AC4" s="3889" t="s">
        <v>1773</v>
      </c>
    </row>
    <row r="5" spans="1:29" ht="15">
      <c r="A5" s="348"/>
      <c r="B5" s="349"/>
      <c r="C5" s="3910" t="s">
        <v>1673</v>
      </c>
      <c r="D5" s="3911"/>
      <c r="E5" s="3917" t="s">
        <v>1674</v>
      </c>
      <c r="F5" s="3918"/>
      <c r="G5" s="3910" t="s">
        <v>1675</v>
      </c>
      <c r="H5" s="3911"/>
      <c r="I5" s="3910" t="s">
        <v>1676</v>
      </c>
      <c r="J5" s="3911"/>
      <c r="K5" s="537"/>
      <c r="L5" s="2487"/>
      <c r="M5" s="2488"/>
      <c r="N5" s="2488"/>
      <c r="O5" s="2488"/>
      <c r="P5" s="3898"/>
      <c r="Q5" s="3899"/>
      <c r="R5" s="3904"/>
      <c r="S5" s="3905"/>
      <c r="T5" s="3904"/>
      <c r="U5" s="3905"/>
      <c r="V5" s="3878"/>
      <c r="W5" s="3878"/>
      <c r="X5" s="1265"/>
      <c r="Y5" s="3904"/>
      <c r="Z5" s="3905"/>
      <c r="AA5" s="3890"/>
      <c r="AB5" s="3890"/>
      <c r="AC5" s="3890"/>
    </row>
    <row r="6" spans="1:29" ht="15.75" thickBot="1">
      <c r="A6" s="350"/>
      <c r="B6" s="351"/>
      <c r="C6" s="3908" t="s">
        <v>1677</v>
      </c>
      <c r="D6" s="3909"/>
      <c r="E6" s="3915" t="s">
        <v>1677</v>
      </c>
      <c r="F6" s="3916"/>
      <c r="G6" s="3908" t="s">
        <v>1677</v>
      </c>
      <c r="H6" s="3909"/>
      <c r="I6" s="3908" t="s">
        <v>1677</v>
      </c>
      <c r="J6" s="3909"/>
      <c r="K6" s="537" t="s">
        <v>1678</v>
      </c>
      <c r="L6" s="2487"/>
      <c r="M6" s="2488"/>
      <c r="N6" s="2488"/>
      <c r="O6" s="2488"/>
      <c r="P6" s="3900"/>
      <c r="Q6" s="3901"/>
      <c r="R6" s="3904"/>
      <c r="S6" s="3905"/>
      <c r="T6" s="3906"/>
      <c r="U6" s="3907"/>
      <c r="V6" s="3878"/>
      <c r="W6" s="3878"/>
      <c r="X6" s="1265"/>
      <c r="Y6" s="3906"/>
      <c r="Z6" s="3907"/>
      <c r="AA6" s="3891"/>
      <c r="AB6" s="3891"/>
      <c r="AC6" s="3891"/>
    </row>
    <row r="7" spans="1:29" s="102" customFormat="1" ht="15.75" thickBot="1">
      <c r="A7" s="352" t="s">
        <v>1679</v>
      </c>
      <c r="B7" s="353"/>
      <c r="C7" s="354">
        <f>'数据-取费表'!B2</f>
        <v>45473</v>
      </c>
      <c r="D7" s="355">
        <v>100</v>
      </c>
      <c r="E7" s="356"/>
      <c r="F7" s="357">
        <f>SUMIF(48:48,YEAR(E7)&amp;"-"&amp;MONTH(E7),49:49)</f>
        <v>0</v>
      </c>
      <c r="G7" s="356"/>
      <c r="H7" s="355">
        <f>SUMIF(48:48,YEAR(G7)&amp;"-"&amp;MONTH(G7),49:49)</f>
        <v>0</v>
      </c>
      <c r="I7" s="356"/>
      <c r="J7" s="355">
        <f>SUMIF(48:48,YEAR(I7)&amp;"-"&amp;MONTH(I7),49:49)</f>
        <v>0</v>
      </c>
      <c r="K7" s="38"/>
      <c r="L7" s="2489"/>
      <c r="M7" s="2440"/>
      <c r="N7" s="2440"/>
      <c r="O7" s="2440"/>
      <c r="P7" s="3912" t="s">
        <v>1680</v>
      </c>
      <c r="Q7" s="3914"/>
      <c r="R7" s="664" t="s">
        <v>14</v>
      </c>
      <c r="S7" s="665">
        <f t="shared" ref="S7:S14" si="0">F7</f>
        <v>0</v>
      </c>
      <c r="T7" s="664" t="s">
        <v>14</v>
      </c>
      <c r="U7" s="665">
        <f t="shared" ref="U7:U14" si="1">H7</f>
        <v>0</v>
      </c>
      <c r="V7" s="664" t="s">
        <v>14</v>
      </c>
      <c r="W7" s="665">
        <f t="shared" ref="W7:W14" si="2">J7</f>
        <v>0</v>
      </c>
      <c r="X7" s="666"/>
      <c r="Y7" s="3912" t="s">
        <v>1680</v>
      </c>
      <c r="Z7" s="391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912" t="s">
        <v>1683</v>
      </c>
      <c r="Q8" s="3913"/>
      <c r="R8" s="664" t="s">
        <v>14</v>
      </c>
      <c r="S8" s="665">
        <f t="shared" si="0"/>
        <v>100</v>
      </c>
      <c r="T8" s="664" t="s">
        <v>14</v>
      </c>
      <c r="U8" s="665">
        <f t="shared" si="1"/>
        <v>100</v>
      </c>
      <c r="V8" s="664" t="s">
        <v>14</v>
      </c>
      <c r="W8" s="665">
        <f t="shared" si="2"/>
        <v>100</v>
      </c>
      <c r="X8" s="666"/>
      <c r="Y8" s="3912" t="s">
        <v>1683</v>
      </c>
      <c r="Z8" s="391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877" t="s">
        <v>1686</v>
      </c>
      <c r="Q9" s="530" t="str">
        <f t="shared" ref="Q9:Q14" si="6">B9</f>
        <v>用途</v>
      </c>
      <c r="R9" s="664" t="s">
        <v>14</v>
      </c>
      <c r="S9" s="665">
        <f t="shared" si="0"/>
        <v>100</v>
      </c>
      <c r="T9" s="664" t="s">
        <v>14</v>
      </c>
      <c r="U9" s="665">
        <f t="shared" si="1"/>
        <v>100</v>
      </c>
      <c r="V9" s="664" t="s">
        <v>14</v>
      </c>
      <c r="W9" s="665">
        <f t="shared" si="2"/>
        <v>100</v>
      </c>
      <c r="X9" s="666"/>
      <c r="Y9" s="373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877"/>
      <c r="Q10" s="530" t="str">
        <f t="shared" si="6"/>
        <v>土地使用年限（年）</v>
      </c>
      <c r="R10" s="664" t="s">
        <v>14</v>
      </c>
      <c r="S10" s="665">
        <f t="shared" si="0"/>
        <v>100</v>
      </c>
      <c r="T10" s="664" t="s">
        <v>14</v>
      </c>
      <c r="U10" s="665">
        <f t="shared" si="1"/>
        <v>100</v>
      </c>
      <c r="V10" s="664" t="s">
        <v>14</v>
      </c>
      <c r="W10" s="665">
        <f t="shared" si="2"/>
        <v>100</v>
      </c>
      <c r="X10" s="666"/>
      <c r="Y10" s="373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877"/>
      <c r="Q11" s="530">
        <f t="shared" si="6"/>
        <v>111</v>
      </c>
      <c r="R11" s="664" t="s">
        <v>14</v>
      </c>
      <c r="S11" s="665">
        <f t="shared" si="0"/>
        <v>100</v>
      </c>
      <c r="T11" s="664" t="s">
        <v>14</v>
      </c>
      <c r="U11" s="665">
        <f t="shared" si="1"/>
        <v>100</v>
      </c>
      <c r="V11" s="664" t="s">
        <v>14</v>
      </c>
      <c r="W11" s="665">
        <f t="shared" si="2"/>
        <v>100</v>
      </c>
      <c r="X11" s="666"/>
      <c r="Y11" s="373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877"/>
      <c r="Q12" s="530">
        <f t="shared" si="6"/>
        <v>111</v>
      </c>
      <c r="R12" s="664" t="s">
        <v>14</v>
      </c>
      <c r="S12" s="665">
        <f t="shared" si="0"/>
        <v>100</v>
      </c>
      <c r="T12" s="664" t="s">
        <v>14</v>
      </c>
      <c r="U12" s="665">
        <f t="shared" si="1"/>
        <v>100</v>
      </c>
      <c r="V12" s="664" t="s">
        <v>14</v>
      </c>
      <c r="W12" s="665">
        <f t="shared" si="2"/>
        <v>100</v>
      </c>
      <c r="X12" s="666"/>
      <c r="Y12" s="373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877"/>
      <c r="Q13" s="530">
        <f t="shared" si="6"/>
        <v>111</v>
      </c>
      <c r="R13" s="664" t="s">
        <v>14</v>
      </c>
      <c r="S13" s="665">
        <f t="shared" si="0"/>
        <v>100</v>
      </c>
      <c r="T13" s="664" t="s">
        <v>14</v>
      </c>
      <c r="U13" s="665">
        <f t="shared" si="1"/>
        <v>100</v>
      </c>
      <c r="V13" s="664" t="s">
        <v>14</v>
      </c>
      <c r="W13" s="665">
        <f t="shared" si="2"/>
        <v>100</v>
      </c>
      <c r="X13" s="666"/>
      <c r="Y13" s="373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879" t="s">
        <v>1691</v>
      </c>
      <c r="Q14" s="1263" t="str">
        <f t="shared" si="6"/>
        <v>交通便捷度</v>
      </c>
      <c r="R14" s="667" t="s">
        <v>14</v>
      </c>
      <c r="S14" s="668">
        <f t="shared" si="0"/>
        <v>100</v>
      </c>
      <c r="T14" s="667" t="s">
        <v>14</v>
      </c>
      <c r="U14" s="668">
        <f t="shared" si="1"/>
        <v>100</v>
      </c>
      <c r="V14" s="667" t="s">
        <v>14</v>
      </c>
      <c r="W14" s="668">
        <f t="shared" si="2"/>
        <v>100</v>
      </c>
      <c r="X14" s="1265"/>
      <c r="Y14" s="387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880"/>
      <c r="Q15" s="1263"/>
      <c r="R15" s="667"/>
      <c r="S15" s="668"/>
      <c r="T15" s="667"/>
      <c r="U15" s="668"/>
      <c r="V15" s="667"/>
      <c r="W15" s="668"/>
      <c r="X15" s="1265"/>
      <c r="Y15" s="388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880"/>
      <c r="Q16" s="1263" t="str">
        <f>B16</f>
        <v>公共配套设施</v>
      </c>
      <c r="R16" s="667" t="s">
        <v>14</v>
      </c>
      <c r="S16" s="668">
        <f>F16</f>
        <v>100</v>
      </c>
      <c r="T16" s="667" t="s">
        <v>14</v>
      </c>
      <c r="U16" s="668">
        <f>H16</f>
        <v>100</v>
      </c>
      <c r="V16" s="667" t="s">
        <v>14</v>
      </c>
      <c r="W16" s="668">
        <f>J16</f>
        <v>100</v>
      </c>
      <c r="X16" s="1265"/>
      <c r="Y16" s="388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880"/>
      <c r="Q17" s="1263"/>
      <c r="R17" s="667"/>
      <c r="S17" s="668"/>
      <c r="T17" s="667"/>
      <c r="U17" s="668"/>
      <c r="V17" s="667"/>
      <c r="W17" s="668"/>
      <c r="X17" s="1265"/>
      <c r="Y17" s="388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880"/>
      <c r="Q18" s="1263" t="str">
        <f>B18</f>
        <v>基础设施水平</v>
      </c>
      <c r="R18" s="667" t="s">
        <v>14</v>
      </c>
      <c r="S18" s="668">
        <f>F18</f>
        <v>100</v>
      </c>
      <c r="T18" s="667" t="s">
        <v>14</v>
      </c>
      <c r="U18" s="668">
        <f>H18</f>
        <v>100</v>
      </c>
      <c r="V18" s="667" t="s">
        <v>14</v>
      </c>
      <c r="W18" s="668">
        <f>J18</f>
        <v>100</v>
      </c>
      <c r="X18" s="1265"/>
      <c r="Y18" s="388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880"/>
      <c r="Q19" s="1263"/>
      <c r="R19" s="667"/>
      <c r="S19" s="668"/>
      <c r="T19" s="667"/>
      <c r="U19" s="668"/>
      <c r="V19" s="667"/>
      <c r="W19" s="668"/>
      <c r="X19" s="1265"/>
      <c r="Y19" s="388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880"/>
      <c r="Q20" s="1263" t="str">
        <f>B20</f>
        <v>自然及人文环境</v>
      </c>
      <c r="R20" s="667" t="s">
        <v>14</v>
      </c>
      <c r="S20" s="668">
        <f>F20</f>
        <v>100</v>
      </c>
      <c r="T20" s="667" t="s">
        <v>14</v>
      </c>
      <c r="U20" s="668">
        <f>H20</f>
        <v>100</v>
      </c>
      <c r="V20" s="667" t="s">
        <v>14</v>
      </c>
      <c r="W20" s="668">
        <f>J20</f>
        <v>100</v>
      </c>
      <c r="X20" s="1265"/>
      <c r="Y20" s="388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880"/>
      <c r="Q21" s="1263"/>
      <c r="R21" s="667"/>
      <c r="S21" s="668"/>
      <c r="T21" s="667"/>
      <c r="U21" s="668"/>
      <c r="V21" s="667"/>
      <c r="W21" s="668"/>
      <c r="X21" s="1265"/>
      <c r="Y21" s="388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880"/>
      <c r="Q22" s="1263" t="str">
        <f>B22</f>
        <v>楼层</v>
      </c>
      <c r="R22" s="667" t="s">
        <v>14</v>
      </c>
      <c r="S22" s="668">
        <f>F22</f>
        <v>100</v>
      </c>
      <c r="T22" s="667" t="s">
        <v>14</v>
      </c>
      <c r="U22" s="668">
        <f>H22</f>
        <v>100</v>
      </c>
      <c r="V22" s="667" t="s">
        <v>14</v>
      </c>
      <c r="W22" s="668">
        <f>J22</f>
        <v>100</v>
      </c>
      <c r="X22" s="1265"/>
      <c r="Y22" s="388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880"/>
      <c r="Q23" s="1263">
        <f>B23</f>
        <v>111</v>
      </c>
      <c r="R23" s="667" t="s">
        <v>14</v>
      </c>
      <c r="S23" s="668">
        <f>F23</f>
        <v>100</v>
      </c>
      <c r="T23" s="667" t="s">
        <v>14</v>
      </c>
      <c r="U23" s="668">
        <f>H23</f>
        <v>100</v>
      </c>
      <c r="V23" s="667" t="s">
        <v>14</v>
      </c>
      <c r="W23" s="668">
        <f>J23</f>
        <v>100</v>
      </c>
      <c r="X23" s="1265"/>
      <c r="Y23" s="388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880"/>
      <c r="Q24" s="1263">
        <f t="shared" ref="Q24:Q36" si="11">B24</f>
        <v>111</v>
      </c>
      <c r="R24" s="667" t="s">
        <v>14</v>
      </c>
      <c r="S24" s="668">
        <f>F24</f>
        <v>100</v>
      </c>
      <c r="T24" s="667" t="s">
        <v>14</v>
      </c>
      <c r="U24" s="668">
        <f>H24</f>
        <v>100</v>
      </c>
      <c r="V24" s="667" t="s">
        <v>14</v>
      </c>
      <c r="W24" s="668">
        <f>J24</f>
        <v>100</v>
      </c>
      <c r="X24" s="1265"/>
      <c r="Y24" s="388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880"/>
      <c r="Q25" s="530">
        <f t="shared" si="11"/>
        <v>111</v>
      </c>
      <c r="R25" s="664" t="s">
        <v>14</v>
      </c>
      <c r="S25" s="665">
        <f>F25</f>
        <v>100</v>
      </c>
      <c r="T25" s="664" t="s">
        <v>14</v>
      </c>
      <c r="U25" s="665">
        <f>H25</f>
        <v>100</v>
      </c>
      <c r="V25" s="664" t="s">
        <v>14</v>
      </c>
      <c r="W25" s="665">
        <f>J25</f>
        <v>100</v>
      </c>
      <c r="X25" s="666"/>
      <c r="Y25" s="388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9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88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884"/>
      <c r="Q27" s="531" t="str">
        <f t="shared" si="11"/>
        <v>项目停车位配比</v>
      </c>
      <c r="R27" s="669" t="s">
        <v>14</v>
      </c>
      <c r="S27" s="670">
        <f t="shared" si="12"/>
        <v>100</v>
      </c>
      <c r="T27" s="669" t="s">
        <v>14</v>
      </c>
      <c r="U27" s="670">
        <f t="shared" si="13"/>
        <v>100</v>
      </c>
      <c r="V27" s="669" t="s">
        <v>14</v>
      </c>
      <c r="W27" s="670">
        <f t="shared" si="14"/>
        <v>100</v>
      </c>
      <c r="X27" s="671"/>
      <c r="Y27" s="388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884"/>
      <c r="Q28" s="1263" t="str">
        <f t="shared" si="11"/>
        <v>公共部分装修</v>
      </c>
      <c r="R28" s="667" t="s">
        <v>14</v>
      </c>
      <c r="S28" s="668">
        <f t="shared" si="12"/>
        <v>100</v>
      </c>
      <c r="T28" s="667" t="s">
        <v>14</v>
      </c>
      <c r="U28" s="668">
        <f t="shared" si="13"/>
        <v>100</v>
      </c>
      <c r="V28" s="667" t="s">
        <v>14</v>
      </c>
      <c r="W28" s="668">
        <f t="shared" si="14"/>
        <v>100</v>
      </c>
      <c r="X28" s="1265"/>
      <c r="Y28" s="388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884"/>
      <c r="Q29" s="1263" t="str">
        <f t="shared" si="11"/>
        <v>成新率</v>
      </c>
      <c r="R29" s="667" t="s">
        <v>14</v>
      </c>
      <c r="S29" s="668" t="e">
        <f t="shared" si="12"/>
        <v>#N/A</v>
      </c>
      <c r="T29" s="667" t="s">
        <v>14</v>
      </c>
      <c r="U29" s="668" t="e">
        <f t="shared" si="13"/>
        <v>#N/A</v>
      </c>
      <c r="V29" s="667" t="s">
        <v>14</v>
      </c>
      <c r="W29" s="668" t="e">
        <f t="shared" si="14"/>
        <v>#N/A</v>
      </c>
      <c r="X29" s="1265"/>
      <c r="Y29" s="388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884"/>
      <c r="Q30" s="1263" t="str">
        <f t="shared" si="11"/>
        <v>物业等级</v>
      </c>
      <c r="R30" s="667" t="s">
        <v>14</v>
      </c>
      <c r="S30" s="668">
        <f t="shared" si="12"/>
        <v>100</v>
      </c>
      <c r="T30" s="667" t="s">
        <v>14</v>
      </c>
      <c r="U30" s="668">
        <f t="shared" si="13"/>
        <v>100</v>
      </c>
      <c r="V30" s="667" t="s">
        <v>14</v>
      </c>
      <c r="W30" s="668">
        <f t="shared" si="14"/>
        <v>100</v>
      </c>
      <c r="X30" s="1265"/>
      <c r="Y30" s="388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884"/>
      <c r="Q31" s="530" t="str">
        <f t="shared" si="11"/>
        <v>停车位面积</v>
      </c>
      <c r="R31" s="664" t="s">
        <v>14</v>
      </c>
      <c r="S31" s="665" t="e">
        <f t="shared" si="12"/>
        <v>#N/A</v>
      </c>
      <c r="T31" s="664" t="s">
        <v>14</v>
      </c>
      <c r="U31" s="665" t="e">
        <f t="shared" si="13"/>
        <v>#N/A</v>
      </c>
      <c r="V31" s="664" t="s">
        <v>14</v>
      </c>
      <c r="W31" s="665" t="e">
        <f t="shared" si="14"/>
        <v>#N/A</v>
      </c>
      <c r="X31" s="666"/>
      <c r="Y31" s="388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884" t="s">
        <v>1696</v>
      </c>
      <c r="Q32" s="1263" t="str">
        <f t="shared" si="11"/>
        <v>车位类型</v>
      </c>
      <c r="R32" s="667" t="s">
        <v>14</v>
      </c>
      <c r="S32" s="668">
        <f t="shared" si="12"/>
        <v>100</v>
      </c>
      <c r="T32" s="667" t="s">
        <v>14</v>
      </c>
      <c r="U32" s="668">
        <f t="shared" si="13"/>
        <v>100</v>
      </c>
      <c r="V32" s="667" t="s">
        <v>14</v>
      </c>
      <c r="W32" s="668">
        <f t="shared" si="14"/>
        <v>100</v>
      </c>
      <c r="X32" s="1265"/>
      <c r="Y32" s="388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884"/>
      <c r="Q33" s="1263" t="str">
        <f t="shared" si="11"/>
        <v>是否直接入户</v>
      </c>
      <c r="R33" s="667" t="s">
        <v>14</v>
      </c>
      <c r="S33" s="668">
        <f t="shared" si="12"/>
        <v>100</v>
      </c>
      <c r="T33" s="667" t="s">
        <v>14</v>
      </c>
      <c r="U33" s="668">
        <f t="shared" si="13"/>
        <v>100</v>
      </c>
      <c r="V33" s="667" t="s">
        <v>14</v>
      </c>
      <c r="W33" s="668">
        <f t="shared" si="14"/>
        <v>100</v>
      </c>
      <c r="X33" s="1265"/>
      <c r="Y33" s="388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884"/>
      <c r="Q34" s="1263">
        <f t="shared" si="11"/>
        <v>111</v>
      </c>
      <c r="R34" s="667" t="s">
        <v>14</v>
      </c>
      <c r="S34" s="668">
        <f t="shared" si="12"/>
        <v>100</v>
      </c>
      <c r="T34" s="667" t="s">
        <v>14</v>
      </c>
      <c r="U34" s="668">
        <f t="shared" si="13"/>
        <v>100</v>
      </c>
      <c r="V34" s="667" t="s">
        <v>14</v>
      </c>
      <c r="W34" s="668">
        <f t="shared" si="14"/>
        <v>100</v>
      </c>
      <c r="X34" s="1265"/>
      <c r="Y34" s="388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884"/>
      <c r="Q35" s="531">
        <f t="shared" si="11"/>
        <v>111</v>
      </c>
      <c r="R35" s="669" t="s">
        <v>14</v>
      </c>
      <c r="S35" s="670">
        <f t="shared" si="12"/>
        <v>100</v>
      </c>
      <c r="T35" s="669" t="s">
        <v>14</v>
      </c>
      <c r="U35" s="670">
        <f t="shared" si="13"/>
        <v>100</v>
      </c>
      <c r="V35" s="669" t="s">
        <v>14</v>
      </c>
      <c r="W35" s="670">
        <f t="shared" si="14"/>
        <v>100</v>
      </c>
      <c r="X35" s="671"/>
      <c r="Y35" s="388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884"/>
      <c r="Q36" s="1263">
        <f t="shared" si="11"/>
        <v>111</v>
      </c>
      <c r="R36" s="667" t="s">
        <v>14</v>
      </c>
      <c r="S36" s="668">
        <f t="shared" si="12"/>
        <v>100</v>
      </c>
      <c r="T36" s="667" t="s">
        <v>14</v>
      </c>
      <c r="U36" s="668">
        <f t="shared" si="13"/>
        <v>100</v>
      </c>
      <c r="V36" s="667" t="s">
        <v>14</v>
      </c>
      <c r="W36" s="668">
        <f t="shared" si="14"/>
        <v>100</v>
      </c>
      <c r="X36" s="1265"/>
      <c r="Y36" s="3884"/>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5"/>
      <c r="M37" s="2488"/>
      <c r="N37" s="2488"/>
      <c r="O37" s="2488"/>
      <c r="P37" s="3877" t="str">
        <f>A37</f>
        <v>成交单价</v>
      </c>
      <c r="Q37" s="3877"/>
      <c r="R37" s="3878">
        <f>E37</f>
        <v>0</v>
      </c>
      <c r="S37" s="3878"/>
      <c r="T37" s="3878">
        <f>G37</f>
        <v>0</v>
      </c>
      <c r="U37" s="3878"/>
      <c r="V37" s="3878">
        <f>I37</f>
        <v>0</v>
      </c>
      <c r="W37" s="387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877" t="str">
        <f>A38</f>
        <v>比较价值（元/平方米）</v>
      </c>
      <c r="Q38" s="3877"/>
      <c r="R38" s="3878" t="e">
        <f>IF(F1="售价",ROUND(PRODUCT(R37,AA7:AA36),0),ROUND(PRODUCT(R37,AA7:AA36),1))</f>
        <v>#DIV/0!</v>
      </c>
      <c r="S38" s="3878"/>
      <c r="T38" s="3878" t="e">
        <f>IF(F1="售价",ROUND(PRODUCT(T37,AB7:AB36),0),ROUND(PRODUCT(T37,AB7:AB36),1))</f>
        <v>#DIV/0!</v>
      </c>
      <c r="U38" s="3878"/>
      <c r="V38" s="3878" t="e">
        <f>IF(F1="售价",ROUND(PRODUCT(V37,AC7:AC36),0),ROUND(PRODUCT(V37,AC7:AC36),1))</f>
        <v>#DIV/0!</v>
      </c>
      <c r="W38" s="387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874" t="str">
        <f>A39</f>
        <v>估价对象XX用房的比较价值（楼面单价，元/平方米）</v>
      </c>
      <c r="Q39" s="3875"/>
      <c r="R39" s="3935" t="e">
        <f>IF(F1="售价",ROUND(IF(D38="简单平均",AVERAGE(R38:W38),R38*F38+T38*H38+V38*J38),0),ROUND(IF(D38="简单平均",AVERAGE(R38:V38),R38*F38+T38*H38+V38*J38),1))</f>
        <v>#DIV/0!</v>
      </c>
      <c r="S39" s="3935"/>
      <c r="T39" s="3935"/>
      <c r="U39" s="3935"/>
      <c r="V39" s="3935"/>
      <c r="W39" s="39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2024-6</v>
      </c>
      <c r="D48" s="1104">
        <f>EDATE(C48,-1)</f>
        <v>45413</v>
      </c>
      <c r="E48" s="1104">
        <f t="shared" ref="E48:O48" si="16">EDATE(D48,-1)</f>
        <v>45383</v>
      </c>
      <c r="F48" s="1104">
        <f t="shared" si="16"/>
        <v>45352</v>
      </c>
      <c r="G48" s="1104">
        <f t="shared" si="16"/>
        <v>45323</v>
      </c>
      <c r="H48" s="1104">
        <f t="shared" si="16"/>
        <v>45292</v>
      </c>
      <c r="I48" s="1104">
        <f t="shared" si="16"/>
        <v>45261</v>
      </c>
      <c r="J48" s="1104">
        <f t="shared" si="16"/>
        <v>45231</v>
      </c>
      <c r="K48" s="1104">
        <f t="shared" si="16"/>
        <v>45200</v>
      </c>
      <c r="L48" s="1104">
        <f t="shared" si="16"/>
        <v>45170</v>
      </c>
      <c r="M48" s="1104">
        <f t="shared" si="16"/>
        <v>45139</v>
      </c>
      <c r="N48" s="1104">
        <f t="shared" si="16"/>
        <v>45108</v>
      </c>
      <c r="O48" s="1104">
        <f t="shared" si="16"/>
        <v>45078</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06" priority="13" stopIfTrue="1">
      <formula>$F$42="超过30%"</formula>
    </cfRule>
  </conditionalFormatting>
  <conditionalFormatting sqref="E43">
    <cfRule type="expression" dxfId="105" priority="11" stopIfTrue="1">
      <formula>$F$43="超过20%"</formula>
    </cfRule>
  </conditionalFormatting>
  <conditionalFormatting sqref="E44">
    <cfRule type="expression" dxfId="104" priority="10" stopIfTrue="1">
      <formula>$F$44="超过30%"</formula>
    </cfRule>
  </conditionalFormatting>
  <conditionalFormatting sqref="F7:F36 H7:H36 J7:J36">
    <cfRule type="cellIs" dxfId="103" priority="1" operator="notEqual">
      <formula>100</formula>
    </cfRule>
  </conditionalFormatting>
  <conditionalFormatting sqref="F38">
    <cfRule type="expression" dxfId="102" priority="4">
      <formula>$D$38="简单平均"</formula>
    </cfRule>
  </conditionalFormatting>
  <conditionalFormatting sqref="F42:F44 H42:H44 J42:J44">
    <cfRule type="containsText" dxfId="101" priority="14" stopIfTrue="1" operator="containsText" text="超过">
      <formula>NOT(ISERROR(SEARCH("超过",F42)))</formula>
    </cfRule>
  </conditionalFormatting>
  <conditionalFormatting sqref="G42">
    <cfRule type="expression" dxfId="100" priority="9" stopIfTrue="1">
      <formula>$H$52+$H$42="超过30%"</formula>
    </cfRule>
  </conditionalFormatting>
  <conditionalFormatting sqref="G43">
    <cfRule type="expression" dxfId="99" priority="8" stopIfTrue="1">
      <formula>$H$43="超过20%"</formula>
    </cfRule>
  </conditionalFormatting>
  <conditionalFormatting sqref="G44">
    <cfRule type="expression" dxfId="98" priority="12" stopIfTrue="1">
      <formula>$H$54+$H$44="超过30%"</formula>
    </cfRule>
  </conditionalFormatting>
  <conditionalFormatting sqref="H38">
    <cfRule type="expression" dxfId="97" priority="3">
      <formula>$D$38="简单平均"</formula>
    </cfRule>
  </conditionalFormatting>
  <conditionalFormatting sqref="I42">
    <cfRule type="expression" dxfId="96" priority="7" stopIfTrue="1">
      <formula>$J$52+$J$42="超过30%"</formula>
    </cfRule>
  </conditionalFormatting>
  <conditionalFormatting sqref="I43">
    <cfRule type="expression" dxfId="95" priority="6" stopIfTrue="1">
      <formula>$J$53+$J$43="超过20%"</formula>
    </cfRule>
  </conditionalFormatting>
  <conditionalFormatting sqref="I44">
    <cfRule type="expression" dxfId="94" priority="5" stopIfTrue="1">
      <formula>$J$44="超过30%"</formula>
    </cfRule>
  </conditionalFormatting>
  <conditionalFormatting sqref="J38">
    <cfRule type="expression" dxfId="9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892" t="s">
        <v>1770</v>
      </c>
      <c r="D4" s="3893"/>
      <c r="E4" s="3894" t="s">
        <v>1771</v>
      </c>
      <c r="F4" s="3895"/>
      <c r="G4" s="3892" t="s">
        <v>1772</v>
      </c>
      <c r="H4" s="3893"/>
      <c r="I4" s="3892" t="s">
        <v>1773</v>
      </c>
      <c r="J4" s="3893"/>
      <c r="K4" s="537" t="s">
        <v>1774</v>
      </c>
      <c r="L4" s="2487"/>
      <c r="M4" s="2488"/>
      <c r="N4" s="2488"/>
      <c r="O4" s="2488"/>
      <c r="P4" s="3896" t="s">
        <v>1775</v>
      </c>
      <c r="Q4" s="3897"/>
      <c r="R4" s="3902" t="s">
        <v>1771</v>
      </c>
      <c r="S4" s="3903"/>
      <c r="T4" s="3902" t="s">
        <v>1772</v>
      </c>
      <c r="U4" s="3903"/>
      <c r="V4" s="3878" t="s">
        <v>1773</v>
      </c>
      <c r="W4" s="3878"/>
      <c r="X4" s="1265"/>
      <c r="Y4" s="3902" t="s">
        <v>1775</v>
      </c>
      <c r="Z4" s="3903"/>
      <c r="AA4" s="3889" t="s">
        <v>1771</v>
      </c>
      <c r="AB4" s="3890" t="s">
        <v>1772</v>
      </c>
      <c r="AC4" s="3889" t="s">
        <v>1773</v>
      </c>
    </row>
    <row r="5" spans="1:29" ht="15">
      <c r="A5" s="348"/>
      <c r="B5" s="349"/>
      <c r="C5" s="3910" t="s">
        <v>1673</v>
      </c>
      <c r="D5" s="3911"/>
      <c r="E5" s="3917" t="s">
        <v>1674</v>
      </c>
      <c r="F5" s="3918"/>
      <c r="G5" s="3910" t="s">
        <v>1675</v>
      </c>
      <c r="H5" s="3911"/>
      <c r="I5" s="3910" t="s">
        <v>1676</v>
      </c>
      <c r="J5" s="3911"/>
      <c r="K5" s="537"/>
      <c r="L5" s="2487"/>
      <c r="M5" s="2488"/>
      <c r="N5" s="2488"/>
      <c r="O5" s="2488"/>
      <c r="P5" s="3898"/>
      <c r="Q5" s="3899"/>
      <c r="R5" s="3904"/>
      <c r="S5" s="3905"/>
      <c r="T5" s="3904"/>
      <c r="U5" s="3905"/>
      <c r="V5" s="3878"/>
      <c r="W5" s="3878"/>
      <c r="X5" s="1265"/>
      <c r="Y5" s="3904"/>
      <c r="Z5" s="3905"/>
      <c r="AA5" s="3890"/>
      <c r="AB5" s="3890"/>
      <c r="AC5" s="3890"/>
    </row>
    <row r="6" spans="1:29" ht="15.75" thickBot="1">
      <c r="A6" s="350"/>
      <c r="B6" s="351"/>
      <c r="C6" s="3908" t="s">
        <v>1677</v>
      </c>
      <c r="D6" s="3909"/>
      <c r="E6" s="3915" t="s">
        <v>1677</v>
      </c>
      <c r="F6" s="3916"/>
      <c r="G6" s="3908" t="s">
        <v>1677</v>
      </c>
      <c r="H6" s="3909"/>
      <c r="I6" s="3908" t="s">
        <v>1677</v>
      </c>
      <c r="J6" s="3909"/>
      <c r="K6" s="537" t="s">
        <v>1678</v>
      </c>
      <c r="L6" s="2487"/>
      <c r="M6" s="2488"/>
      <c r="N6" s="2488"/>
      <c r="O6" s="2488"/>
      <c r="P6" s="3900"/>
      <c r="Q6" s="3901"/>
      <c r="R6" s="3904"/>
      <c r="S6" s="3905"/>
      <c r="T6" s="3906"/>
      <c r="U6" s="3907"/>
      <c r="V6" s="3878"/>
      <c r="W6" s="3878"/>
      <c r="X6" s="1265"/>
      <c r="Y6" s="3906"/>
      <c r="Z6" s="3907"/>
      <c r="AA6" s="3891"/>
      <c r="AB6" s="3891"/>
      <c r="AC6" s="3891"/>
    </row>
    <row r="7" spans="1:29" s="102" customFormat="1" ht="15.75" thickBot="1">
      <c r="A7" s="352" t="s">
        <v>1679</v>
      </c>
      <c r="B7" s="353"/>
      <c r="C7" s="354">
        <f>'数据-取费表'!B2</f>
        <v>45473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912" t="s">
        <v>1680</v>
      </c>
      <c r="Q7" s="3914"/>
      <c r="R7" s="664" t="s">
        <v>14</v>
      </c>
      <c r="S7" s="665">
        <f t="shared" ref="S7:S15" si="0">F7</f>
        <v>0</v>
      </c>
      <c r="T7" s="664" t="s">
        <v>14</v>
      </c>
      <c r="U7" s="665">
        <f t="shared" ref="U7:U15" si="1">H7</f>
        <v>0</v>
      </c>
      <c r="V7" s="664" t="s">
        <v>14</v>
      </c>
      <c r="W7" s="665">
        <f t="shared" ref="W7:W15" si="2">J7</f>
        <v>0</v>
      </c>
      <c r="X7" s="666"/>
      <c r="Y7" s="3912" t="s">
        <v>1680</v>
      </c>
      <c r="Z7" s="391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912" t="s">
        <v>1683</v>
      </c>
      <c r="Q8" s="3913"/>
      <c r="R8" s="664" t="s">
        <v>14</v>
      </c>
      <c r="S8" s="665">
        <f t="shared" si="0"/>
        <v>0</v>
      </c>
      <c r="T8" s="664" t="s">
        <v>14</v>
      </c>
      <c r="U8" s="665">
        <f t="shared" si="1"/>
        <v>0</v>
      </c>
      <c r="V8" s="664" t="s">
        <v>14</v>
      </c>
      <c r="W8" s="665">
        <f t="shared" si="2"/>
        <v>0</v>
      </c>
      <c r="X8" s="666"/>
      <c r="Y8" s="3912" t="s">
        <v>1683</v>
      </c>
      <c r="Z8" s="391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877" t="s">
        <v>1686</v>
      </c>
      <c r="Q9" s="530" t="str">
        <f t="shared" ref="Q9:Q15" si="6">B9</f>
        <v>用途</v>
      </c>
      <c r="R9" s="664" t="s">
        <v>14</v>
      </c>
      <c r="S9" s="665">
        <f t="shared" si="0"/>
        <v>100</v>
      </c>
      <c r="T9" s="664" t="s">
        <v>14</v>
      </c>
      <c r="U9" s="665">
        <f t="shared" si="1"/>
        <v>100</v>
      </c>
      <c r="V9" s="664" t="s">
        <v>14</v>
      </c>
      <c r="W9" s="665">
        <f t="shared" si="2"/>
        <v>100</v>
      </c>
      <c r="X9" s="666"/>
      <c r="Y9" s="373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877"/>
      <c r="Q10" s="530" t="str">
        <f t="shared" si="6"/>
        <v>土地使用年限（年）</v>
      </c>
      <c r="R10" s="664" t="s">
        <v>14</v>
      </c>
      <c r="S10" s="665" t="e">
        <f t="shared" si="0"/>
        <v>#DIV/0!</v>
      </c>
      <c r="T10" s="664" t="s">
        <v>14</v>
      </c>
      <c r="U10" s="665" t="e">
        <f t="shared" si="1"/>
        <v>#DIV/0!</v>
      </c>
      <c r="V10" s="664" t="s">
        <v>14</v>
      </c>
      <c r="W10" s="665" t="e">
        <f t="shared" si="2"/>
        <v>#DIV/0!</v>
      </c>
      <c r="X10" s="666"/>
      <c r="Y10" s="373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877"/>
      <c r="Q11" s="530" t="str">
        <f t="shared" si="6"/>
        <v>容积率</v>
      </c>
      <c r="R11" s="664" t="s">
        <v>14</v>
      </c>
      <c r="S11" s="665" t="e">
        <f t="shared" si="0"/>
        <v>#N/A</v>
      </c>
      <c r="T11" s="664" t="s">
        <v>14</v>
      </c>
      <c r="U11" s="665" t="e">
        <f t="shared" si="1"/>
        <v>#N/A</v>
      </c>
      <c r="V11" s="664" t="s">
        <v>14</v>
      </c>
      <c r="W11" s="665" t="e">
        <f t="shared" si="2"/>
        <v>#N/A</v>
      </c>
      <c r="X11" s="666"/>
      <c r="Y11" s="373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877"/>
      <c r="Q12" s="530" t="str">
        <f t="shared" si="6"/>
        <v>配建</v>
      </c>
      <c r="R12" s="664" t="s">
        <v>14</v>
      </c>
      <c r="S12" s="665">
        <f t="shared" si="0"/>
        <v>100</v>
      </c>
      <c r="T12" s="664" t="s">
        <v>14</v>
      </c>
      <c r="U12" s="665">
        <f t="shared" si="1"/>
        <v>100</v>
      </c>
      <c r="V12" s="664" t="s">
        <v>14</v>
      </c>
      <c r="W12" s="665">
        <f t="shared" si="2"/>
        <v>100</v>
      </c>
      <c r="X12" s="666"/>
      <c r="Y12" s="373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877"/>
      <c r="Q13" s="530">
        <f t="shared" si="6"/>
        <v>111</v>
      </c>
      <c r="R13" s="664" t="s">
        <v>14</v>
      </c>
      <c r="S13" s="665">
        <f t="shared" si="0"/>
        <v>100</v>
      </c>
      <c r="T13" s="664" t="s">
        <v>14</v>
      </c>
      <c r="U13" s="665">
        <f t="shared" si="1"/>
        <v>100</v>
      </c>
      <c r="V13" s="664" t="s">
        <v>14</v>
      </c>
      <c r="W13" s="665">
        <f t="shared" si="2"/>
        <v>100</v>
      </c>
      <c r="X13" s="666"/>
      <c r="Y13" s="373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877"/>
      <c r="Q14" s="530">
        <f t="shared" si="6"/>
        <v>111</v>
      </c>
      <c r="R14" s="664" t="s">
        <v>14</v>
      </c>
      <c r="S14" s="665">
        <f t="shared" si="0"/>
        <v>100</v>
      </c>
      <c r="T14" s="664" t="s">
        <v>14</v>
      </c>
      <c r="U14" s="665">
        <f t="shared" si="1"/>
        <v>100</v>
      </c>
      <c r="V14" s="664" t="s">
        <v>14</v>
      </c>
      <c r="W14" s="665">
        <f t="shared" si="2"/>
        <v>100</v>
      </c>
      <c r="X14" s="666"/>
      <c r="Y14" s="373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879" t="s">
        <v>1691</v>
      </c>
      <c r="Q15" s="1263" t="str">
        <f t="shared" si="6"/>
        <v>居住社区成熟度</v>
      </c>
      <c r="R15" s="667" t="s">
        <v>14</v>
      </c>
      <c r="S15" s="668">
        <f t="shared" si="0"/>
        <v>100</v>
      </c>
      <c r="T15" s="667" t="s">
        <v>14</v>
      </c>
      <c r="U15" s="668">
        <f t="shared" si="1"/>
        <v>100</v>
      </c>
      <c r="V15" s="667" t="s">
        <v>14</v>
      </c>
      <c r="W15" s="668">
        <f t="shared" si="2"/>
        <v>100</v>
      </c>
      <c r="X15" s="1265"/>
      <c r="Y15" s="387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880"/>
      <c r="Q16" s="1263"/>
      <c r="R16" s="667"/>
      <c r="S16" s="668"/>
      <c r="T16" s="667"/>
      <c r="U16" s="668"/>
      <c r="V16" s="667"/>
      <c r="W16" s="668"/>
      <c r="X16" s="1265"/>
      <c r="Y16" s="388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880"/>
      <c r="Q17" s="1263" t="str">
        <f>B17</f>
        <v>商业繁华度</v>
      </c>
      <c r="R17" s="667" t="s">
        <v>14</v>
      </c>
      <c r="S17" s="668">
        <f>F17</f>
        <v>100</v>
      </c>
      <c r="T17" s="667" t="s">
        <v>14</v>
      </c>
      <c r="U17" s="668">
        <f>H17</f>
        <v>100</v>
      </c>
      <c r="V17" s="667" t="s">
        <v>14</v>
      </c>
      <c r="W17" s="668">
        <f>J17</f>
        <v>100</v>
      </c>
      <c r="X17" s="1265"/>
      <c r="Y17" s="388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880"/>
      <c r="Q18" s="1263"/>
      <c r="R18" s="667"/>
      <c r="S18" s="668"/>
      <c r="T18" s="667"/>
      <c r="U18" s="668"/>
      <c r="V18" s="667"/>
      <c r="W18" s="668"/>
      <c r="X18" s="1265"/>
      <c r="Y18" s="388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880"/>
      <c r="Q19" s="1263" t="str">
        <f>B19</f>
        <v>办公集聚程度</v>
      </c>
      <c r="R19" s="667" t="s">
        <v>14</v>
      </c>
      <c r="S19" s="668">
        <f>F19</f>
        <v>100</v>
      </c>
      <c r="T19" s="667" t="s">
        <v>14</v>
      </c>
      <c r="U19" s="668">
        <f>H19</f>
        <v>100</v>
      </c>
      <c r="V19" s="667" t="s">
        <v>14</v>
      </c>
      <c r="W19" s="668">
        <f>J19</f>
        <v>100</v>
      </c>
      <c r="X19" s="1265"/>
      <c r="Y19" s="388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880"/>
      <c r="Q20" s="1263"/>
      <c r="R20" s="667"/>
      <c r="S20" s="668"/>
      <c r="T20" s="667"/>
      <c r="U20" s="668"/>
      <c r="V20" s="667"/>
      <c r="W20" s="668"/>
      <c r="X20" s="1265"/>
      <c r="Y20" s="388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880"/>
      <c r="Q21" s="1263" t="str">
        <f>B21</f>
        <v>交通便捷度</v>
      </c>
      <c r="R21" s="667" t="s">
        <v>14</v>
      </c>
      <c r="S21" s="668">
        <f>F21</f>
        <v>100</v>
      </c>
      <c r="T21" s="667" t="s">
        <v>14</v>
      </c>
      <c r="U21" s="668">
        <f>H21</f>
        <v>100</v>
      </c>
      <c r="V21" s="667" t="s">
        <v>14</v>
      </c>
      <c r="W21" s="668">
        <f>J21</f>
        <v>100</v>
      </c>
      <c r="X21" s="1265"/>
      <c r="Y21" s="388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880"/>
      <c r="Q22" s="1263"/>
      <c r="R22" s="667"/>
      <c r="S22" s="668"/>
      <c r="T22" s="667"/>
      <c r="U22" s="668"/>
      <c r="V22" s="667"/>
      <c r="W22" s="668"/>
      <c r="X22" s="1265"/>
      <c r="Y22" s="388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880"/>
      <c r="Q23" s="1263" t="str">
        <f t="shared" ref="Q23:Q37" si="8">B23</f>
        <v>区域土地利用方向</v>
      </c>
      <c r="R23" s="667" t="s">
        <v>14</v>
      </c>
      <c r="S23" s="668">
        <f>F23</f>
        <v>100</v>
      </c>
      <c r="T23" s="667" t="s">
        <v>14</v>
      </c>
      <c r="U23" s="668">
        <f>H23</f>
        <v>100</v>
      </c>
      <c r="V23" s="667" t="s">
        <v>14</v>
      </c>
      <c r="W23" s="668">
        <f>J23</f>
        <v>100</v>
      </c>
      <c r="X23" s="1265"/>
      <c r="Y23" s="388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880"/>
      <c r="Q24" s="1263"/>
      <c r="R24" s="667"/>
      <c r="S24" s="668"/>
      <c r="T24" s="667"/>
      <c r="U24" s="668"/>
      <c r="V24" s="667"/>
      <c r="W24" s="668"/>
      <c r="X24" s="1265"/>
      <c r="Y24" s="388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880"/>
      <c r="Q25" s="1263" t="str">
        <f t="shared" si="8"/>
        <v>自然及人文环境状况</v>
      </c>
      <c r="R25" s="667" t="s">
        <v>14</v>
      </c>
      <c r="S25" s="668">
        <f>F25</f>
        <v>100</v>
      </c>
      <c r="T25" s="667" t="s">
        <v>14</v>
      </c>
      <c r="U25" s="668">
        <f>H25</f>
        <v>100</v>
      </c>
      <c r="V25" s="667" t="s">
        <v>14</v>
      </c>
      <c r="W25" s="668">
        <f>J25</f>
        <v>100</v>
      </c>
      <c r="X25" s="1265"/>
      <c r="Y25" s="388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880"/>
      <c r="Q26" s="1263"/>
      <c r="R26" s="667"/>
      <c r="S26" s="668"/>
      <c r="T26" s="667"/>
      <c r="U26" s="668"/>
      <c r="V26" s="667"/>
      <c r="W26" s="668"/>
      <c r="X26" s="1265"/>
      <c r="Y26" s="388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880"/>
      <c r="Q27" s="530" t="str">
        <f t="shared" si="8"/>
        <v>公共配套设施</v>
      </c>
      <c r="R27" s="664" t="s">
        <v>14</v>
      </c>
      <c r="S27" s="665">
        <f>F27</f>
        <v>100</v>
      </c>
      <c r="T27" s="664" t="s">
        <v>14</v>
      </c>
      <c r="U27" s="665">
        <f>H27</f>
        <v>100</v>
      </c>
      <c r="V27" s="664" t="s">
        <v>14</v>
      </c>
      <c r="W27" s="665">
        <f>J27</f>
        <v>100</v>
      </c>
      <c r="X27" s="666"/>
      <c r="Y27" s="388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880"/>
      <c r="Q28" s="530"/>
      <c r="R28" s="664"/>
      <c r="S28" s="665"/>
      <c r="T28" s="664"/>
      <c r="U28" s="665"/>
      <c r="V28" s="664"/>
      <c r="W28" s="665"/>
      <c r="X28" s="666"/>
      <c r="Y28" s="388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880"/>
      <c r="Q29" s="530" t="str">
        <f t="shared" ref="Q29" si="9">B29</f>
        <v>基础设施水平</v>
      </c>
      <c r="R29" s="664" t="s">
        <v>14</v>
      </c>
      <c r="S29" s="665">
        <f>F29</f>
        <v>100</v>
      </c>
      <c r="T29" s="664" t="s">
        <v>14</v>
      </c>
      <c r="U29" s="665">
        <f>H29</f>
        <v>100</v>
      </c>
      <c r="V29" s="664" t="s">
        <v>14</v>
      </c>
      <c r="W29" s="665">
        <f>J29</f>
        <v>100</v>
      </c>
      <c r="X29" s="666"/>
      <c r="Y29" s="388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880"/>
      <c r="Q30" s="530"/>
      <c r="R30" s="664"/>
      <c r="S30" s="665"/>
      <c r="T30" s="664"/>
      <c r="U30" s="665"/>
      <c r="V30" s="664"/>
      <c r="W30" s="665"/>
      <c r="X30" s="666"/>
      <c r="Y30" s="388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88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88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880"/>
      <c r="Q32" s="1263" t="str">
        <f t="shared" si="8"/>
        <v>毗邻道路的类型与等级</v>
      </c>
      <c r="R32" s="667" t="s">
        <v>14</v>
      </c>
      <c r="S32" s="668">
        <f t="shared" si="10"/>
        <v>100</v>
      </c>
      <c r="T32" s="667" t="s">
        <v>14</v>
      </c>
      <c r="U32" s="668">
        <f t="shared" si="11"/>
        <v>100</v>
      </c>
      <c r="V32" s="667" t="s">
        <v>14</v>
      </c>
      <c r="W32" s="668">
        <f t="shared" si="12"/>
        <v>100</v>
      </c>
      <c r="X32" s="1265"/>
      <c r="Y32" s="388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880"/>
      <c r="Q33" s="1263"/>
      <c r="R33" s="667"/>
      <c r="S33" s="668"/>
      <c r="T33" s="667"/>
      <c r="U33" s="668"/>
      <c r="V33" s="667"/>
      <c r="W33" s="668"/>
      <c r="X33" s="1265"/>
      <c r="Y33" s="388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880"/>
      <c r="Q34" s="1263" t="str">
        <f t="shared" si="8"/>
        <v>土地级别</v>
      </c>
      <c r="R34" s="667" t="s">
        <v>14</v>
      </c>
      <c r="S34" s="668">
        <f t="shared" si="10"/>
        <v>100</v>
      </c>
      <c r="T34" s="667" t="s">
        <v>14</v>
      </c>
      <c r="U34" s="668">
        <f t="shared" si="11"/>
        <v>100</v>
      </c>
      <c r="V34" s="667" t="s">
        <v>14</v>
      </c>
      <c r="W34" s="668">
        <f t="shared" si="12"/>
        <v>100</v>
      </c>
      <c r="X34" s="1265"/>
      <c r="Y34" s="388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880"/>
      <c r="Q35" s="1263">
        <f t="shared" si="8"/>
        <v>111</v>
      </c>
      <c r="R35" s="667" t="s">
        <v>14</v>
      </c>
      <c r="S35" s="668">
        <f t="shared" si="10"/>
        <v>100</v>
      </c>
      <c r="T35" s="667" t="s">
        <v>14</v>
      </c>
      <c r="U35" s="668">
        <f t="shared" si="11"/>
        <v>100</v>
      </c>
      <c r="V35" s="667" t="s">
        <v>14</v>
      </c>
      <c r="W35" s="668">
        <f t="shared" si="12"/>
        <v>100</v>
      </c>
      <c r="X35" s="1265"/>
      <c r="Y35" s="388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934" t="s">
        <v>1696</v>
      </c>
      <c r="Q36" s="1263">
        <f t="shared" si="8"/>
        <v>111</v>
      </c>
      <c r="R36" s="667" t="s">
        <v>14</v>
      </c>
      <c r="S36" s="668">
        <f t="shared" si="10"/>
        <v>100</v>
      </c>
      <c r="T36" s="667" t="s">
        <v>14</v>
      </c>
      <c r="U36" s="668">
        <f t="shared" si="11"/>
        <v>100</v>
      </c>
      <c r="V36" s="667" t="s">
        <v>14</v>
      </c>
      <c r="W36" s="668">
        <f t="shared" si="12"/>
        <v>100</v>
      </c>
      <c r="X36" s="1265"/>
      <c r="Y36" s="388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884"/>
      <c r="Q37" s="1263">
        <f t="shared" si="8"/>
        <v>111</v>
      </c>
      <c r="R37" s="669" t="s">
        <v>14</v>
      </c>
      <c r="S37" s="670">
        <f t="shared" si="10"/>
        <v>100</v>
      </c>
      <c r="T37" s="669" t="s">
        <v>14</v>
      </c>
      <c r="U37" s="670">
        <f t="shared" si="11"/>
        <v>100</v>
      </c>
      <c r="V37" s="669" t="s">
        <v>14</v>
      </c>
      <c r="W37" s="670">
        <f t="shared" si="12"/>
        <v>100</v>
      </c>
      <c r="X37" s="671"/>
      <c r="Y37" s="388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884"/>
      <c r="Q38" s="1263" t="str">
        <f>B38</f>
        <v>宗地面积</v>
      </c>
      <c r="R38" s="667" t="s">
        <v>14</v>
      </c>
      <c r="S38" s="668" t="e">
        <f t="shared" si="10"/>
        <v>#N/A</v>
      </c>
      <c r="T38" s="667" t="s">
        <v>14</v>
      </c>
      <c r="U38" s="668" t="e">
        <f t="shared" si="11"/>
        <v>#N/A</v>
      </c>
      <c r="V38" s="667" t="s">
        <v>14</v>
      </c>
      <c r="W38" s="668" t="e">
        <f t="shared" si="12"/>
        <v>#N/A</v>
      </c>
      <c r="X38" s="1265"/>
      <c r="Y38" s="388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884"/>
      <c r="Q39" s="1263" t="str">
        <f t="shared" ref="Q39:Q45" si="14">B39</f>
        <v>宗地形状</v>
      </c>
      <c r="R39" s="667" t="s">
        <v>14</v>
      </c>
      <c r="S39" s="668">
        <f t="shared" si="10"/>
        <v>100</v>
      </c>
      <c r="T39" s="667" t="s">
        <v>14</v>
      </c>
      <c r="U39" s="668">
        <f t="shared" si="11"/>
        <v>100</v>
      </c>
      <c r="V39" s="667" t="s">
        <v>14</v>
      </c>
      <c r="W39" s="668">
        <f t="shared" si="12"/>
        <v>100</v>
      </c>
      <c r="X39" s="1265"/>
      <c r="Y39" s="388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884"/>
      <c r="Q40" s="1263" t="str">
        <f t="shared" si="14"/>
        <v>临街宽度及深度</v>
      </c>
      <c r="R40" s="667" t="s">
        <v>14</v>
      </c>
      <c r="S40" s="668">
        <f t="shared" si="10"/>
        <v>100</v>
      </c>
      <c r="T40" s="667" t="s">
        <v>14</v>
      </c>
      <c r="U40" s="668">
        <f t="shared" si="11"/>
        <v>100</v>
      </c>
      <c r="V40" s="667" t="s">
        <v>14</v>
      </c>
      <c r="W40" s="668">
        <f t="shared" si="12"/>
        <v>100</v>
      </c>
      <c r="X40" s="1265"/>
      <c r="Y40" s="388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884"/>
      <c r="Q41" s="1263" t="str">
        <f t="shared" si="14"/>
        <v>宗地开发程度</v>
      </c>
      <c r="R41" s="664" t="s">
        <v>14</v>
      </c>
      <c r="S41" s="665">
        <f t="shared" si="10"/>
        <v>100</v>
      </c>
      <c r="T41" s="664" t="s">
        <v>14</v>
      </c>
      <c r="U41" s="665">
        <f t="shared" si="11"/>
        <v>100</v>
      </c>
      <c r="V41" s="664" t="s">
        <v>14</v>
      </c>
      <c r="W41" s="665">
        <f t="shared" si="12"/>
        <v>100</v>
      </c>
      <c r="X41" s="666"/>
      <c r="Y41" s="388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884" t="s">
        <v>1696</v>
      </c>
      <c r="Q42" s="1263" t="str">
        <f t="shared" si="14"/>
        <v>工程地质条件</v>
      </c>
      <c r="R42" s="667" t="s">
        <v>14</v>
      </c>
      <c r="S42" s="668">
        <f t="shared" si="10"/>
        <v>100</v>
      </c>
      <c r="T42" s="667" t="s">
        <v>14</v>
      </c>
      <c r="U42" s="668">
        <f t="shared" si="11"/>
        <v>100</v>
      </c>
      <c r="V42" s="667" t="s">
        <v>14</v>
      </c>
      <c r="W42" s="668">
        <f t="shared" si="12"/>
        <v>100</v>
      </c>
      <c r="X42" s="1265"/>
      <c r="Y42" s="388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884"/>
      <c r="Q43" s="1263">
        <f t="shared" si="14"/>
        <v>111</v>
      </c>
      <c r="R43" s="667" t="s">
        <v>14</v>
      </c>
      <c r="S43" s="668">
        <f t="shared" si="10"/>
        <v>100</v>
      </c>
      <c r="T43" s="667" t="s">
        <v>14</v>
      </c>
      <c r="U43" s="668">
        <f t="shared" si="11"/>
        <v>100</v>
      </c>
      <c r="V43" s="667" t="s">
        <v>14</v>
      </c>
      <c r="W43" s="668">
        <f t="shared" si="12"/>
        <v>100</v>
      </c>
      <c r="X43" s="1265"/>
      <c r="Y43" s="388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884"/>
      <c r="Q44" s="1263">
        <f t="shared" si="14"/>
        <v>111</v>
      </c>
      <c r="R44" s="667" t="s">
        <v>14</v>
      </c>
      <c r="S44" s="668">
        <f t="shared" si="10"/>
        <v>100</v>
      </c>
      <c r="T44" s="667" t="s">
        <v>14</v>
      </c>
      <c r="U44" s="668">
        <f t="shared" si="11"/>
        <v>100</v>
      </c>
      <c r="V44" s="667" t="s">
        <v>14</v>
      </c>
      <c r="W44" s="668">
        <f t="shared" si="12"/>
        <v>100</v>
      </c>
      <c r="X44" s="1265"/>
      <c r="Y44" s="388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884"/>
      <c r="Q45" s="1263">
        <f t="shared" si="14"/>
        <v>111</v>
      </c>
      <c r="R45" s="669" t="s">
        <v>14</v>
      </c>
      <c r="S45" s="670">
        <f t="shared" si="10"/>
        <v>100</v>
      </c>
      <c r="T45" s="669" t="s">
        <v>14</v>
      </c>
      <c r="U45" s="670">
        <f t="shared" si="11"/>
        <v>100</v>
      </c>
      <c r="V45" s="669" t="s">
        <v>14</v>
      </c>
      <c r="W45" s="670">
        <f t="shared" si="12"/>
        <v>100</v>
      </c>
      <c r="X45" s="671"/>
      <c r="Y45" s="388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877" t="str">
        <f>A46</f>
        <v>成交单价</v>
      </c>
      <c r="Q46" s="3877"/>
      <c r="R46" s="3878">
        <f>E46</f>
        <v>0</v>
      </c>
      <c r="S46" s="3878"/>
      <c r="T46" s="3878">
        <f>G46</f>
        <v>0</v>
      </c>
      <c r="U46" s="3878"/>
      <c r="V46" s="3878">
        <f>I46</f>
        <v>0</v>
      </c>
      <c r="W46" s="387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877" t="str">
        <f>A47</f>
        <v>比较价值（元/平方米）</v>
      </c>
      <c r="Q47" s="3877"/>
      <c r="R47" s="3936" t="e">
        <f>ROUND(PRODUCT(R46,AA7:AA45),0)</f>
        <v>#DIV/0!</v>
      </c>
      <c r="S47" s="3936"/>
      <c r="T47" s="3936" t="e">
        <f>ROUND(PRODUCT(T46,AB7:AB45),0)</f>
        <v>#DIV/0!</v>
      </c>
      <c r="U47" s="3936"/>
      <c r="V47" s="3936" t="e">
        <f>ROUND(PRODUCT(V46,AC7:AC45),0)</f>
        <v>#DIV/0!</v>
      </c>
      <c r="W47" s="39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874" t="str">
        <f>A48</f>
        <v>估价对象XX用房的比较价值（楼面单价，元/平方米）</v>
      </c>
      <c r="Q48" s="3875"/>
      <c r="R48" s="3937" t="e">
        <f>ROUND(IF(D47="简单平均",AVERAGE(R47:W47),R47*F47+T47*H47+V47*J47),0)</f>
        <v>#DIV/0!</v>
      </c>
      <c r="S48" s="3937"/>
      <c r="T48" s="3937"/>
      <c r="U48" s="3937"/>
      <c r="V48" s="3937"/>
      <c r="W48" s="39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892" t="s">
        <v>1887</v>
      </c>
      <c r="H55" s="39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38160.79</v>
      </c>
      <c r="F56" s="833" t="e">
        <f t="shared" ref="F56:F64" si="15">ROUND(B56*E56/10000,0)</f>
        <v>#DIV/0!</v>
      </c>
      <c r="G56" s="3888"/>
      <c r="H56" s="387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四级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四级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38160.79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2024-6-1</v>
      </c>
      <c r="D67" s="656">
        <f>EDATE(C67,-3)</f>
        <v>45352</v>
      </c>
      <c r="E67" s="656">
        <f>EDATE(D67,-3)</f>
        <v>45261</v>
      </c>
      <c r="F67" s="656">
        <f t="shared" ref="F67:O67" si="18">EDATE(E67,-3)</f>
        <v>45170</v>
      </c>
      <c r="G67" s="656">
        <f t="shared" si="18"/>
        <v>45078</v>
      </c>
      <c r="H67" s="656">
        <f t="shared" si="18"/>
        <v>44986</v>
      </c>
      <c r="I67" s="656">
        <f t="shared" si="18"/>
        <v>44896</v>
      </c>
      <c r="J67" s="656">
        <f t="shared" si="18"/>
        <v>44805</v>
      </c>
      <c r="K67" s="656">
        <f t="shared" si="18"/>
        <v>44713</v>
      </c>
      <c r="L67" s="656">
        <f t="shared" si="18"/>
        <v>44621</v>
      </c>
      <c r="M67" s="656">
        <f t="shared" si="18"/>
        <v>44531</v>
      </c>
      <c r="N67" s="656">
        <f t="shared" si="18"/>
        <v>44440</v>
      </c>
      <c r="O67" s="656">
        <f t="shared" si="18"/>
        <v>44348</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2024-2</v>
      </c>
      <c r="D69" s="1101" t="str">
        <f>YEAR(D67)&amp;"-"&amp;ROUNDUP(MONTH(D67)/3,0)</f>
        <v>2024-1</v>
      </c>
      <c r="E69" s="1101" t="str">
        <f t="shared" ref="E69:O69" si="19">YEAR(E67)&amp;"-"&amp;ROUNDUP(MONTH(E67)/3,0)</f>
        <v>2023-4</v>
      </c>
      <c r="F69" s="1101" t="str">
        <f t="shared" si="19"/>
        <v>2023-3</v>
      </c>
      <c r="G69" s="1101" t="str">
        <f t="shared" si="19"/>
        <v>2023-2</v>
      </c>
      <c r="H69" s="1101" t="str">
        <f t="shared" si="19"/>
        <v>2023-1</v>
      </c>
      <c r="I69" s="1101" t="str">
        <f t="shared" si="19"/>
        <v>2022-4</v>
      </c>
      <c r="J69" s="1101" t="str">
        <f t="shared" si="19"/>
        <v>2022-3</v>
      </c>
      <c r="K69" s="1101" t="str">
        <f t="shared" si="19"/>
        <v>2022-2</v>
      </c>
      <c r="L69" s="1101" t="str">
        <f t="shared" si="19"/>
        <v>2022-1</v>
      </c>
      <c r="M69" s="1101" t="str">
        <f t="shared" si="19"/>
        <v>2021-4</v>
      </c>
      <c r="N69" s="1101" t="str">
        <f t="shared" si="19"/>
        <v>2021-3</v>
      </c>
      <c r="O69" s="1101" t="str">
        <f t="shared" si="19"/>
        <v>2021-2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92" priority="13" stopIfTrue="1">
      <formula>$F$51="超过30%"</formula>
    </cfRule>
  </conditionalFormatting>
  <conditionalFormatting sqref="E52">
    <cfRule type="expression" dxfId="91" priority="11" stopIfTrue="1">
      <formula>$F$52="超过20%"</formula>
    </cfRule>
  </conditionalFormatting>
  <conditionalFormatting sqref="E53">
    <cfRule type="expression" dxfId="90" priority="10" stopIfTrue="1">
      <formula>$F$53="超过30%"</formula>
    </cfRule>
  </conditionalFormatting>
  <conditionalFormatting sqref="F7:F45 H7:H45 J7:J45">
    <cfRule type="cellIs" dxfId="89" priority="1" operator="notEqual">
      <formula>100</formula>
    </cfRule>
  </conditionalFormatting>
  <conditionalFormatting sqref="F47">
    <cfRule type="expression" dxfId="88" priority="4">
      <formula>$D$47="简单平均"</formula>
    </cfRule>
  </conditionalFormatting>
  <conditionalFormatting sqref="F51:F53 H51:H53 J51:J53">
    <cfRule type="containsText" dxfId="87" priority="14" stopIfTrue="1" operator="containsText" text="超过">
      <formula>NOT(ISERROR(SEARCH("超过",F51)))</formula>
    </cfRule>
  </conditionalFormatting>
  <conditionalFormatting sqref="G51">
    <cfRule type="expression" dxfId="86" priority="9" stopIfTrue="1">
      <formula>$H$53+$H$51="超过30%"</formula>
    </cfRule>
  </conditionalFormatting>
  <conditionalFormatting sqref="G52">
    <cfRule type="expression" dxfId="85" priority="8" stopIfTrue="1">
      <formula>$H$52="超过20%"</formula>
    </cfRule>
  </conditionalFormatting>
  <conditionalFormatting sqref="G53">
    <cfRule type="expression" dxfId="84" priority="12" stopIfTrue="1">
      <formula>$H$53="超过30%"</formula>
    </cfRule>
  </conditionalFormatting>
  <conditionalFormatting sqref="H47">
    <cfRule type="expression" dxfId="83" priority="3">
      <formula>$D$47="简单平均"</formula>
    </cfRule>
  </conditionalFormatting>
  <conditionalFormatting sqref="I51">
    <cfRule type="expression" dxfId="82" priority="7" stopIfTrue="1">
      <formula>$J$51="超过30%"</formula>
    </cfRule>
  </conditionalFormatting>
  <conditionalFormatting sqref="I52">
    <cfRule type="expression" dxfId="81" priority="6" stopIfTrue="1">
      <formula>$J$52="超过20%"</formula>
    </cfRule>
  </conditionalFormatting>
  <conditionalFormatting sqref="I53">
    <cfRule type="expression" dxfId="80" priority="5" stopIfTrue="1">
      <formula>$J$53="超过30%"</formula>
    </cfRule>
  </conditionalFormatting>
  <conditionalFormatting sqref="J47">
    <cfRule type="expression" dxfId="79"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892" t="s">
        <v>1770</v>
      </c>
      <c r="D4" s="3893"/>
      <c r="E4" s="3894" t="s">
        <v>1771</v>
      </c>
      <c r="F4" s="3895"/>
      <c r="G4" s="3892" t="s">
        <v>1772</v>
      </c>
      <c r="H4" s="3893"/>
      <c r="I4" s="3892" t="s">
        <v>1773</v>
      </c>
      <c r="J4" s="3893"/>
      <c r="K4" s="537" t="s">
        <v>1774</v>
      </c>
      <c r="L4" s="2487"/>
      <c r="M4" s="2488"/>
      <c r="N4" s="2488"/>
      <c r="O4" s="2488"/>
      <c r="P4" s="3896" t="s">
        <v>1775</v>
      </c>
      <c r="Q4" s="3897"/>
      <c r="R4" s="3902" t="s">
        <v>1771</v>
      </c>
      <c r="S4" s="3903"/>
      <c r="T4" s="3902" t="s">
        <v>1772</v>
      </c>
      <c r="U4" s="3903"/>
      <c r="V4" s="3878" t="s">
        <v>1773</v>
      </c>
      <c r="W4" s="3878"/>
      <c r="X4" s="1265"/>
      <c r="Y4" s="3902" t="s">
        <v>1775</v>
      </c>
      <c r="Z4" s="3903"/>
      <c r="AA4" s="3889" t="s">
        <v>1771</v>
      </c>
      <c r="AB4" s="3890" t="s">
        <v>1772</v>
      </c>
      <c r="AC4" s="3889" t="s">
        <v>1773</v>
      </c>
    </row>
    <row r="5" spans="1:29" ht="15">
      <c r="A5" s="348"/>
      <c r="B5" s="349"/>
      <c r="C5" s="3910" t="s">
        <v>1673</v>
      </c>
      <c r="D5" s="3911"/>
      <c r="E5" s="3917" t="s">
        <v>1674</v>
      </c>
      <c r="F5" s="3918"/>
      <c r="G5" s="3910" t="s">
        <v>1675</v>
      </c>
      <c r="H5" s="3911"/>
      <c r="I5" s="3910" t="s">
        <v>1676</v>
      </c>
      <c r="J5" s="3911"/>
      <c r="K5" s="537"/>
      <c r="L5" s="2487"/>
      <c r="M5" s="2488"/>
      <c r="N5" s="2488"/>
      <c r="O5" s="2488"/>
      <c r="P5" s="3898"/>
      <c r="Q5" s="3899"/>
      <c r="R5" s="3904"/>
      <c r="S5" s="3905"/>
      <c r="T5" s="3904"/>
      <c r="U5" s="3905"/>
      <c r="V5" s="3878"/>
      <c r="W5" s="3878"/>
      <c r="X5" s="1265"/>
      <c r="Y5" s="3904"/>
      <c r="Z5" s="3905"/>
      <c r="AA5" s="3890"/>
      <c r="AB5" s="3890"/>
      <c r="AC5" s="3890"/>
    </row>
    <row r="6" spans="1:29" ht="15.75" thickBot="1">
      <c r="A6" s="350"/>
      <c r="B6" s="351"/>
      <c r="C6" s="3939" t="s">
        <v>1919</v>
      </c>
      <c r="D6" s="3940"/>
      <c r="E6" s="3941" t="s">
        <v>1919</v>
      </c>
      <c r="F6" s="3942"/>
      <c r="G6" s="3939" t="s">
        <v>1919</v>
      </c>
      <c r="H6" s="3940"/>
      <c r="I6" s="3939" t="s">
        <v>1919</v>
      </c>
      <c r="J6" s="3940"/>
      <c r="K6" s="537" t="s">
        <v>1678</v>
      </c>
      <c r="L6" s="2487"/>
      <c r="M6" s="2488"/>
      <c r="N6" s="2488"/>
      <c r="O6" s="2488"/>
      <c r="P6" s="3900"/>
      <c r="Q6" s="3901"/>
      <c r="R6" s="3904"/>
      <c r="S6" s="3905"/>
      <c r="T6" s="3906"/>
      <c r="U6" s="3907"/>
      <c r="V6" s="3878"/>
      <c r="W6" s="3878"/>
      <c r="X6" s="1265"/>
      <c r="Y6" s="3906"/>
      <c r="Z6" s="3907"/>
      <c r="AA6" s="3891"/>
      <c r="AB6" s="3891"/>
      <c r="AC6" s="3891"/>
    </row>
    <row r="7" spans="1:29" s="102" customFormat="1" ht="15.75" thickBot="1">
      <c r="A7" s="352" t="s">
        <v>1679</v>
      </c>
      <c r="B7" s="353"/>
      <c r="C7" s="354">
        <f>'数据-取费表'!B2</f>
        <v>45473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912" t="s">
        <v>1680</v>
      </c>
      <c r="Q7" s="3914"/>
      <c r="R7" s="664" t="s">
        <v>14</v>
      </c>
      <c r="S7" s="665">
        <f t="shared" ref="S7:S15" si="0">F7</f>
        <v>0</v>
      </c>
      <c r="T7" s="664" t="s">
        <v>14</v>
      </c>
      <c r="U7" s="665">
        <f t="shared" ref="U7:U15" si="1">H7</f>
        <v>0</v>
      </c>
      <c r="V7" s="664" t="s">
        <v>14</v>
      </c>
      <c r="W7" s="665">
        <f t="shared" ref="W7:W15" si="2">J7</f>
        <v>0</v>
      </c>
      <c r="X7" s="666"/>
      <c r="Y7" s="3912" t="s">
        <v>1680</v>
      </c>
      <c r="Z7" s="391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912" t="s">
        <v>1683</v>
      </c>
      <c r="Q8" s="3913"/>
      <c r="R8" s="664" t="s">
        <v>14</v>
      </c>
      <c r="S8" s="665">
        <f t="shared" si="0"/>
        <v>0</v>
      </c>
      <c r="T8" s="664" t="s">
        <v>14</v>
      </c>
      <c r="U8" s="665">
        <f t="shared" si="1"/>
        <v>0</v>
      </c>
      <c r="V8" s="664" t="s">
        <v>14</v>
      </c>
      <c r="W8" s="665">
        <f t="shared" si="2"/>
        <v>0</v>
      </c>
      <c r="X8" s="666"/>
      <c r="Y8" s="3912" t="s">
        <v>1683</v>
      </c>
      <c r="Z8" s="391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877" t="s">
        <v>1686</v>
      </c>
      <c r="Q9" s="530" t="str">
        <f t="shared" ref="Q9:Q15" si="6">B9</f>
        <v>用途</v>
      </c>
      <c r="R9" s="664" t="s">
        <v>14</v>
      </c>
      <c r="S9" s="665">
        <f t="shared" si="0"/>
        <v>100</v>
      </c>
      <c r="T9" s="664" t="s">
        <v>14</v>
      </c>
      <c r="U9" s="665">
        <f t="shared" si="1"/>
        <v>100</v>
      </c>
      <c r="V9" s="664" t="s">
        <v>14</v>
      </c>
      <c r="W9" s="665">
        <f t="shared" si="2"/>
        <v>100</v>
      </c>
      <c r="X9" s="666"/>
      <c r="Y9" s="373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877"/>
      <c r="Q10" s="530" t="str">
        <f t="shared" si="6"/>
        <v>土地使用年限（年）</v>
      </c>
      <c r="R10" s="664" t="s">
        <v>14</v>
      </c>
      <c r="S10" s="665" t="e">
        <f t="shared" si="0"/>
        <v>#DIV/0!</v>
      </c>
      <c r="T10" s="664" t="s">
        <v>14</v>
      </c>
      <c r="U10" s="665" t="e">
        <f t="shared" si="1"/>
        <v>#DIV/0!</v>
      </c>
      <c r="V10" s="664" t="s">
        <v>14</v>
      </c>
      <c r="W10" s="665" t="e">
        <f t="shared" si="2"/>
        <v>#DIV/0!</v>
      </c>
      <c r="X10" s="666"/>
      <c r="Y10" s="373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877"/>
      <c r="Q11" s="530" t="str">
        <f t="shared" si="6"/>
        <v>容积率</v>
      </c>
      <c r="R11" s="664" t="s">
        <v>14</v>
      </c>
      <c r="S11" s="665" t="e">
        <f t="shared" si="0"/>
        <v>#N/A</v>
      </c>
      <c r="T11" s="664" t="s">
        <v>14</v>
      </c>
      <c r="U11" s="665" t="e">
        <f t="shared" si="1"/>
        <v>#N/A</v>
      </c>
      <c r="V11" s="664" t="s">
        <v>14</v>
      </c>
      <c r="W11" s="665" t="e">
        <f t="shared" si="2"/>
        <v>#N/A</v>
      </c>
      <c r="X11" s="666"/>
      <c r="Y11" s="373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877"/>
      <c r="Q12" s="530">
        <f t="shared" si="6"/>
        <v>111</v>
      </c>
      <c r="R12" s="664" t="s">
        <v>14</v>
      </c>
      <c r="S12" s="665">
        <f t="shared" si="0"/>
        <v>100</v>
      </c>
      <c r="T12" s="664" t="s">
        <v>14</v>
      </c>
      <c r="U12" s="665">
        <f t="shared" si="1"/>
        <v>100</v>
      </c>
      <c r="V12" s="664" t="s">
        <v>14</v>
      </c>
      <c r="W12" s="665">
        <f t="shared" si="2"/>
        <v>100</v>
      </c>
      <c r="X12" s="666"/>
      <c r="Y12" s="373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877"/>
      <c r="Q13" s="530">
        <f t="shared" si="6"/>
        <v>111</v>
      </c>
      <c r="R13" s="664" t="s">
        <v>14</v>
      </c>
      <c r="S13" s="665">
        <f t="shared" si="0"/>
        <v>100</v>
      </c>
      <c r="T13" s="664" t="s">
        <v>14</v>
      </c>
      <c r="U13" s="665">
        <f t="shared" si="1"/>
        <v>100</v>
      </c>
      <c r="V13" s="664" t="s">
        <v>14</v>
      </c>
      <c r="W13" s="665">
        <f t="shared" si="2"/>
        <v>100</v>
      </c>
      <c r="X13" s="666"/>
      <c r="Y13" s="373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877"/>
      <c r="Q14" s="530">
        <f t="shared" si="6"/>
        <v>111</v>
      </c>
      <c r="R14" s="664" t="s">
        <v>14</v>
      </c>
      <c r="S14" s="665">
        <f t="shared" si="0"/>
        <v>100</v>
      </c>
      <c r="T14" s="664" t="s">
        <v>14</v>
      </c>
      <c r="U14" s="665">
        <f t="shared" si="1"/>
        <v>100</v>
      </c>
      <c r="V14" s="664" t="s">
        <v>14</v>
      </c>
      <c r="W14" s="665">
        <f t="shared" si="2"/>
        <v>100</v>
      </c>
      <c r="X14" s="666"/>
      <c r="Y14" s="373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879" t="s">
        <v>1691</v>
      </c>
      <c r="Q15" s="1263" t="str">
        <f t="shared" si="6"/>
        <v>产业集聚程度</v>
      </c>
      <c r="R15" s="667" t="s">
        <v>14</v>
      </c>
      <c r="S15" s="668">
        <f t="shared" si="0"/>
        <v>100</v>
      </c>
      <c r="T15" s="667" t="s">
        <v>14</v>
      </c>
      <c r="U15" s="668">
        <f t="shared" si="1"/>
        <v>100</v>
      </c>
      <c r="V15" s="667" t="s">
        <v>14</v>
      </c>
      <c r="W15" s="668">
        <f t="shared" si="2"/>
        <v>100</v>
      </c>
      <c r="X15" s="1265"/>
      <c r="Y15" s="387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880"/>
      <c r="Q16" s="1263"/>
      <c r="R16" s="667"/>
      <c r="S16" s="668"/>
      <c r="T16" s="667"/>
      <c r="U16" s="668"/>
      <c r="V16" s="667"/>
      <c r="W16" s="668"/>
      <c r="X16" s="1265"/>
      <c r="Y16" s="388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880"/>
      <c r="Q17" s="1263" t="str">
        <f>B17</f>
        <v>交通便捷度</v>
      </c>
      <c r="R17" s="667" t="s">
        <v>14</v>
      </c>
      <c r="S17" s="668">
        <f>F17</f>
        <v>100</v>
      </c>
      <c r="T17" s="667" t="s">
        <v>14</v>
      </c>
      <c r="U17" s="668">
        <f>H17</f>
        <v>100</v>
      </c>
      <c r="V17" s="667" t="s">
        <v>14</v>
      </c>
      <c r="W17" s="668">
        <f>J17</f>
        <v>100</v>
      </c>
      <c r="X17" s="1265"/>
      <c r="Y17" s="388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880"/>
      <c r="Q18" s="1263"/>
      <c r="R18" s="667"/>
      <c r="S18" s="668"/>
      <c r="T18" s="667"/>
      <c r="U18" s="668"/>
      <c r="V18" s="667"/>
      <c r="W18" s="668"/>
      <c r="X18" s="1265"/>
      <c r="Y18" s="388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880"/>
      <c r="Q19" s="1263" t="str">
        <f t="shared" ref="Q19:Q33" si="8">B19</f>
        <v>区域土地利用方向</v>
      </c>
      <c r="R19" s="667" t="s">
        <v>14</v>
      </c>
      <c r="S19" s="668">
        <f>F19</f>
        <v>100</v>
      </c>
      <c r="T19" s="667" t="s">
        <v>14</v>
      </c>
      <c r="U19" s="668">
        <f>H19</f>
        <v>100</v>
      </c>
      <c r="V19" s="667" t="s">
        <v>14</v>
      </c>
      <c r="W19" s="668">
        <f>J19</f>
        <v>100</v>
      </c>
      <c r="X19" s="1265"/>
      <c r="Y19" s="388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880"/>
      <c r="Q20" s="1263"/>
      <c r="R20" s="667"/>
      <c r="S20" s="668"/>
      <c r="T20" s="667"/>
      <c r="U20" s="668"/>
      <c r="V20" s="667"/>
      <c r="W20" s="668"/>
      <c r="X20" s="1265"/>
      <c r="Y20" s="388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880"/>
      <c r="Q21" s="1263" t="str">
        <f t="shared" si="8"/>
        <v>环境状况</v>
      </c>
      <c r="R21" s="667" t="s">
        <v>14</v>
      </c>
      <c r="S21" s="668">
        <f>F21</f>
        <v>100</v>
      </c>
      <c r="T21" s="667" t="s">
        <v>14</v>
      </c>
      <c r="U21" s="668">
        <f>H21</f>
        <v>100</v>
      </c>
      <c r="V21" s="667" t="s">
        <v>14</v>
      </c>
      <c r="W21" s="668">
        <f>J21</f>
        <v>100</v>
      </c>
      <c r="X21" s="1265"/>
      <c r="Y21" s="388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880"/>
      <c r="Q22" s="1263"/>
      <c r="R22" s="667"/>
      <c r="S22" s="668"/>
      <c r="T22" s="667"/>
      <c r="U22" s="668"/>
      <c r="V22" s="667"/>
      <c r="W22" s="668"/>
      <c r="X22" s="1265"/>
      <c r="Y22" s="388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880"/>
      <c r="Q23" s="530" t="str">
        <f t="shared" si="8"/>
        <v>公共配套设施</v>
      </c>
      <c r="R23" s="664" t="s">
        <v>14</v>
      </c>
      <c r="S23" s="665">
        <f>F23</f>
        <v>100</v>
      </c>
      <c r="T23" s="664" t="s">
        <v>14</v>
      </c>
      <c r="U23" s="665">
        <f>H23</f>
        <v>100</v>
      </c>
      <c r="V23" s="664" t="s">
        <v>14</v>
      </c>
      <c r="W23" s="665">
        <f>J23</f>
        <v>100</v>
      </c>
      <c r="X23" s="666"/>
      <c r="Y23" s="388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880"/>
      <c r="Q24" s="530"/>
      <c r="R24" s="664"/>
      <c r="S24" s="665"/>
      <c r="T24" s="664"/>
      <c r="U24" s="665"/>
      <c r="V24" s="664"/>
      <c r="W24" s="665"/>
      <c r="X24" s="666"/>
      <c r="Y24" s="388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880"/>
      <c r="Q25" s="530" t="str">
        <f t="shared" ref="Q25" si="9">B25</f>
        <v>基础设施水平</v>
      </c>
      <c r="R25" s="664" t="s">
        <v>14</v>
      </c>
      <c r="S25" s="665">
        <f>F25</f>
        <v>100</v>
      </c>
      <c r="T25" s="664" t="s">
        <v>14</v>
      </c>
      <c r="U25" s="665">
        <f>H25</f>
        <v>100</v>
      </c>
      <c r="V25" s="664" t="s">
        <v>14</v>
      </c>
      <c r="W25" s="665">
        <f>J25</f>
        <v>100</v>
      </c>
      <c r="X25" s="666"/>
      <c r="Y25" s="388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880"/>
      <c r="Q26" s="530"/>
      <c r="R26" s="664"/>
      <c r="S26" s="665"/>
      <c r="T26" s="664"/>
      <c r="U26" s="665"/>
      <c r="V26" s="664"/>
      <c r="W26" s="665"/>
      <c r="X26" s="666"/>
      <c r="Y26" s="388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88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88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880"/>
      <c r="Q28" s="1263" t="str">
        <f t="shared" si="8"/>
        <v>毗邻道路的类型与等级</v>
      </c>
      <c r="R28" s="667" t="s">
        <v>14</v>
      </c>
      <c r="S28" s="668">
        <f t="shared" si="10"/>
        <v>100</v>
      </c>
      <c r="T28" s="667" t="s">
        <v>14</v>
      </c>
      <c r="U28" s="668">
        <f t="shared" si="11"/>
        <v>100</v>
      </c>
      <c r="V28" s="667" t="s">
        <v>14</v>
      </c>
      <c r="W28" s="668">
        <f t="shared" si="12"/>
        <v>100</v>
      </c>
      <c r="X28" s="1265"/>
      <c r="Y28" s="388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880"/>
      <c r="Q29" s="1263"/>
      <c r="R29" s="667"/>
      <c r="S29" s="668"/>
      <c r="T29" s="667"/>
      <c r="U29" s="668"/>
      <c r="V29" s="667"/>
      <c r="W29" s="668"/>
      <c r="X29" s="1265"/>
      <c r="Y29" s="388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880"/>
      <c r="Q30" s="1263" t="str">
        <f t="shared" si="8"/>
        <v>土地级别</v>
      </c>
      <c r="R30" s="667" t="s">
        <v>14</v>
      </c>
      <c r="S30" s="668">
        <f t="shared" si="10"/>
        <v>100</v>
      </c>
      <c r="T30" s="667" t="s">
        <v>14</v>
      </c>
      <c r="U30" s="668">
        <f t="shared" si="11"/>
        <v>100</v>
      </c>
      <c r="V30" s="667" t="s">
        <v>14</v>
      </c>
      <c r="W30" s="668">
        <f t="shared" si="12"/>
        <v>100</v>
      </c>
      <c r="X30" s="1265"/>
      <c r="Y30" s="388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880"/>
      <c r="Q31" s="1263">
        <f t="shared" si="8"/>
        <v>111</v>
      </c>
      <c r="R31" s="667" t="s">
        <v>14</v>
      </c>
      <c r="S31" s="668">
        <f t="shared" si="10"/>
        <v>100</v>
      </c>
      <c r="T31" s="667" t="s">
        <v>14</v>
      </c>
      <c r="U31" s="668">
        <f t="shared" si="11"/>
        <v>100</v>
      </c>
      <c r="V31" s="667" t="s">
        <v>14</v>
      </c>
      <c r="W31" s="668">
        <f t="shared" si="12"/>
        <v>100</v>
      </c>
      <c r="X31" s="1265"/>
      <c r="Y31" s="388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934" t="s">
        <v>1696</v>
      </c>
      <c r="Q32" s="1263">
        <f t="shared" si="8"/>
        <v>111</v>
      </c>
      <c r="R32" s="667" t="s">
        <v>14</v>
      </c>
      <c r="S32" s="668">
        <f t="shared" si="10"/>
        <v>100</v>
      </c>
      <c r="T32" s="667" t="s">
        <v>14</v>
      </c>
      <c r="U32" s="668">
        <f t="shared" si="11"/>
        <v>100</v>
      </c>
      <c r="V32" s="667" t="s">
        <v>14</v>
      </c>
      <c r="W32" s="668">
        <f t="shared" si="12"/>
        <v>100</v>
      </c>
      <c r="X32" s="1265"/>
      <c r="Y32" s="388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884"/>
      <c r="Q33" s="1263">
        <f t="shared" si="8"/>
        <v>111</v>
      </c>
      <c r="R33" s="669" t="s">
        <v>14</v>
      </c>
      <c r="S33" s="670">
        <f t="shared" si="10"/>
        <v>100</v>
      </c>
      <c r="T33" s="669" t="s">
        <v>14</v>
      </c>
      <c r="U33" s="670">
        <f t="shared" si="11"/>
        <v>100</v>
      </c>
      <c r="V33" s="669" t="s">
        <v>14</v>
      </c>
      <c r="W33" s="670">
        <f t="shared" si="12"/>
        <v>100</v>
      </c>
      <c r="X33" s="671"/>
      <c r="Y33" s="388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884"/>
      <c r="Q34" s="1263" t="str">
        <f>B34</f>
        <v>宗地面积</v>
      </c>
      <c r="R34" s="667" t="s">
        <v>14</v>
      </c>
      <c r="S34" s="668" t="e">
        <f t="shared" si="10"/>
        <v>#N/A</v>
      </c>
      <c r="T34" s="667" t="s">
        <v>14</v>
      </c>
      <c r="U34" s="668" t="e">
        <f t="shared" si="11"/>
        <v>#N/A</v>
      </c>
      <c r="V34" s="667" t="s">
        <v>14</v>
      </c>
      <c r="W34" s="668" t="e">
        <f t="shared" si="12"/>
        <v>#N/A</v>
      </c>
      <c r="X34" s="1265"/>
      <c r="Y34" s="388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884"/>
      <c r="Q35" s="1263" t="str">
        <f t="shared" ref="Q35:Q40" si="14">B35</f>
        <v>宗地形状</v>
      </c>
      <c r="R35" s="667" t="s">
        <v>14</v>
      </c>
      <c r="S35" s="668">
        <f t="shared" si="10"/>
        <v>100</v>
      </c>
      <c r="T35" s="667" t="s">
        <v>14</v>
      </c>
      <c r="U35" s="668">
        <f t="shared" si="11"/>
        <v>100</v>
      </c>
      <c r="V35" s="667" t="s">
        <v>14</v>
      </c>
      <c r="W35" s="668">
        <f t="shared" si="12"/>
        <v>100</v>
      </c>
      <c r="X35" s="1265"/>
      <c r="Y35" s="388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884"/>
      <c r="Q36" s="1263" t="str">
        <f t="shared" si="14"/>
        <v>宗地开发程度</v>
      </c>
      <c r="R36" s="664" t="s">
        <v>14</v>
      </c>
      <c r="S36" s="665">
        <f t="shared" si="10"/>
        <v>100</v>
      </c>
      <c r="T36" s="664" t="s">
        <v>14</v>
      </c>
      <c r="U36" s="665">
        <f t="shared" si="11"/>
        <v>100</v>
      </c>
      <c r="V36" s="664" t="s">
        <v>14</v>
      </c>
      <c r="W36" s="665">
        <f t="shared" si="12"/>
        <v>100</v>
      </c>
      <c r="X36" s="666"/>
      <c r="Y36" s="388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884" t="s">
        <v>1696</v>
      </c>
      <c r="Q37" s="1263" t="str">
        <f t="shared" si="14"/>
        <v>工程地质条件</v>
      </c>
      <c r="R37" s="667" t="s">
        <v>14</v>
      </c>
      <c r="S37" s="668">
        <f t="shared" si="10"/>
        <v>100</v>
      </c>
      <c r="T37" s="667" t="s">
        <v>14</v>
      </c>
      <c r="U37" s="668">
        <f t="shared" si="11"/>
        <v>100</v>
      </c>
      <c r="V37" s="667" t="s">
        <v>14</v>
      </c>
      <c r="W37" s="668">
        <f t="shared" si="12"/>
        <v>100</v>
      </c>
      <c r="X37" s="1265"/>
      <c r="Y37" s="388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884"/>
      <c r="Q38" s="1263">
        <f t="shared" si="14"/>
        <v>111</v>
      </c>
      <c r="R38" s="667" t="s">
        <v>14</v>
      </c>
      <c r="S38" s="668">
        <f t="shared" si="10"/>
        <v>100</v>
      </c>
      <c r="T38" s="667" t="s">
        <v>14</v>
      </c>
      <c r="U38" s="668">
        <f t="shared" si="11"/>
        <v>100</v>
      </c>
      <c r="V38" s="667" t="s">
        <v>14</v>
      </c>
      <c r="W38" s="668">
        <f t="shared" si="12"/>
        <v>100</v>
      </c>
      <c r="X38" s="1265"/>
      <c r="Y38" s="388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884"/>
      <c r="Q39" s="1263">
        <f t="shared" si="14"/>
        <v>111</v>
      </c>
      <c r="R39" s="667" t="s">
        <v>14</v>
      </c>
      <c r="S39" s="668">
        <f t="shared" si="10"/>
        <v>100</v>
      </c>
      <c r="T39" s="667" t="s">
        <v>14</v>
      </c>
      <c r="U39" s="668">
        <f t="shared" si="11"/>
        <v>100</v>
      </c>
      <c r="V39" s="667" t="s">
        <v>14</v>
      </c>
      <c r="W39" s="668">
        <f t="shared" si="12"/>
        <v>100</v>
      </c>
      <c r="X39" s="1265"/>
      <c r="Y39" s="388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884"/>
      <c r="Q40" s="1263">
        <f t="shared" si="14"/>
        <v>111</v>
      </c>
      <c r="R40" s="669" t="s">
        <v>14</v>
      </c>
      <c r="S40" s="670">
        <f t="shared" si="10"/>
        <v>100</v>
      </c>
      <c r="T40" s="669" t="s">
        <v>14</v>
      </c>
      <c r="U40" s="670">
        <f t="shared" si="11"/>
        <v>100</v>
      </c>
      <c r="V40" s="669" t="s">
        <v>14</v>
      </c>
      <c r="W40" s="670">
        <f t="shared" si="12"/>
        <v>100</v>
      </c>
      <c r="X40" s="671"/>
      <c r="Y40" s="388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877" t="str">
        <f>A41</f>
        <v>成交单价</v>
      </c>
      <c r="Q41" s="3877"/>
      <c r="R41" s="3878">
        <f>E41</f>
        <v>0</v>
      </c>
      <c r="S41" s="3878"/>
      <c r="T41" s="3878">
        <f>G41</f>
        <v>0</v>
      </c>
      <c r="U41" s="3878"/>
      <c r="V41" s="3878">
        <f>I41</f>
        <v>0</v>
      </c>
      <c r="W41" s="387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877" t="str">
        <f>A42</f>
        <v>比较价值（元/平方米）</v>
      </c>
      <c r="Q42" s="3877"/>
      <c r="R42" s="3936" t="e">
        <f>ROUND(PRODUCT(R41,AA7:AA40),0)</f>
        <v>#DIV/0!</v>
      </c>
      <c r="S42" s="3936"/>
      <c r="T42" s="3936" t="e">
        <f>ROUND(PRODUCT(T41,AB7:AB40),0)</f>
        <v>#DIV/0!</v>
      </c>
      <c r="U42" s="3936"/>
      <c r="V42" s="3936" t="e">
        <f>ROUND(PRODUCT(V41,AC7:AC40),0)</f>
        <v>#DIV/0!</v>
      </c>
      <c r="W42" s="39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874" t="str">
        <f>A43</f>
        <v>估价对象XX用房的比较价值（楼面单价，元/平方米）</v>
      </c>
      <c r="Q43" s="3875"/>
      <c r="R43" s="3937" t="e">
        <f>ROUND(IF(D42="简单平均",AVERAGE(R42:W42),R42*F42+T42*H42+V42*J42),0)</f>
        <v>#DIV/0!</v>
      </c>
      <c r="S43" s="3937"/>
      <c r="T43" s="3937"/>
      <c r="U43" s="3937"/>
      <c r="V43" s="3937"/>
      <c r="W43" s="39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892" t="s">
        <v>1887</v>
      </c>
      <c r="H50" s="39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38160.79</v>
      </c>
      <c r="F51" s="611" t="e">
        <f t="shared" ref="F51:F60" si="15">ROUND(B51*E51/10000,0)</f>
        <v>#DIV/0!</v>
      </c>
      <c r="G51" s="3888"/>
      <c r="H51" s="387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四级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4831.42</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2024-6-1</v>
      </c>
      <c r="D63" s="656">
        <f>EDATE(C63,-3)</f>
        <v>45352</v>
      </c>
      <c r="E63" s="656">
        <f>EDATE(D63,-3)</f>
        <v>45261</v>
      </c>
      <c r="F63" s="656">
        <f t="shared" ref="F63:O63" si="18">EDATE(E63,-3)</f>
        <v>45170</v>
      </c>
      <c r="G63" s="656">
        <f t="shared" si="18"/>
        <v>45078</v>
      </c>
      <c r="H63" s="656">
        <f t="shared" si="18"/>
        <v>44986</v>
      </c>
      <c r="I63" s="656">
        <f t="shared" si="18"/>
        <v>44896</v>
      </c>
      <c r="J63" s="656">
        <f t="shared" si="18"/>
        <v>44805</v>
      </c>
      <c r="K63" s="656">
        <f t="shared" si="18"/>
        <v>44713</v>
      </c>
      <c r="L63" s="656">
        <f t="shared" si="18"/>
        <v>44621</v>
      </c>
      <c r="M63" s="656">
        <f t="shared" si="18"/>
        <v>44531</v>
      </c>
      <c r="N63" s="656">
        <f t="shared" si="18"/>
        <v>44440</v>
      </c>
      <c r="O63" s="656">
        <f t="shared" si="18"/>
        <v>44348</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2024-2</v>
      </c>
      <c r="D65" s="1101" t="str">
        <f t="shared" ref="D65:O65" si="19">YEAR(D63)&amp;"-"&amp;ROUNDUP(MONTH(D63)/3,0)</f>
        <v>2024-1</v>
      </c>
      <c r="E65" s="1101" t="str">
        <f t="shared" si="19"/>
        <v>2023-4</v>
      </c>
      <c r="F65" s="1101" t="str">
        <f t="shared" si="19"/>
        <v>2023-3</v>
      </c>
      <c r="G65" s="1101" t="str">
        <f t="shared" si="19"/>
        <v>2023-2</v>
      </c>
      <c r="H65" s="1101" t="str">
        <f t="shared" si="19"/>
        <v>2023-1</v>
      </c>
      <c r="I65" s="1101" t="str">
        <f t="shared" si="19"/>
        <v>2022-4</v>
      </c>
      <c r="J65" s="1101" t="str">
        <f t="shared" si="19"/>
        <v>2022-3</v>
      </c>
      <c r="K65" s="1101" t="str">
        <f t="shared" si="19"/>
        <v>2022-2</v>
      </c>
      <c r="L65" s="1101" t="str">
        <f t="shared" si="19"/>
        <v>2022-1</v>
      </c>
      <c r="M65" s="1101" t="str">
        <f t="shared" si="19"/>
        <v>2021-4</v>
      </c>
      <c r="N65" s="1101" t="str">
        <f t="shared" si="19"/>
        <v>2021-3</v>
      </c>
      <c r="O65" s="1101" t="str">
        <f t="shared" si="19"/>
        <v>2021-2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78" priority="13" stopIfTrue="1">
      <formula>$F$46="超过30%"</formula>
    </cfRule>
  </conditionalFormatting>
  <conditionalFormatting sqref="E47">
    <cfRule type="expression" dxfId="77" priority="53" stopIfTrue="1">
      <formula>#REF!+$F$47="超过20%"</formula>
    </cfRule>
  </conditionalFormatting>
  <conditionalFormatting sqref="E48">
    <cfRule type="expression" dxfId="76" priority="10" stopIfTrue="1">
      <formula>$F$48="超过30%"</formula>
    </cfRule>
  </conditionalFormatting>
  <conditionalFormatting sqref="F7:F40 H7:H40 J7:J40">
    <cfRule type="cellIs" dxfId="75" priority="1" operator="notEqual">
      <formula>100</formula>
    </cfRule>
  </conditionalFormatting>
  <conditionalFormatting sqref="F42">
    <cfRule type="expression" dxfId="74" priority="4">
      <formula>$D$42="简单平均"</formula>
    </cfRule>
  </conditionalFormatting>
  <conditionalFormatting sqref="F46:F48 H46:H48 J46:J48">
    <cfRule type="containsText" dxfId="73" priority="14" stopIfTrue="1" operator="containsText" text="超过">
      <formula>NOT(ISERROR(SEARCH("超过",F46)))</formula>
    </cfRule>
  </conditionalFormatting>
  <conditionalFormatting sqref="G46">
    <cfRule type="expression" dxfId="72" priority="9" stopIfTrue="1">
      <formula>$H$46="超过30%"</formula>
    </cfRule>
  </conditionalFormatting>
  <conditionalFormatting sqref="G47">
    <cfRule type="expression" dxfId="71" priority="8" stopIfTrue="1">
      <formula>$H$47="超过20%"</formula>
    </cfRule>
  </conditionalFormatting>
  <conditionalFormatting sqref="G48">
    <cfRule type="expression" dxfId="70" priority="12" stopIfTrue="1">
      <formula>$H$48="超过30%"</formula>
    </cfRule>
  </conditionalFormatting>
  <conditionalFormatting sqref="H42">
    <cfRule type="expression" dxfId="69" priority="3">
      <formula>$D$42="简单平均"</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2">
    <cfRule type="expression" dxfId="65"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946" t="s">
        <v>2084</v>
      </c>
      <c r="D1" s="3947"/>
      <c r="E1" s="3947"/>
      <c r="F1" s="3947"/>
      <c r="G1" s="3947"/>
      <c r="H1" s="3947"/>
      <c r="I1" s="3947"/>
      <c r="J1" s="3947"/>
      <c r="K1" s="3947"/>
      <c r="L1" s="3947"/>
      <c r="M1" s="3947"/>
      <c r="N1" s="3947"/>
      <c r="O1" s="3947"/>
      <c r="P1" s="3947"/>
      <c r="Q1" s="3947"/>
      <c r="R1" s="3947"/>
      <c r="S1" s="39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943" t="s">
        <v>27</v>
      </c>
      <c r="D22" s="3944"/>
      <c r="E22" s="3944"/>
      <c r="F22" s="3944"/>
      <c r="G22" s="3944"/>
      <c r="H22" s="3944"/>
      <c r="I22" s="3944"/>
      <c r="J22" s="3944"/>
      <c r="K22" s="3944"/>
      <c r="L22" s="3944"/>
      <c r="M22" s="3944"/>
      <c r="N22" s="3944"/>
      <c r="O22" s="3944"/>
      <c r="P22" s="3944"/>
      <c r="Q22" s="39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4"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59972</v>
      </c>
      <c r="C2" s="1984" t="s">
        <v>2074</v>
      </c>
      <c r="D2" s="1984" t="s">
        <v>2075</v>
      </c>
      <c r="E2" s="2398">
        <f ca="1">SUMIF(E6:E13,"&lt;&gt;#ref!",E6:E13)</f>
        <v>46286.559999999998</v>
      </c>
      <c r="F2" s="2545"/>
      <c r="G2" s="2545"/>
      <c r="H2" s="2545"/>
      <c r="I2" s="2545"/>
      <c r="J2" s="2545"/>
      <c r="K2" s="2545"/>
      <c r="L2" s="2545"/>
      <c r="M2" s="2545"/>
      <c r="N2" s="2545"/>
      <c r="O2" s="2545"/>
      <c r="P2" s="2545"/>
    </row>
    <row r="3" spans="1:16" ht="15.75">
      <c r="A3" s="1984" t="s">
        <v>2076</v>
      </c>
      <c r="B3" s="2388">
        <f ca="1">ROUND(B2*10000/E2,0)</f>
        <v>12957</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59972</v>
      </c>
      <c r="C6" s="1984" t="s">
        <v>2074</v>
      </c>
      <c r="D6" s="2545"/>
      <c r="E6" s="2398">
        <f ca="1">SUMIF(INDIRECT("'"&amp;A6&amp;"'"&amp;"!C:C"),"建筑面积",INDIRECT("'"&amp;A6&amp;"'"&amp;"!D:D"))</f>
        <v>46286.559999999998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B8107-78E9-43A9-89E2-AB368A70B852}">
  <sheetPr>
    <tabColor rgb="FF92D050"/>
    <pageSetUpPr fitToPage="1"/>
  </sheetPr>
  <dimension ref="A1:AC132"/>
  <sheetViews>
    <sheetView view="pageBreakPreview" zoomScale="90" zoomScaleNormal="70" zoomScaleSheetLayoutView="90" workbookViewId="0">
      <selection activeCell="E1" sqref="E1"/>
    </sheetView>
  </sheetViews>
  <sheetFormatPr defaultColWidth="9" defaultRowHeight="14.25"/>
  <cols>
    <col min="1" max="1" width="10.5" style="3318" customWidth="1"/>
    <col min="2" max="2" width="15.75" style="3318" customWidth="1"/>
    <col min="3" max="3" width="15.625" style="3318" customWidth="1"/>
    <col min="4" max="4" width="12.25" style="3318" customWidth="1"/>
    <col min="5" max="5" width="14.375" style="3318" customWidth="1"/>
    <col min="6" max="6" width="12.25" style="3318" customWidth="1"/>
    <col min="7" max="7" width="14.5" style="3318" customWidth="1"/>
    <col min="8" max="8" width="12.25" style="3318" customWidth="1"/>
    <col min="9" max="9" width="14.5" style="3318" customWidth="1"/>
    <col min="10" max="10" width="12.25" style="3318" customWidth="1"/>
    <col min="11" max="11" width="12.25" style="3592" customWidth="1"/>
    <col min="12" max="12" width="12.25" style="3593" customWidth="1"/>
    <col min="13" max="15" width="12.25" style="3318" customWidth="1"/>
    <col min="16" max="16" width="4.75" style="3594" customWidth="1"/>
    <col min="17" max="17" width="19.5" style="3318" customWidth="1"/>
    <col min="18" max="22" width="6.125" style="3318" customWidth="1"/>
    <col min="23" max="23" width="5.75" style="3318" customWidth="1"/>
    <col min="24" max="24" width="4.25" style="3318" customWidth="1"/>
    <col min="25" max="25" width="3.5" style="3318" customWidth="1"/>
    <col min="26" max="26" width="19.75" style="3318" customWidth="1"/>
    <col min="27" max="28" width="9.375" style="3318" customWidth="1"/>
    <col min="29" max="16384" width="9" style="3318"/>
  </cols>
  <sheetData>
    <row r="1" spans="1:29" s="3296" customFormat="1" ht="28.5" customHeight="1" thickBot="1">
      <c r="A1" s="3284" t="s">
        <v>1660</v>
      </c>
      <c r="B1" s="3285" t="s">
        <v>3732</v>
      </c>
      <c r="C1" s="3286" t="s">
        <v>3733</v>
      </c>
      <c r="D1" s="3287"/>
      <c r="E1" s="3288" t="s">
        <v>3816</v>
      </c>
      <c r="F1" s="3289" t="s">
        <v>3815</v>
      </c>
      <c r="G1" s="3290" t="s">
        <v>3734</v>
      </c>
      <c r="H1" s="3291"/>
      <c r="I1" s="3291"/>
      <c r="J1" s="3291"/>
      <c r="K1" s="3292"/>
      <c r="L1" s="3293"/>
      <c r="M1" s="3294"/>
      <c r="N1" s="3294"/>
      <c r="O1" s="3294"/>
      <c r="P1" s="3286"/>
      <c r="Q1" s="3286"/>
      <c r="R1" s="3286"/>
      <c r="S1" s="3286"/>
      <c r="T1" s="3286"/>
      <c r="U1" s="3286"/>
      <c r="V1" s="3286"/>
      <c r="W1" s="3286"/>
      <c r="X1" s="3286"/>
      <c r="Y1" s="3286"/>
      <c r="Z1" s="3286"/>
      <c r="AA1" s="3286"/>
      <c r="AB1" s="3286"/>
      <c r="AC1" s="3295"/>
    </row>
    <row r="2" spans="1:29" s="3304" customFormat="1" ht="28.5" customHeight="1" thickTop="1">
      <c r="A2" s="1138" t="s">
        <v>1934</v>
      </c>
      <c r="B2" s="3297">
        <f>IF(E1="项目模式",IF(C2="——",ROUND(C50*D3/10000,0),ROUND(C50*D3/10000,0)-D2),IF(E1="单套模式",IF(C2="——",ROUND(C50*D3/10000,4),ROUND(C50*D3/10000,4)-D2)))</f>
        <v>8556</v>
      </c>
      <c r="C2" s="1737" t="s">
        <v>43</v>
      </c>
      <c r="D2" s="3298" t="e">
        <f ca="1">IF(E1="项目模式",SUMIF(INDIRECT("'"&amp;F2&amp;"'"&amp;"!A:A"),"承租人权益价值",INDIRECT("'"&amp;F2&amp;"'"&amp;"!c:c")),SUMIF(INDIRECT("'"&amp;F2&amp;"'"&amp;"!A:A"),"承租人权益价值（单套）",INDIRECT("'"&amp;F2&amp;"'"&amp;"!c:c")))</f>
        <v>#REF!</v>
      </c>
      <c r="E2" s="1738" t="s">
        <v>1935</v>
      </c>
      <c r="F2" s="1739"/>
      <c r="G2" s="3299"/>
      <c r="H2" s="3299"/>
      <c r="I2" s="3299"/>
      <c r="J2" s="3299"/>
      <c r="K2" s="3299"/>
      <c r="L2" s="3300"/>
      <c r="M2" s="3301"/>
      <c r="N2" s="3301"/>
      <c r="O2" s="3301"/>
      <c r="P2" s="3302"/>
      <c r="Q2" s="3302"/>
      <c r="R2" s="3302"/>
      <c r="S2" s="3302"/>
      <c r="T2" s="3302"/>
      <c r="U2" s="3302"/>
      <c r="V2" s="3302"/>
      <c r="W2" s="3302"/>
      <c r="X2" s="3302"/>
      <c r="Y2" s="3302"/>
      <c r="Z2" s="3302"/>
      <c r="AA2" s="3302"/>
      <c r="AB2" s="3302"/>
      <c r="AC2" s="3303"/>
    </row>
    <row r="3" spans="1:29" s="3304" customFormat="1" ht="28.5" customHeight="1" thickBot="1">
      <c r="A3" s="195" t="s">
        <v>1940</v>
      </c>
      <c r="B3" s="3305">
        <f>IF(C2="——",C50,ROUND(B2*10000/D3,0))</f>
        <v>35438</v>
      </c>
      <c r="C3" s="3306" t="s">
        <v>3735</v>
      </c>
      <c r="D3" s="3307">
        <f>IF(D1="",'[5]数据-汇总表'!E3,SUMIF('[5]数据-汇总表'!$C19:$C33,D1,'[5]数据-汇总表'!$E19:$E33))</f>
        <v>2414.4300000000003</v>
      </c>
      <c r="E3" s="3308"/>
      <c r="F3" s="3309"/>
      <c r="G3" s="3299"/>
      <c r="H3" s="3299"/>
      <c r="I3" s="3299"/>
      <c r="J3" s="3299"/>
      <c r="K3" s="3310"/>
      <c r="L3" s="3300"/>
      <c r="M3" s="3301"/>
      <c r="N3" s="3301"/>
      <c r="O3" s="3301"/>
      <c r="P3" s="3302"/>
      <c r="Q3" s="3302"/>
      <c r="R3" s="3302"/>
      <c r="S3" s="3302"/>
      <c r="T3" s="3302"/>
      <c r="U3" s="3302"/>
      <c r="V3" s="3302"/>
      <c r="W3" s="3302"/>
      <c r="X3" s="3302"/>
      <c r="Y3" s="3302"/>
      <c r="Z3" s="3302"/>
      <c r="AA3" s="3302"/>
      <c r="AB3" s="3302"/>
      <c r="AC3" s="3303"/>
    </row>
    <row r="4" spans="1:29" ht="15">
      <c r="A4" s="3311" t="s">
        <v>1666</v>
      </c>
      <c r="B4" s="3312"/>
      <c r="C4" s="3952" t="s">
        <v>1667</v>
      </c>
      <c r="D4" s="3953"/>
      <c r="E4" s="3954" t="s">
        <v>1668</v>
      </c>
      <c r="F4" s="3955"/>
      <c r="G4" s="3952" t="s">
        <v>1669</v>
      </c>
      <c r="H4" s="3953"/>
      <c r="I4" s="3952" t="s">
        <v>1670</v>
      </c>
      <c r="J4" s="3953"/>
      <c r="K4" s="3314" t="s">
        <v>1671</v>
      </c>
      <c r="L4" s="3315"/>
      <c r="M4" s="3316"/>
      <c r="N4" s="3316"/>
      <c r="O4" s="3316"/>
      <c r="P4" s="3956" t="s">
        <v>1672</v>
      </c>
      <c r="Q4" s="3957"/>
      <c r="R4" s="3962" t="s">
        <v>1668</v>
      </c>
      <c r="S4" s="3963"/>
      <c r="T4" s="3962" t="s">
        <v>1669</v>
      </c>
      <c r="U4" s="3963"/>
      <c r="V4" s="3976" t="s">
        <v>1670</v>
      </c>
      <c r="W4" s="3976"/>
      <c r="X4" s="3317"/>
      <c r="Y4" s="3962" t="s">
        <v>1672</v>
      </c>
      <c r="Z4" s="3963"/>
      <c r="AA4" s="3978" t="s">
        <v>1668</v>
      </c>
      <c r="AB4" s="3978" t="s">
        <v>1669</v>
      </c>
      <c r="AC4" s="3949" t="s">
        <v>1670</v>
      </c>
    </row>
    <row r="5" spans="1:29" ht="15">
      <c r="A5" s="3319"/>
      <c r="B5" s="3320"/>
      <c r="C5" s="3966" t="s">
        <v>3736</v>
      </c>
      <c r="D5" s="3967"/>
      <c r="E5" s="3968" t="str">
        <f>C5</f>
        <v>启迪科技大厦</v>
      </c>
      <c r="F5" s="3969"/>
      <c r="G5" s="3966" t="s">
        <v>3810</v>
      </c>
      <c r="H5" s="3967"/>
      <c r="I5" s="3966" t="str">
        <f>E5</f>
        <v>启迪科技大厦</v>
      </c>
      <c r="J5" s="3967"/>
      <c r="K5" s="3314"/>
      <c r="L5" s="3315"/>
      <c r="M5" s="3316"/>
      <c r="N5" s="3316"/>
      <c r="O5" s="3316"/>
      <c r="P5" s="3958"/>
      <c r="Q5" s="3959"/>
      <c r="R5" s="3964"/>
      <c r="S5" s="3965"/>
      <c r="T5" s="3964"/>
      <c r="U5" s="3965"/>
      <c r="V5" s="3977"/>
      <c r="W5" s="3977"/>
      <c r="X5" s="3322"/>
      <c r="Y5" s="3964"/>
      <c r="Z5" s="3965"/>
      <c r="AA5" s="3979"/>
      <c r="AB5" s="3979"/>
      <c r="AC5" s="3950"/>
    </row>
    <row r="6" spans="1:29" ht="15.75" thickBot="1">
      <c r="A6" s="3323"/>
      <c r="B6" s="3324"/>
      <c r="C6" s="3970" t="s">
        <v>1677</v>
      </c>
      <c r="D6" s="3971"/>
      <c r="E6" s="3972" t="s">
        <v>1677</v>
      </c>
      <c r="F6" s="3973"/>
      <c r="G6" s="3970" t="s">
        <v>1677</v>
      </c>
      <c r="H6" s="3971"/>
      <c r="I6" s="3970" t="s">
        <v>1677</v>
      </c>
      <c r="J6" s="3971"/>
      <c r="K6" s="3314" t="s">
        <v>1678</v>
      </c>
      <c r="L6" s="3315"/>
      <c r="M6" s="3316"/>
      <c r="N6" s="3316"/>
      <c r="O6" s="3316"/>
      <c r="P6" s="3960"/>
      <c r="Q6" s="3961"/>
      <c r="R6" s="3964"/>
      <c r="S6" s="3965"/>
      <c r="T6" s="3974"/>
      <c r="U6" s="3975"/>
      <c r="V6" s="3977"/>
      <c r="W6" s="3977"/>
      <c r="X6" s="3322"/>
      <c r="Y6" s="3974"/>
      <c r="Z6" s="3975"/>
      <c r="AA6" s="3980"/>
      <c r="AB6" s="3980"/>
      <c r="AC6" s="3951"/>
    </row>
    <row r="7" spans="1:29" s="3339" customFormat="1" ht="15.75" thickBot="1">
      <c r="A7" s="3325" t="s">
        <v>1679</v>
      </c>
      <c r="B7" s="3326"/>
      <c r="C7" s="3327">
        <f>'[5]数据-取费表'!B2</f>
        <v>45478</v>
      </c>
      <c r="D7" s="3328">
        <v>100</v>
      </c>
      <c r="E7" s="3329">
        <f>C7</f>
        <v>45478</v>
      </c>
      <c r="F7" s="3330">
        <f>SUMIF(59:59,YEAR(E7)&amp;"-"&amp;MONTH(E7),60:60)</f>
        <v>100</v>
      </c>
      <c r="G7" s="3329">
        <f>C7</f>
        <v>45478</v>
      </c>
      <c r="H7" s="3328">
        <f>SUMIF(59:59,YEAR(G7)&amp;"-"&amp;MONTH(G7),60:60)</f>
        <v>100</v>
      </c>
      <c r="I7" s="3329">
        <f>C7</f>
        <v>45478</v>
      </c>
      <c r="J7" s="3328">
        <f>SUMIF(59:59,YEAR(I7)&amp;"-"&amp;MONTH(I7),60:60)</f>
        <v>100</v>
      </c>
      <c r="K7" s="3331"/>
      <c r="L7" s="3332"/>
      <c r="M7" s="3333"/>
      <c r="N7" s="3333"/>
      <c r="O7" s="3333"/>
      <c r="P7" s="3981" t="s">
        <v>1680</v>
      </c>
      <c r="Q7" s="3982"/>
      <c r="R7" s="3334" t="s">
        <v>14</v>
      </c>
      <c r="S7" s="3335">
        <f t="shared" ref="S7:S15" si="0">F7</f>
        <v>100</v>
      </c>
      <c r="T7" s="3334" t="s">
        <v>14</v>
      </c>
      <c r="U7" s="3335">
        <f t="shared" ref="U7:U15" si="1">H7</f>
        <v>100</v>
      </c>
      <c r="V7" s="3334" t="s">
        <v>14</v>
      </c>
      <c r="W7" s="3335">
        <f t="shared" ref="W7:W15" si="2">J7</f>
        <v>100</v>
      </c>
      <c r="X7" s="3336"/>
      <c r="Y7" s="3984" t="s">
        <v>1680</v>
      </c>
      <c r="Z7" s="3983"/>
      <c r="AA7" s="3337">
        <f>D7/F7</f>
        <v>1</v>
      </c>
      <c r="AB7" s="3337">
        <f>D7/H7</f>
        <v>1</v>
      </c>
      <c r="AC7" s="3338">
        <f>D7/J7</f>
        <v>1</v>
      </c>
    </row>
    <row r="8" spans="1:29" s="3339" customFormat="1" ht="15.75" thickBot="1">
      <c r="A8" s="3325" t="s">
        <v>1681</v>
      </c>
      <c r="B8" s="3326"/>
      <c r="C8" s="3340" t="s">
        <v>3737</v>
      </c>
      <c r="D8" s="3328">
        <v>100</v>
      </c>
      <c r="E8" s="3340" t="s">
        <v>3737</v>
      </c>
      <c r="F8" s="3330">
        <f>SUMIF(62:62,E8,63:63)-SUMIF(62:62,C8,63:63)+100</f>
        <v>100</v>
      </c>
      <c r="G8" s="3340" t="s">
        <v>3737</v>
      </c>
      <c r="H8" s="3328">
        <f>SUMIF(62:62,G8,63:63)-SUMIF(62:62,C8,63:63)+100</f>
        <v>100</v>
      </c>
      <c r="I8" s="3340" t="s">
        <v>3737</v>
      </c>
      <c r="J8" s="3328">
        <f>SUMIF(62:62,I8,63:63)-SUMIF(62:62,C8,63:63)+100</f>
        <v>100</v>
      </c>
      <c r="K8" s="3331"/>
      <c r="L8" s="3332"/>
      <c r="M8" s="3333"/>
      <c r="N8" s="3333"/>
      <c r="O8" s="3333"/>
      <c r="P8" s="3981" t="s">
        <v>1683</v>
      </c>
      <c r="Q8" s="3983"/>
      <c r="R8" s="3334" t="s">
        <v>14</v>
      </c>
      <c r="S8" s="3335">
        <f t="shared" si="0"/>
        <v>100</v>
      </c>
      <c r="T8" s="3334" t="s">
        <v>14</v>
      </c>
      <c r="U8" s="3335">
        <f t="shared" si="1"/>
        <v>100</v>
      </c>
      <c r="V8" s="3334" t="s">
        <v>14</v>
      </c>
      <c r="W8" s="3335">
        <f t="shared" si="2"/>
        <v>100</v>
      </c>
      <c r="X8" s="3336"/>
      <c r="Y8" s="3984" t="s">
        <v>1683</v>
      </c>
      <c r="Z8" s="3983"/>
      <c r="AA8" s="3337">
        <f t="shared" ref="AA8:AA47" si="3">D8/F8</f>
        <v>1</v>
      </c>
      <c r="AB8" s="3337">
        <f t="shared" ref="AB8:AB47" si="4">D8/H8</f>
        <v>1</v>
      </c>
      <c r="AC8" s="3338">
        <f t="shared" ref="AC8:AC47" si="5">D8/J8</f>
        <v>1</v>
      </c>
    </row>
    <row r="9" spans="1:29" s="3339" customFormat="1" ht="15" thickBot="1">
      <c r="A9" s="3341" t="s">
        <v>1684</v>
      </c>
      <c r="B9" s="3342" t="s">
        <v>1685</v>
      </c>
      <c r="C9" s="3343" t="s">
        <v>460</v>
      </c>
      <c r="D9" s="3344">
        <v>100</v>
      </c>
      <c r="E9" s="3345" t="s">
        <v>21</v>
      </c>
      <c r="F9" s="3344">
        <f>SUMIF(64:64,E9,65:65)-SUMIF(64:64,C9,65:65)+100</f>
        <v>100</v>
      </c>
      <c r="G9" s="3345" t="s">
        <v>21</v>
      </c>
      <c r="H9" s="3344">
        <f>SUMIF(64:64,G9,65:65)-SUMIF(64:64,C9,65:65)+100</f>
        <v>100</v>
      </c>
      <c r="I9" s="3345" t="s">
        <v>21</v>
      </c>
      <c r="J9" s="3344">
        <f>SUMIF(64:64,I9,65:65)-SUMIF(64:64,C9,65:65)+100</f>
        <v>100</v>
      </c>
      <c r="K9" s="3331"/>
      <c r="L9" s="3332"/>
      <c r="M9" s="3333"/>
      <c r="N9" s="3333"/>
      <c r="O9" s="3333"/>
      <c r="P9" s="3985" t="s">
        <v>1686</v>
      </c>
      <c r="Q9" s="3346" t="str">
        <f t="shared" ref="Q9:Q15" si="6">B9</f>
        <v>用途</v>
      </c>
      <c r="R9" s="3334" t="s">
        <v>14</v>
      </c>
      <c r="S9" s="3335">
        <f t="shared" si="0"/>
        <v>100</v>
      </c>
      <c r="T9" s="3334" t="s">
        <v>14</v>
      </c>
      <c r="U9" s="3335">
        <f t="shared" si="1"/>
        <v>100</v>
      </c>
      <c r="V9" s="3334" t="s">
        <v>14</v>
      </c>
      <c r="W9" s="3335">
        <f t="shared" si="2"/>
        <v>100</v>
      </c>
      <c r="X9" s="3336"/>
      <c r="Y9" s="3986" t="s">
        <v>1687</v>
      </c>
      <c r="Z9" s="3337" t="str">
        <f t="shared" ref="Z9:Z15" si="7">Q9</f>
        <v>用途</v>
      </c>
      <c r="AA9" s="3337">
        <f t="shared" si="3"/>
        <v>1</v>
      </c>
      <c r="AB9" s="3337">
        <f t="shared" si="4"/>
        <v>1</v>
      </c>
      <c r="AC9" s="3338">
        <f t="shared" si="5"/>
        <v>1</v>
      </c>
    </row>
    <row r="10" spans="1:29" s="3354" customFormat="1" ht="27.75" hidden="1" thickBot="1">
      <c r="A10" s="3347"/>
      <c r="B10" s="3348" t="s">
        <v>1688</v>
      </c>
      <c r="C10" s="3349"/>
      <c r="D10" s="3350">
        <v>100</v>
      </c>
      <c r="E10" s="3349"/>
      <c r="F10" s="3350">
        <f>SUMIF(66:66,E10,67:67)-SUMIF(66:66,C10,67:67)+100</f>
        <v>100</v>
      </c>
      <c r="G10" s="3351"/>
      <c r="H10" s="3350">
        <f>SUMIF(66:66,G10,67:67)-SUMIF(66:66,C10,67:67)+100</f>
        <v>100</v>
      </c>
      <c r="I10" s="3349"/>
      <c r="J10" s="3350">
        <f>SUMIF(66:66,I10,67:67)-SUMIF(66:66,C10,67:67)+100</f>
        <v>100</v>
      </c>
      <c r="K10" s="3331"/>
      <c r="L10" s="3352"/>
      <c r="M10" s="3353"/>
      <c r="N10" s="3353"/>
      <c r="O10" s="3353"/>
      <c r="P10" s="3985"/>
      <c r="Q10" s="3346" t="str">
        <f t="shared" si="6"/>
        <v>土地使用年限（年）</v>
      </c>
      <c r="R10" s="3334" t="s">
        <v>14</v>
      </c>
      <c r="S10" s="3335">
        <f t="shared" si="0"/>
        <v>100</v>
      </c>
      <c r="T10" s="3334" t="s">
        <v>14</v>
      </c>
      <c r="U10" s="3335">
        <f t="shared" si="1"/>
        <v>100</v>
      </c>
      <c r="V10" s="3334" t="s">
        <v>14</v>
      </c>
      <c r="W10" s="3335">
        <f t="shared" si="2"/>
        <v>100</v>
      </c>
      <c r="X10" s="3336"/>
      <c r="Y10" s="3986"/>
      <c r="Z10" s="3337" t="str">
        <f t="shared" si="7"/>
        <v>土地使用年限（年）</v>
      </c>
      <c r="AA10" s="3337">
        <f t="shared" si="3"/>
        <v>1</v>
      </c>
      <c r="AB10" s="3337">
        <f t="shared" si="4"/>
        <v>1</v>
      </c>
      <c r="AC10" s="3338">
        <f t="shared" si="5"/>
        <v>1</v>
      </c>
    </row>
    <row r="11" spans="1:29" ht="15.75" hidden="1" thickBot="1">
      <c r="A11" s="3355"/>
      <c r="B11" s="3348" t="s">
        <v>1689</v>
      </c>
      <c r="C11" s="3356"/>
      <c r="D11" s="3350">
        <v>100</v>
      </c>
      <c r="E11" s="3356"/>
      <c r="F11" s="3350">
        <f>LOOKUP(E11,69:69,70:70)-LOOKUP(C11,69:69,70:70)+100</f>
        <v>100</v>
      </c>
      <c r="G11" s="3357"/>
      <c r="H11" s="3350">
        <f>LOOKUP(G11,69:69,70:70)-LOOKUP(C11,69:69,70:70)+100</f>
        <v>100</v>
      </c>
      <c r="I11" s="3356"/>
      <c r="J11" s="3350">
        <f>LOOKUP(I11,69:69,70:70)-LOOKUP(C11,69:69,70:70)+100</f>
        <v>100</v>
      </c>
      <c r="K11" s="3358"/>
      <c r="L11" s="3359"/>
      <c r="M11" s="3316"/>
      <c r="N11" s="3316"/>
      <c r="O11" s="3316"/>
      <c r="P11" s="3985"/>
      <c r="Q11" s="3346" t="str">
        <f t="shared" si="6"/>
        <v>容积率</v>
      </c>
      <c r="R11" s="3334" t="s">
        <v>14</v>
      </c>
      <c r="S11" s="3335">
        <f t="shared" si="0"/>
        <v>100</v>
      </c>
      <c r="T11" s="3334" t="s">
        <v>14</v>
      </c>
      <c r="U11" s="3335">
        <f t="shared" si="1"/>
        <v>100</v>
      </c>
      <c r="V11" s="3334" t="s">
        <v>14</v>
      </c>
      <c r="W11" s="3335">
        <f t="shared" si="2"/>
        <v>100</v>
      </c>
      <c r="X11" s="3336"/>
      <c r="Y11" s="3986"/>
      <c r="Z11" s="3337" t="str">
        <f t="shared" si="7"/>
        <v>容积率</v>
      </c>
      <c r="AA11" s="3337">
        <f t="shared" si="3"/>
        <v>1</v>
      </c>
      <c r="AB11" s="3337">
        <f t="shared" si="4"/>
        <v>1</v>
      </c>
      <c r="AC11" s="3338">
        <f t="shared" si="5"/>
        <v>1</v>
      </c>
    </row>
    <row r="12" spans="1:29" s="3339" customFormat="1" ht="15.75" hidden="1" thickBot="1">
      <c r="A12" s="3360"/>
      <c r="B12" s="3361">
        <v>111</v>
      </c>
      <c r="C12" s="3362"/>
      <c r="D12" s="3363">
        <v>100</v>
      </c>
      <c r="E12" s="3362"/>
      <c r="F12" s="3350">
        <f>SUMIF(71:71,E12,72:72)-SUMIF(71:71,C12,72:72)+100</f>
        <v>100</v>
      </c>
      <c r="G12" s="3364"/>
      <c r="H12" s="3350">
        <f>SUMIF(71:71,G12,72:72)-SUMIF(71:71,C12,72:72)+100</f>
        <v>100</v>
      </c>
      <c r="I12" s="3362"/>
      <c r="J12" s="3350">
        <f>SUMIF(71:71,I12,72:72)-SUMIF(71:71,C12,72:72)+100</f>
        <v>100</v>
      </c>
      <c r="K12" s="3365"/>
      <c r="L12" s="3332"/>
      <c r="M12" s="3333"/>
      <c r="N12" s="3333"/>
      <c r="O12" s="3333"/>
      <c r="P12" s="3985"/>
      <c r="Q12" s="3346">
        <f t="shared" si="6"/>
        <v>111</v>
      </c>
      <c r="R12" s="3334" t="s">
        <v>14</v>
      </c>
      <c r="S12" s="3335">
        <f t="shared" si="0"/>
        <v>100</v>
      </c>
      <c r="T12" s="3334" t="s">
        <v>14</v>
      </c>
      <c r="U12" s="3335">
        <f t="shared" si="1"/>
        <v>100</v>
      </c>
      <c r="V12" s="3334" t="s">
        <v>14</v>
      </c>
      <c r="W12" s="3335">
        <f t="shared" si="2"/>
        <v>100</v>
      </c>
      <c r="X12" s="3336"/>
      <c r="Y12" s="3986"/>
      <c r="Z12" s="3337">
        <f t="shared" si="7"/>
        <v>111</v>
      </c>
      <c r="AA12" s="3337">
        <f>D12/F12</f>
        <v>1</v>
      </c>
      <c r="AB12" s="3337">
        <f>D12/H12</f>
        <v>1</v>
      </c>
      <c r="AC12" s="3338">
        <f>D12/J12</f>
        <v>1</v>
      </c>
    </row>
    <row r="13" spans="1:29" ht="15.75" hidden="1" thickBot="1">
      <c r="A13" s="3355"/>
      <c r="B13" s="3361">
        <v>111</v>
      </c>
      <c r="C13" s="3366"/>
      <c r="D13" s="3367">
        <v>100</v>
      </c>
      <c r="E13" s="3362"/>
      <c r="F13" s="3350">
        <f>SUMIF(73:73,E13,74:74)-SUMIF(73:73,C13,74:74)+100</f>
        <v>100</v>
      </c>
      <c r="G13" s="3364"/>
      <c r="H13" s="3367">
        <f>SUMIF(73:73,G13,74:74)-SUMIF(73:73,C13,74:74)+100</f>
        <v>100</v>
      </c>
      <c r="I13" s="3362"/>
      <c r="J13" s="3367">
        <f>SUMIF(73:73,I13,74:74)-SUMIF(73:73,C13,74:74)+100</f>
        <v>100</v>
      </c>
      <c r="K13" s="3365"/>
      <c r="L13" s="3368"/>
      <c r="M13" s="3316"/>
      <c r="N13" s="3316"/>
      <c r="O13" s="3316"/>
      <c r="P13" s="3985"/>
      <c r="Q13" s="3346">
        <f t="shared" si="6"/>
        <v>111</v>
      </c>
      <c r="R13" s="3334" t="s">
        <v>14</v>
      </c>
      <c r="S13" s="3335">
        <f t="shared" si="0"/>
        <v>100</v>
      </c>
      <c r="T13" s="3334" t="s">
        <v>14</v>
      </c>
      <c r="U13" s="3335">
        <f t="shared" si="1"/>
        <v>100</v>
      </c>
      <c r="V13" s="3334" t="s">
        <v>14</v>
      </c>
      <c r="W13" s="3335">
        <f t="shared" si="2"/>
        <v>100</v>
      </c>
      <c r="X13" s="3336"/>
      <c r="Y13" s="3986"/>
      <c r="Z13" s="3337">
        <f t="shared" si="7"/>
        <v>111</v>
      </c>
      <c r="AA13" s="3337">
        <f t="shared" si="3"/>
        <v>1</v>
      </c>
      <c r="AB13" s="3337">
        <f t="shared" si="4"/>
        <v>1</v>
      </c>
      <c r="AC13" s="3338">
        <f t="shared" si="5"/>
        <v>1</v>
      </c>
    </row>
    <row r="14" spans="1:29" ht="15.75" hidden="1" thickBot="1">
      <c r="A14" s="3369"/>
      <c r="B14" s="3370">
        <v>111</v>
      </c>
      <c r="C14" s="3371"/>
      <c r="D14" s="3372">
        <v>100</v>
      </c>
      <c r="E14" s="3373"/>
      <c r="F14" s="3372">
        <f>SUMIF(75:75,E14,76:76)-SUMIF(75:75,C14,76:76)+100</f>
        <v>100</v>
      </c>
      <c r="G14" s="3364"/>
      <c r="H14" s="3372">
        <f>SUMIF(75:75,G14,76:76)-SUMIF(75:75,C14,76:76)+100</f>
        <v>100</v>
      </c>
      <c r="I14" s="3362"/>
      <c r="J14" s="3372">
        <f>SUMIF(75:75,I14,76:76)-SUMIF(75:75,C14,76:76)+100</f>
        <v>100</v>
      </c>
      <c r="K14" s="3365"/>
      <c r="L14" s="3368"/>
      <c r="M14" s="3316"/>
      <c r="N14" s="3316"/>
      <c r="O14" s="3316"/>
      <c r="P14" s="3985"/>
      <c r="Q14" s="3346">
        <f t="shared" si="6"/>
        <v>111</v>
      </c>
      <c r="R14" s="3334" t="s">
        <v>14</v>
      </c>
      <c r="S14" s="3335">
        <f t="shared" si="0"/>
        <v>100</v>
      </c>
      <c r="T14" s="3334" t="s">
        <v>14</v>
      </c>
      <c r="U14" s="3335">
        <f t="shared" si="1"/>
        <v>100</v>
      </c>
      <c r="V14" s="3334" t="s">
        <v>14</v>
      </c>
      <c r="W14" s="3335">
        <f t="shared" si="2"/>
        <v>100</v>
      </c>
      <c r="X14" s="3336"/>
      <c r="Y14" s="3986"/>
      <c r="Z14" s="3337">
        <f t="shared" si="7"/>
        <v>111</v>
      </c>
      <c r="AA14" s="3337">
        <f t="shared" si="3"/>
        <v>1</v>
      </c>
      <c r="AB14" s="3337">
        <f t="shared" si="4"/>
        <v>1</v>
      </c>
      <c r="AC14" s="3338">
        <f t="shared" si="5"/>
        <v>1</v>
      </c>
    </row>
    <row r="15" spans="1:29" ht="71.25">
      <c r="A15" s="3374" t="s">
        <v>1690</v>
      </c>
      <c r="B15" s="3375" t="s">
        <v>1821</v>
      </c>
      <c r="C15" s="3376" t="str">
        <f>[5]估价对象房地状况!C5</f>
        <v>估价对象位于XX商圈，周边办公楼项目较多，入驻率高，办公集聚程度较好</v>
      </c>
      <c r="D15" s="3377">
        <v>100</v>
      </c>
      <c r="E15" s="3378"/>
      <c r="F15" s="3377">
        <f>SUMIF(77:77,E16,78:78)-SUMIF(77:77,C16,78:78)+100</f>
        <v>100</v>
      </c>
      <c r="G15" s="3379"/>
      <c r="H15" s="3377">
        <f>SUMIF(77:77,G16,78:78)-SUMIF(77:77,C16,78:78)+100</f>
        <v>100</v>
      </c>
      <c r="I15" s="3379"/>
      <c r="J15" s="3377">
        <f>SUMIF(77:77,I16,78:78)-SUMIF(77:77,C16,78:78)+100</f>
        <v>100</v>
      </c>
      <c r="K15" s="3380"/>
      <c r="L15" s="3368"/>
      <c r="M15" s="3316"/>
      <c r="N15" s="3316"/>
      <c r="O15" s="3316"/>
      <c r="P15" s="3987" t="s">
        <v>1691</v>
      </c>
      <c r="Q15" s="3382" t="str">
        <f t="shared" si="6"/>
        <v>办公集聚程度</v>
      </c>
      <c r="R15" s="3383" t="s">
        <v>14</v>
      </c>
      <c r="S15" s="3384">
        <f t="shared" si="0"/>
        <v>100</v>
      </c>
      <c r="T15" s="3383" t="s">
        <v>14</v>
      </c>
      <c r="U15" s="3384">
        <f t="shared" si="1"/>
        <v>100</v>
      </c>
      <c r="V15" s="3383" t="s">
        <v>14</v>
      </c>
      <c r="W15" s="3384">
        <f t="shared" si="2"/>
        <v>100</v>
      </c>
      <c r="X15" s="3322"/>
      <c r="Y15" s="3989" t="s">
        <v>1691</v>
      </c>
      <c r="Z15" s="3321" t="str">
        <f t="shared" si="7"/>
        <v>办公集聚程度</v>
      </c>
      <c r="AA15" s="3321">
        <f t="shared" si="3"/>
        <v>1</v>
      </c>
      <c r="AB15" s="3321">
        <f t="shared" si="4"/>
        <v>1</v>
      </c>
      <c r="AC15" s="3385">
        <f t="shared" si="5"/>
        <v>1</v>
      </c>
    </row>
    <row r="16" spans="1:29" ht="15">
      <c r="A16" s="3355"/>
      <c r="B16" s="3386"/>
      <c r="C16" s="3387" t="s">
        <v>3725</v>
      </c>
      <c r="D16" s="3388"/>
      <c r="E16" s="3387" t="s">
        <v>3725</v>
      </c>
      <c r="F16" s="3388"/>
      <c r="G16" s="3387" t="s">
        <v>3725</v>
      </c>
      <c r="H16" s="3389"/>
      <c r="I16" s="3387" t="s">
        <v>3725</v>
      </c>
      <c r="J16" s="3388"/>
      <c r="K16" s="3390"/>
      <c r="L16" s="3368"/>
      <c r="M16" s="3316"/>
      <c r="N16" s="3316"/>
      <c r="O16" s="3316"/>
      <c r="P16" s="3988"/>
      <c r="Q16" s="3382"/>
      <c r="R16" s="3383"/>
      <c r="S16" s="3384"/>
      <c r="T16" s="3383"/>
      <c r="U16" s="3384"/>
      <c r="V16" s="3383"/>
      <c r="W16" s="3384"/>
      <c r="X16" s="3322"/>
      <c r="Y16" s="3990"/>
      <c r="Z16" s="3321"/>
      <c r="AA16" s="3321">
        <v>1</v>
      </c>
      <c r="AB16" s="3321">
        <v>1</v>
      </c>
      <c r="AC16" s="3385">
        <v>1</v>
      </c>
    </row>
    <row r="17" spans="1:29" ht="71.25">
      <c r="A17" s="3355"/>
      <c r="B17" s="3392" t="s">
        <v>1259</v>
      </c>
      <c r="C17" s="3393" t="str">
        <f>[5]估价对象房地状况!C6</f>
        <v>估价对象周边道路状况、公共交通通达情况、停车便捷程度，综合评价交通便捷度较好</v>
      </c>
      <c r="D17" s="3389">
        <v>100</v>
      </c>
      <c r="E17" s="3394"/>
      <c r="F17" s="3389">
        <f>SUMIF(79:79,E18,80:80)-SUMIF(79:79,C18,80:80)+100</f>
        <v>100</v>
      </c>
      <c r="G17" s="3395"/>
      <c r="H17" s="3396">
        <f>SUMIF(79:79,G18,80:80)-SUMIF(79:79,C18,80:80)+100</f>
        <v>100</v>
      </c>
      <c r="I17" s="3395"/>
      <c r="J17" s="3396">
        <f>SUMIF(79:79,I18,80:80)-SUMIF(79:79,C18,80:80)+100</f>
        <v>100</v>
      </c>
      <c r="K17" s="3380"/>
      <c r="L17" s="3368"/>
      <c r="M17" s="3316"/>
      <c r="N17" s="3316"/>
      <c r="O17" s="3316"/>
      <c r="P17" s="3988"/>
      <c r="Q17" s="3382" t="str">
        <f>B17</f>
        <v>交通便捷度</v>
      </c>
      <c r="R17" s="3383" t="s">
        <v>14</v>
      </c>
      <c r="S17" s="3384">
        <f>F17</f>
        <v>100</v>
      </c>
      <c r="T17" s="3383" t="s">
        <v>14</v>
      </c>
      <c r="U17" s="3384">
        <f>H17</f>
        <v>100</v>
      </c>
      <c r="V17" s="3383" t="s">
        <v>14</v>
      </c>
      <c r="W17" s="3384">
        <f>J17</f>
        <v>100</v>
      </c>
      <c r="X17" s="3322"/>
      <c r="Y17" s="3990"/>
      <c r="Z17" s="3321" t="str">
        <f>Q17</f>
        <v>交通便捷度</v>
      </c>
      <c r="AA17" s="3321">
        <f t="shared" si="3"/>
        <v>1</v>
      </c>
      <c r="AB17" s="3321">
        <f t="shared" si="4"/>
        <v>1</v>
      </c>
      <c r="AC17" s="3385">
        <f t="shared" si="5"/>
        <v>1</v>
      </c>
    </row>
    <row r="18" spans="1:29" ht="15">
      <c r="A18" s="3355"/>
      <c r="B18" s="3397"/>
      <c r="C18" s="3387" t="s">
        <v>3725</v>
      </c>
      <c r="D18" s="3389"/>
      <c r="E18" s="3387" t="s">
        <v>3725</v>
      </c>
      <c r="F18" s="3389"/>
      <c r="G18" s="3387" t="s">
        <v>3725</v>
      </c>
      <c r="H18" s="3388"/>
      <c r="I18" s="3387" t="s">
        <v>3725</v>
      </c>
      <c r="J18" s="3388"/>
      <c r="K18" s="3390"/>
      <c r="L18" s="3368"/>
      <c r="M18" s="3316"/>
      <c r="N18" s="3316"/>
      <c r="O18" s="3316"/>
      <c r="P18" s="3988"/>
      <c r="Q18" s="3382"/>
      <c r="R18" s="3383"/>
      <c r="S18" s="3384"/>
      <c r="T18" s="3383"/>
      <c r="U18" s="3384"/>
      <c r="V18" s="3383"/>
      <c r="W18" s="3384"/>
      <c r="X18" s="3322"/>
      <c r="Y18" s="3990"/>
      <c r="Z18" s="3321"/>
      <c r="AA18" s="3321">
        <v>1</v>
      </c>
      <c r="AB18" s="3321">
        <v>1</v>
      </c>
      <c r="AC18" s="3385">
        <v>1</v>
      </c>
    </row>
    <row r="19" spans="1:29" ht="42.75">
      <c r="A19" s="3355"/>
      <c r="B19" s="3392" t="s">
        <v>1727</v>
      </c>
      <c r="C19" s="3393" t="str">
        <f>[5]估价对象房地状况!C7</f>
        <v>估价对象所在区域公共配套设施齐备情况</v>
      </c>
      <c r="D19" s="3396">
        <v>100</v>
      </c>
      <c r="E19" s="3398"/>
      <c r="F19" s="3396">
        <f>SUMIF(81:81,E20,82:82)-SUMIF(81:81,C20,82:82)+100</f>
        <v>100</v>
      </c>
      <c r="G19" s="3399"/>
      <c r="H19" s="3389">
        <f>SUMIF(81:81,G20,82:82)-SUMIF(81:81,C20,82:82)+100</f>
        <v>100</v>
      </c>
      <c r="I19" s="3399"/>
      <c r="J19" s="3389">
        <f>SUMIF(81:81,I20,82:82)-SUMIF(81:81,C20,82:82)+100</f>
        <v>100</v>
      </c>
      <c r="K19" s="3380"/>
      <c r="L19" s="3368"/>
      <c r="M19" s="3316"/>
      <c r="N19" s="3316"/>
      <c r="O19" s="3316"/>
      <c r="P19" s="3988"/>
      <c r="Q19" s="3382" t="str">
        <f>B19</f>
        <v>公共配套设施</v>
      </c>
      <c r="R19" s="3383" t="s">
        <v>14</v>
      </c>
      <c r="S19" s="3384">
        <f>F19</f>
        <v>100</v>
      </c>
      <c r="T19" s="3383" t="s">
        <v>14</v>
      </c>
      <c r="U19" s="3384">
        <f>H19</f>
        <v>100</v>
      </c>
      <c r="V19" s="3383" t="s">
        <v>14</v>
      </c>
      <c r="W19" s="3384">
        <f>J19</f>
        <v>100</v>
      </c>
      <c r="X19" s="3322"/>
      <c r="Y19" s="3990"/>
      <c r="Z19" s="3321" t="str">
        <f>Q19</f>
        <v>公共配套设施</v>
      </c>
      <c r="AA19" s="3321">
        <f t="shared" si="3"/>
        <v>1</v>
      </c>
      <c r="AB19" s="3321">
        <f t="shared" si="4"/>
        <v>1</v>
      </c>
      <c r="AC19" s="3385">
        <f t="shared" si="5"/>
        <v>1</v>
      </c>
    </row>
    <row r="20" spans="1:29" ht="15">
      <c r="A20" s="3355"/>
      <c r="B20" s="3397"/>
      <c r="C20" s="3387" t="s">
        <v>3725</v>
      </c>
      <c r="D20" s="3388"/>
      <c r="E20" s="3387" t="s">
        <v>3725</v>
      </c>
      <c r="F20" s="3388"/>
      <c r="G20" s="3387" t="s">
        <v>3725</v>
      </c>
      <c r="H20" s="3388"/>
      <c r="I20" s="3387" t="s">
        <v>3725</v>
      </c>
      <c r="J20" s="3388"/>
      <c r="K20" s="3390"/>
      <c r="L20" s="3368"/>
      <c r="M20" s="3316"/>
      <c r="N20" s="3316"/>
      <c r="O20" s="3316"/>
      <c r="P20" s="3988"/>
      <c r="Q20" s="3382"/>
      <c r="R20" s="3383"/>
      <c r="S20" s="3384"/>
      <c r="T20" s="3383"/>
      <c r="U20" s="3384"/>
      <c r="V20" s="3383"/>
      <c r="W20" s="3384"/>
      <c r="X20" s="3322"/>
      <c r="Y20" s="3990"/>
      <c r="Z20" s="3321"/>
      <c r="AA20" s="3321">
        <v>1</v>
      </c>
      <c r="AB20" s="3321">
        <v>1</v>
      </c>
      <c r="AC20" s="3385">
        <v>1</v>
      </c>
    </row>
    <row r="21" spans="1:29" ht="28.5">
      <c r="A21" s="3355"/>
      <c r="B21" s="3400" t="s">
        <v>3738</v>
      </c>
      <c r="C21" s="3393" t="str">
        <f>[5]估价对象房地状况!C8</f>
        <v>估价对象所在区域基础设施水平</v>
      </c>
      <c r="D21" s="3389">
        <v>100</v>
      </c>
      <c r="E21" s="3398"/>
      <c r="F21" s="3396">
        <f>SUMIF(83:83,E22,84:84)-SUMIF(83:83,C22,84:84)+100</f>
        <v>100</v>
      </c>
      <c r="G21" s="3399"/>
      <c r="H21" s="3389">
        <f>SUMIF(83:83,G22,84:84)-SUMIF(83:83,C22,84:84)+100</f>
        <v>100</v>
      </c>
      <c r="I21" s="3399"/>
      <c r="J21" s="3389">
        <f>SUMIF(83:83,I22,84:84)-SUMIF(83:83,C22,84:84)+100</f>
        <v>100</v>
      </c>
      <c r="K21" s="3380"/>
      <c r="L21" s="3368"/>
      <c r="M21" s="3316"/>
      <c r="N21" s="3316"/>
      <c r="O21" s="3316"/>
      <c r="P21" s="3988"/>
      <c r="Q21" s="3382" t="str">
        <f>B21</f>
        <v>基础设施水平</v>
      </c>
      <c r="R21" s="3383" t="s">
        <v>14</v>
      </c>
      <c r="S21" s="3384">
        <f>F21</f>
        <v>100</v>
      </c>
      <c r="T21" s="3383" t="s">
        <v>14</v>
      </c>
      <c r="U21" s="3384">
        <f>H21</f>
        <v>100</v>
      </c>
      <c r="V21" s="3383" t="s">
        <v>14</v>
      </c>
      <c r="W21" s="3384">
        <f>J21</f>
        <v>100</v>
      </c>
      <c r="X21" s="3322"/>
      <c r="Y21" s="3990"/>
      <c r="Z21" s="3321" t="str">
        <f>Q21</f>
        <v>基础设施水平</v>
      </c>
      <c r="AA21" s="3321">
        <f t="shared" ref="AA21" si="8">D21/F21</f>
        <v>1</v>
      </c>
      <c r="AB21" s="3321">
        <f t="shared" ref="AB21" si="9">D21/H21</f>
        <v>1</v>
      </c>
      <c r="AC21" s="3385">
        <f t="shared" ref="AC21" si="10">D21/J21</f>
        <v>1</v>
      </c>
    </row>
    <row r="22" spans="1:29" ht="15">
      <c r="A22" s="3355"/>
      <c r="B22" s="3400"/>
      <c r="C22" s="3401" t="s">
        <v>3739</v>
      </c>
      <c r="D22" s="3388"/>
      <c r="E22" s="3401" t="s">
        <v>3739</v>
      </c>
      <c r="F22" s="3388"/>
      <c r="G22" s="3401" t="s">
        <v>3739</v>
      </c>
      <c r="H22" s="3388"/>
      <c r="I22" s="3401" t="s">
        <v>3739</v>
      </c>
      <c r="J22" s="3388"/>
      <c r="K22" s="3402"/>
      <c r="L22" s="3368"/>
      <c r="M22" s="3316"/>
      <c r="N22" s="3316"/>
      <c r="O22" s="3316"/>
      <c r="P22" s="3988"/>
      <c r="Q22" s="3382"/>
      <c r="R22" s="3383"/>
      <c r="S22" s="3384"/>
      <c r="T22" s="3383"/>
      <c r="U22" s="3384"/>
      <c r="V22" s="3383"/>
      <c r="W22" s="3384"/>
      <c r="X22" s="3322"/>
      <c r="Y22" s="3990"/>
      <c r="Z22" s="3321"/>
      <c r="AA22" s="3321">
        <v>1</v>
      </c>
      <c r="AB22" s="3321">
        <v>1</v>
      </c>
      <c r="AC22" s="3385">
        <v>1</v>
      </c>
    </row>
    <row r="23" spans="1:29" ht="42.75">
      <c r="A23" s="3355"/>
      <c r="B23" s="3392" t="s">
        <v>1822</v>
      </c>
      <c r="C23" s="3393" t="str">
        <f>[5]估价对象房地状况!C9</f>
        <v>区域自然环境：；人文环境；综合评价环境状况一般</v>
      </c>
      <c r="D23" s="3389">
        <v>100</v>
      </c>
      <c r="E23" s="3394"/>
      <c r="F23" s="3389">
        <f>SUMIF(85:85,E24,86:86)-SUMIF(85:85,C24,86:86)+100</f>
        <v>100</v>
      </c>
      <c r="G23" s="3395"/>
      <c r="H23" s="3389">
        <f>SUMIF(85:85,G24,86:86)-SUMIF(85:85,C24,86:86)+100</f>
        <v>100</v>
      </c>
      <c r="I23" s="3395"/>
      <c r="J23" s="3389">
        <f>SUMIF(85:85,I24,86:86)-SUMIF(85:85,C24,86:86)+100</f>
        <v>100</v>
      </c>
      <c r="K23" s="3380"/>
      <c r="L23" s="3368"/>
      <c r="M23" s="3316"/>
      <c r="N23" s="3316"/>
      <c r="O23" s="3316"/>
      <c r="P23" s="3988"/>
      <c r="Q23" s="3382" t="str">
        <f>B23</f>
        <v>环境质量</v>
      </c>
      <c r="R23" s="3383" t="s">
        <v>14</v>
      </c>
      <c r="S23" s="3384">
        <f>F23</f>
        <v>100</v>
      </c>
      <c r="T23" s="3383" t="s">
        <v>14</v>
      </c>
      <c r="U23" s="3384">
        <f>H23</f>
        <v>100</v>
      </c>
      <c r="V23" s="3383" t="s">
        <v>14</v>
      </c>
      <c r="W23" s="3384">
        <f>J23</f>
        <v>100</v>
      </c>
      <c r="X23" s="3322"/>
      <c r="Y23" s="3990"/>
      <c r="Z23" s="3321" t="str">
        <f>Q23</f>
        <v>环境质量</v>
      </c>
      <c r="AA23" s="3321">
        <f t="shared" si="3"/>
        <v>1</v>
      </c>
      <c r="AB23" s="3321">
        <f t="shared" si="4"/>
        <v>1</v>
      </c>
      <c r="AC23" s="3385">
        <f t="shared" si="5"/>
        <v>1</v>
      </c>
    </row>
    <row r="24" spans="1:29" ht="15">
      <c r="A24" s="3355"/>
      <c r="B24" s="3400"/>
      <c r="C24" s="3387" t="s">
        <v>3725</v>
      </c>
      <c r="D24" s="3388"/>
      <c r="E24" s="3387" t="s">
        <v>3725</v>
      </c>
      <c r="F24" s="3388"/>
      <c r="G24" s="3387" t="s">
        <v>3725</v>
      </c>
      <c r="H24" s="3388"/>
      <c r="I24" s="3387" t="s">
        <v>3725</v>
      </c>
      <c r="J24" s="3388"/>
      <c r="K24" s="3390"/>
      <c r="L24" s="3368"/>
      <c r="M24" s="3316"/>
      <c r="N24" s="3316"/>
      <c r="O24" s="3316"/>
      <c r="P24" s="3988"/>
      <c r="Q24" s="3382"/>
      <c r="R24" s="3383"/>
      <c r="S24" s="3384"/>
      <c r="T24" s="3383"/>
      <c r="U24" s="3384"/>
      <c r="V24" s="3383"/>
      <c r="W24" s="3384"/>
      <c r="X24" s="3322"/>
      <c r="Y24" s="3990"/>
      <c r="Z24" s="3321"/>
      <c r="AA24" s="3321">
        <v>1</v>
      </c>
      <c r="AB24" s="3321">
        <v>1</v>
      </c>
      <c r="AC24" s="3385">
        <v>1</v>
      </c>
    </row>
    <row r="25" spans="1:29" ht="27">
      <c r="A25" s="3319"/>
      <c r="B25" s="3392" t="s">
        <v>1823</v>
      </c>
      <c r="C25" s="3403"/>
      <c r="D25" s="3367">
        <v>100</v>
      </c>
      <c r="E25" s="3366"/>
      <c r="F25" s="3367">
        <f>SUMIF(87:87,E26,88:88)-SUMIF(87:87,C26,88:88)+100</f>
        <v>100</v>
      </c>
      <c r="G25" s="3403"/>
      <c r="H25" s="3367">
        <f>SUMIF(87:87,G26,88:88)-SUMIF(87:87,C26,88:88)+100</f>
        <v>100</v>
      </c>
      <c r="I25" s="3366"/>
      <c r="J25" s="3367">
        <f>SUMIF(87:87,I26,88:88)-SUMIF(87:87,C26,88:88)+100</f>
        <v>100</v>
      </c>
      <c r="K25" s="3380"/>
      <c r="L25" s="3368"/>
      <c r="M25" s="3316"/>
      <c r="N25" s="3316"/>
      <c r="O25" s="3316"/>
      <c r="P25" s="3988"/>
      <c r="Q25" s="3382" t="str">
        <f>B25</f>
        <v>毗邻道路的类型与等级</v>
      </c>
      <c r="R25" s="3383" t="s">
        <v>14</v>
      </c>
      <c r="S25" s="3384">
        <f>F25</f>
        <v>100</v>
      </c>
      <c r="T25" s="3383" t="s">
        <v>14</v>
      </c>
      <c r="U25" s="3384">
        <f>H25</f>
        <v>100</v>
      </c>
      <c r="V25" s="3383" t="s">
        <v>14</v>
      </c>
      <c r="W25" s="3384">
        <f>J25</f>
        <v>100</v>
      </c>
      <c r="X25" s="3322"/>
      <c r="Y25" s="3990"/>
      <c r="Z25" s="3321" t="str">
        <f>Q25</f>
        <v>毗邻道路的类型与等级</v>
      </c>
      <c r="AA25" s="3321">
        <f t="shared" si="3"/>
        <v>1</v>
      </c>
      <c r="AB25" s="3321">
        <f t="shared" si="4"/>
        <v>1</v>
      </c>
      <c r="AC25" s="3385">
        <f t="shared" si="5"/>
        <v>1</v>
      </c>
    </row>
    <row r="26" spans="1:29" ht="28.5">
      <c r="A26" s="3319"/>
      <c r="B26" s="3397"/>
      <c r="C26" s="3404" t="s">
        <v>3740</v>
      </c>
      <c r="D26" s="3367"/>
      <c r="E26" s="3405" t="s">
        <v>3740</v>
      </c>
      <c r="F26" s="3367"/>
      <c r="G26" s="3404" t="s">
        <v>3741</v>
      </c>
      <c r="H26" s="3367"/>
      <c r="I26" s="3405" t="s">
        <v>3740</v>
      </c>
      <c r="J26" s="3367"/>
      <c r="K26" s="3390"/>
      <c r="L26" s="3368"/>
      <c r="M26" s="3316"/>
      <c r="N26" s="3316"/>
      <c r="O26" s="3316"/>
      <c r="P26" s="3988"/>
      <c r="Q26" s="3382"/>
      <c r="R26" s="3383"/>
      <c r="S26" s="3384"/>
      <c r="T26" s="3383"/>
      <c r="U26" s="3384"/>
      <c r="V26" s="3383"/>
      <c r="W26" s="3384"/>
      <c r="X26" s="3322"/>
      <c r="Y26" s="3990"/>
      <c r="Z26" s="3321"/>
      <c r="AA26" s="3321">
        <v>1</v>
      </c>
      <c r="AB26" s="3321">
        <v>1</v>
      </c>
      <c r="AC26" s="3385">
        <v>1</v>
      </c>
    </row>
    <row r="27" spans="1:29" ht="15" hidden="1">
      <c r="A27" s="3355"/>
      <c r="B27" s="3397" t="s">
        <v>1852</v>
      </c>
      <c r="C27" s="3404"/>
      <c r="D27" s="3367">
        <v>100</v>
      </c>
      <c r="E27" s="3405"/>
      <c r="F27" s="3367">
        <f>SUMIF(89:89,E27,90:90)-SUMIF(89:89,C27,90:90)+100</f>
        <v>100</v>
      </c>
      <c r="G27" s="3404"/>
      <c r="H27" s="3367">
        <f>SUMIF(89:89,G27,90:90)-SUMIF(89:89,C27,90:90)+100</f>
        <v>100</v>
      </c>
      <c r="I27" s="3405"/>
      <c r="J27" s="3367">
        <f>SUMIF(89:89,I27,90:90)-SUMIF(89:89,C27,90:90)+100</f>
        <v>100</v>
      </c>
      <c r="K27" s="3358"/>
      <c r="L27" s="3368"/>
      <c r="M27" s="3316"/>
      <c r="N27" s="3316"/>
      <c r="O27" s="3316"/>
      <c r="P27" s="3988"/>
      <c r="Q27" s="3382" t="str">
        <f t="shared" ref="Q27:Q47" si="11">B27</f>
        <v>楼层</v>
      </c>
      <c r="R27" s="3383" t="s">
        <v>14</v>
      </c>
      <c r="S27" s="3384">
        <f>F27</f>
        <v>100</v>
      </c>
      <c r="T27" s="3383" t="s">
        <v>14</v>
      </c>
      <c r="U27" s="3384">
        <f>H27</f>
        <v>100</v>
      </c>
      <c r="V27" s="3383" t="s">
        <v>14</v>
      </c>
      <c r="W27" s="3384">
        <f>J27</f>
        <v>100</v>
      </c>
      <c r="X27" s="3322"/>
      <c r="Y27" s="3990"/>
      <c r="Z27" s="3321" t="str">
        <f>Q27</f>
        <v>楼层</v>
      </c>
      <c r="AA27" s="3321">
        <f t="shared" si="3"/>
        <v>1</v>
      </c>
      <c r="AB27" s="3321">
        <f t="shared" si="4"/>
        <v>1</v>
      </c>
      <c r="AC27" s="3385">
        <f t="shared" si="5"/>
        <v>1</v>
      </c>
    </row>
    <row r="28" spans="1:29" s="3339" customFormat="1" ht="15" hidden="1">
      <c r="A28" s="3360"/>
      <c r="B28" s="3392" t="s">
        <v>1735</v>
      </c>
      <c r="C28" s="3406"/>
      <c r="D28" s="3397">
        <v>100</v>
      </c>
      <c r="E28" s="3407"/>
      <c r="F28" s="3397">
        <f>SUMIF(91:91,E28,92:92)-SUMIF(91:91,C28,92:92)+100</f>
        <v>100</v>
      </c>
      <c r="G28" s="3406"/>
      <c r="H28" s="3397">
        <f>SUMIF(91:91,G28,92:92)-SUMIF(91:91,C28,92:92)+100</f>
        <v>100</v>
      </c>
      <c r="I28" s="3407"/>
      <c r="J28" s="3397">
        <f>SUMIF(91:91,I28,92:92)-SUMIF(91:91,C28,92:92)+100</f>
        <v>100</v>
      </c>
      <c r="K28" s="3358"/>
      <c r="L28" s="3332"/>
      <c r="M28" s="3333"/>
      <c r="N28" s="3333"/>
      <c r="O28" s="3333"/>
      <c r="P28" s="3988"/>
      <c r="Q28" s="3346" t="str">
        <f t="shared" si="11"/>
        <v>朝向</v>
      </c>
      <c r="R28" s="3334" t="s">
        <v>14</v>
      </c>
      <c r="S28" s="3335">
        <f>F28</f>
        <v>100</v>
      </c>
      <c r="T28" s="3334" t="s">
        <v>14</v>
      </c>
      <c r="U28" s="3335">
        <f>H28</f>
        <v>100</v>
      </c>
      <c r="V28" s="3334" t="s">
        <v>14</v>
      </c>
      <c r="W28" s="3335">
        <f>J28</f>
        <v>100</v>
      </c>
      <c r="X28" s="3336"/>
      <c r="Y28" s="3990"/>
      <c r="Z28" s="3337" t="str">
        <f>Q28</f>
        <v>朝向</v>
      </c>
      <c r="AA28" s="3321">
        <f>D28/F28</f>
        <v>1</v>
      </c>
      <c r="AB28" s="3321">
        <f>D28/H28</f>
        <v>1</v>
      </c>
      <c r="AC28" s="3385">
        <f>D28/J28</f>
        <v>1</v>
      </c>
    </row>
    <row r="29" spans="1:29" ht="15.75" thickBot="1">
      <c r="A29" s="3355"/>
      <c r="B29" s="3408" t="s">
        <v>3465</v>
      </c>
      <c r="C29" s="3403" t="s">
        <v>3742</v>
      </c>
      <c r="D29" s="3367">
        <v>100</v>
      </c>
      <c r="E29" s="3362" t="s">
        <v>3811</v>
      </c>
      <c r="F29" s="3367">
        <f>SUMIF(93:93,E29,94:94)-SUMIF(93:93,C29,94:94)+100</f>
        <v>100</v>
      </c>
      <c r="G29" s="3364" t="s">
        <v>3812</v>
      </c>
      <c r="H29" s="3367">
        <f>SUMIF(93:93,G29,94:94)-SUMIF(93:93,C29,94:94)+100</f>
        <v>102</v>
      </c>
      <c r="I29" s="3362" t="s">
        <v>3813</v>
      </c>
      <c r="J29" s="3367">
        <f>SUMIF(93:93,I29,94:94)-SUMIF(93:93,C29,94:94)+100</f>
        <v>98</v>
      </c>
      <c r="K29" s="3365"/>
      <c r="L29" s="3368"/>
      <c r="M29" s="3316"/>
      <c r="N29" s="3316"/>
      <c r="O29" s="3316"/>
      <c r="P29" s="3988"/>
      <c r="Q29" s="3382" t="str">
        <f t="shared" si="11"/>
        <v>楼层</v>
      </c>
      <c r="R29" s="3383" t="s">
        <v>14</v>
      </c>
      <c r="S29" s="3384">
        <f t="shared" ref="S29:S47" si="12">F29</f>
        <v>100</v>
      </c>
      <c r="T29" s="3383" t="s">
        <v>14</v>
      </c>
      <c r="U29" s="3384">
        <f t="shared" ref="U29:U47" si="13">H29</f>
        <v>102</v>
      </c>
      <c r="V29" s="3383" t="s">
        <v>14</v>
      </c>
      <c r="W29" s="3384">
        <f t="shared" ref="W29:W47" si="14">J29</f>
        <v>98</v>
      </c>
      <c r="X29" s="3322"/>
      <c r="Y29" s="3990"/>
      <c r="Z29" s="3321" t="str">
        <f t="shared" ref="Z29:Z47" si="15">Q29</f>
        <v>楼层</v>
      </c>
      <c r="AA29" s="3321">
        <f t="shared" si="3"/>
        <v>1</v>
      </c>
      <c r="AB29" s="3321">
        <f t="shared" si="4"/>
        <v>0.98039215686274506</v>
      </c>
      <c r="AC29" s="3385">
        <f t="shared" si="5"/>
        <v>1.0204081632653061</v>
      </c>
    </row>
    <row r="30" spans="1:29" ht="15.75" hidden="1" thickBot="1">
      <c r="A30" s="3355"/>
      <c r="B30" s="3409">
        <v>111</v>
      </c>
      <c r="C30" s="3403"/>
      <c r="D30" s="3367">
        <v>100</v>
      </c>
      <c r="E30" s="3362"/>
      <c r="F30" s="3367">
        <f>SUMIF(95:95,E30,96:96)-SUMIF(95:95,C30,96:96)+100</f>
        <v>100</v>
      </c>
      <c r="G30" s="3364"/>
      <c r="H30" s="3367">
        <f>SUMIF(95:95,G30,96:96)-SUMIF(95:95,C30,96:96)+100</f>
        <v>100</v>
      </c>
      <c r="I30" s="3362"/>
      <c r="J30" s="3367">
        <f>SUMIF(95:95,I30,96:96)-SUMIF(95:95,C30,96:96)+100</f>
        <v>100</v>
      </c>
      <c r="K30" s="3365"/>
      <c r="L30" s="3368"/>
      <c r="M30" s="3316"/>
      <c r="N30" s="3316"/>
      <c r="O30" s="3316"/>
      <c r="P30" s="3988"/>
      <c r="Q30" s="3382">
        <f t="shared" si="11"/>
        <v>111</v>
      </c>
      <c r="R30" s="3383" t="s">
        <v>14</v>
      </c>
      <c r="S30" s="3384">
        <f t="shared" si="12"/>
        <v>100</v>
      </c>
      <c r="T30" s="3383" t="s">
        <v>14</v>
      </c>
      <c r="U30" s="3384">
        <f t="shared" si="13"/>
        <v>100</v>
      </c>
      <c r="V30" s="3383" t="s">
        <v>14</v>
      </c>
      <c r="W30" s="3384">
        <f t="shared" si="14"/>
        <v>100</v>
      </c>
      <c r="X30" s="3322"/>
      <c r="Y30" s="3990"/>
      <c r="Z30" s="3321">
        <f t="shared" si="15"/>
        <v>111</v>
      </c>
      <c r="AA30" s="3321">
        <f t="shared" si="3"/>
        <v>1</v>
      </c>
      <c r="AB30" s="3321">
        <f t="shared" si="4"/>
        <v>1</v>
      </c>
      <c r="AC30" s="3385">
        <f t="shared" si="5"/>
        <v>1</v>
      </c>
    </row>
    <row r="31" spans="1:29" ht="15.75" hidden="1" thickBot="1">
      <c r="A31" s="3355"/>
      <c r="B31" s="3409">
        <v>111</v>
      </c>
      <c r="C31" s="3403"/>
      <c r="D31" s="3367">
        <v>100</v>
      </c>
      <c r="E31" s="3362"/>
      <c r="F31" s="3367">
        <f>SUMIF(97:97,E31,98:98)-SUMIF(97:97,C31,98:98)+100</f>
        <v>100</v>
      </c>
      <c r="G31" s="3364"/>
      <c r="H31" s="3367">
        <f>SUMIF(97:97,G31,98:98)-SUMIF(97:97,C31,98:98)+100</f>
        <v>100</v>
      </c>
      <c r="I31" s="3362"/>
      <c r="J31" s="3367">
        <f>SUMIF(97:97,I31,98:98)-SUMIF(97:97,C31,98:98)+100</f>
        <v>100</v>
      </c>
      <c r="K31" s="3365"/>
      <c r="L31" s="3368"/>
      <c r="M31" s="3316"/>
      <c r="N31" s="3316"/>
      <c r="O31" s="3316"/>
      <c r="P31" s="3988"/>
      <c r="Q31" s="3382">
        <f t="shared" si="11"/>
        <v>111</v>
      </c>
      <c r="R31" s="3383" t="s">
        <v>14</v>
      </c>
      <c r="S31" s="3384">
        <f t="shared" si="12"/>
        <v>100</v>
      </c>
      <c r="T31" s="3383" t="s">
        <v>14</v>
      </c>
      <c r="U31" s="3384">
        <f t="shared" si="13"/>
        <v>100</v>
      </c>
      <c r="V31" s="3383" t="s">
        <v>14</v>
      </c>
      <c r="W31" s="3384">
        <f t="shared" si="14"/>
        <v>100</v>
      </c>
      <c r="X31" s="3322"/>
      <c r="Y31" s="3990"/>
      <c r="Z31" s="3321">
        <f t="shared" si="15"/>
        <v>111</v>
      </c>
      <c r="AA31" s="3321">
        <f t="shared" si="3"/>
        <v>1</v>
      </c>
      <c r="AB31" s="3321">
        <f t="shared" si="4"/>
        <v>1</v>
      </c>
      <c r="AC31" s="3385">
        <f t="shared" si="5"/>
        <v>1</v>
      </c>
    </row>
    <row r="32" spans="1:29" ht="15.75" hidden="1" thickBot="1">
      <c r="A32" s="3369"/>
      <c r="B32" s="3410">
        <v>111</v>
      </c>
      <c r="C32" s="3411"/>
      <c r="D32" s="3372">
        <v>100</v>
      </c>
      <c r="E32" s="3373"/>
      <c r="F32" s="3372">
        <f>SUMIF(99:99,E32,100:100)-SUMIF(99:99,C32,100:100)+100</f>
        <v>100</v>
      </c>
      <c r="G32" s="3364"/>
      <c r="H32" s="3372">
        <f>SUMIF(99:99,G32,100:100)-SUMIF(99:99,C32,100:100)+100</f>
        <v>100</v>
      </c>
      <c r="I32" s="3362"/>
      <c r="J32" s="3372">
        <f>SUMIF(99:99,I32,100:100)-SUMIF(99:99,C32,100:100)+100</f>
        <v>100</v>
      </c>
      <c r="K32" s="3365"/>
      <c r="L32" s="3368"/>
      <c r="M32" s="3316"/>
      <c r="N32" s="3316"/>
      <c r="O32" s="3316"/>
      <c r="P32" s="3988"/>
      <c r="Q32" s="3382">
        <f t="shared" si="11"/>
        <v>111</v>
      </c>
      <c r="R32" s="3383" t="s">
        <v>14</v>
      </c>
      <c r="S32" s="3384">
        <f t="shared" si="12"/>
        <v>100</v>
      </c>
      <c r="T32" s="3383" t="s">
        <v>14</v>
      </c>
      <c r="U32" s="3384">
        <f t="shared" si="13"/>
        <v>100</v>
      </c>
      <c r="V32" s="3383" t="s">
        <v>14</v>
      </c>
      <c r="W32" s="3384">
        <f t="shared" si="14"/>
        <v>100</v>
      </c>
      <c r="X32" s="3322"/>
      <c r="Y32" s="3990"/>
      <c r="Z32" s="3321">
        <f t="shared" si="15"/>
        <v>111</v>
      </c>
      <c r="AA32" s="3321">
        <f t="shared" si="3"/>
        <v>1</v>
      </c>
      <c r="AB32" s="3321">
        <f t="shared" si="4"/>
        <v>1</v>
      </c>
      <c r="AC32" s="3385">
        <f t="shared" si="5"/>
        <v>1</v>
      </c>
    </row>
    <row r="33" spans="1:29" ht="15">
      <c r="A33" s="3374" t="s">
        <v>1694</v>
      </c>
      <c r="B33" s="3342" t="s">
        <v>1736</v>
      </c>
      <c r="C33" s="3412"/>
      <c r="D33" s="3313">
        <v>100</v>
      </c>
      <c r="E33" s="3412"/>
      <c r="F33" s="3413">
        <f>SUMIF(101:101,E33,102:102)-SUMIF(101:101,C33,102:102)+100</f>
        <v>100</v>
      </c>
      <c r="G33" s="3412"/>
      <c r="H33" s="3367">
        <f>SUMIF(101:101,G33,102:102)-SUMIF(101:101,C33,102:102)+100</f>
        <v>100</v>
      </c>
      <c r="I33" s="3412"/>
      <c r="J33" s="3313">
        <f>SUMIF(101:101,I33,102:102)-SUMIF(101:101,C33,102:102)+100</f>
        <v>100</v>
      </c>
      <c r="K33" s="3358"/>
      <c r="L33" s="3368"/>
      <c r="M33" s="3316"/>
      <c r="N33" s="3316"/>
      <c r="O33" s="3316"/>
      <c r="P33" s="3991" t="s">
        <v>1696</v>
      </c>
      <c r="Q33" s="3382" t="str">
        <f t="shared" si="11"/>
        <v>建筑类型</v>
      </c>
      <c r="R33" s="3383" t="s">
        <v>14</v>
      </c>
      <c r="S33" s="3384">
        <f t="shared" si="12"/>
        <v>100</v>
      </c>
      <c r="T33" s="3383" t="s">
        <v>14</v>
      </c>
      <c r="U33" s="3384">
        <f t="shared" si="13"/>
        <v>100</v>
      </c>
      <c r="V33" s="3383" t="s">
        <v>14</v>
      </c>
      <c r="W33" s="3384">
        <f t="shared" si="14"/>
        <v>100</v>
      </c>
      <c r="X33" s="3322"/>
      <c r="Y33" s="3994" t="s">
        <v>1696</v>
      </c>
      <c r="Z33" s="3321" t="str">
        <f t="shared" si="15"/>
        <v>建筑类型</v>
      </c>
      <c r="AA33" s="3321">
        <f t="shared" si="3"/>
        <v>1</v>
      </c>
      <c r="AB33" s="3321">
        <f t="shared" si="4"/>
        <v>1</v>
      </c>
      <c r="AC33" s="3385">
        <f t="shared" si="5"/>
        <v>1</v>
      </c>
    </row>
    <row r="34" spans="1:29" s="3422" customFormat="1" ht="15">
      <c r="A34" s="3414"/>
      <c r="B34" s="3348" t="s">
        <v>1697</v>
      </c>
      <c r="C34" s="3415">
        <v>1435.93</v>
      </c>
      <c r="D34" s="3350">
        <v>100</v>
      </c>
      <c r="E34" s="3357">
        <v>300</v>
      </c>
      <c r="F34" s="3348">
        <f>LOOKUP(E34,104:104,105:105)-LOOKUP(C34,104:104,105:105)+100</f>
        <v>104</v>
      </c>
      <c r="G34" s="3356">
        <v>1880</v>
      </c>
      <c r="H34" s="3350">
        <f>LOOKUP(G34,104:104,105:105)-LOOKUP(C34,104:104,105:105)+100</f>
        <v>100</v>
      </c>
      <c r="I34" s="3356">
        <v>1473</v>
      </c>
      <c r="J34" s="3350">
        <f>LOOKUP(I34,104:104,105:105)-LOOKUP(C34,104:104,105:105)+100</f>
        <v>100</v>
      </c>
      <c r="K34" s="3365"/>
      <c r="L34" s="3359"/>
      <c r="M34" s="3416"/>
      <c r="N34" s="3416"/>
      <c r="O34" s="3416"/>
      <c r="P34" s="3992"/>
      <c r="Q34" s="3417" t="str">
        <f t="shared" si="11"/>
        <v>项目建筑规模</v>
      </c>
      <c r="R34" s="3418" t="s">
        <v>14</v>
      </c>
      <c r="S34" s="3419">
        <f t="shared" si="12"/>
        <v>104</v>
      </c>
      <c r="T34" s="3418" t="s">
        <v>14</v>
      </c>
      <c r="U34" s="3419">
        <f t="shared" si="13"/>
        <v>100</v>
      </c>
      <c r="V34" s="3418" t="s">
        <v>14</v>
      </c>
      <c r="W34" s="3419">
        <f t="shared" si="14"/>
        <v>100</v>
      </c>
      <c r="X34" s="3420"/>
      <c r="Y34" s="3994"/>
      <c r="Z34" s="3421" t="str">
        <f t="shared" si="15"/>
        <v>项目建筑规模</v>
      </c>
      <c r="AA34" s="3321">
        <f t="shared" si="3"/>
        <v>0.96153846153846156</v>
      </c>
      <c r="AB34" s="3321">
        <f t="shared" si="4"/>
        <v>1</v>
      </c>
      <c r="AC34" s="3385">
        <f t="shared" si="5"/>
        <v>1</v>
      </c>
    </row>
    <row r="35" spans="1:29" ht="15">
      <c r="A35" s="3423"/>
      <c r="B35" s="3348" t="s">
        <v>1698</v>
      </c>
      <c r="C35" s="3424" t="s">
        <v>3701</v>
      </c>
      <c r="D35" s="3367">
        <v>100</v>
      </c>
      <c r="E35" s="3424" t="s">
        <v>3701</v>
      </c>
      <c r="F35" s="3413">
        <f>SUMIF(106:106,E35,107:107)-SUMIF(106:106,C35,107:107)+100</f>
        <v>100</v>
      </c>
      <c r="G35" s="3424" t="s">
        <v>3701</v>
      </c>
      <c r="H35" s="3367">
        <f>SUMIF(106:106,G35,107:107)-SUMIF(106:106,C35,107:107)+100</f>
        <v>100</v>
      </c>
      <c r="I35" s="3424" t="s">
        <v>3701</v>
      </c>
      <c r="J35" s="3367">
        <f>SUMIF(106:106,I35,107:107)-SUMIF(106:106,C35,107:107)+100</f>
        <v>100</v>
      </c>
      <c r="K35" s="3358"/>
      <c r="L35" s="3368"/>
      <c r="M35" s="3316"/>
      <c r="N35" s="3316"/>
      <c r="O35" s="3316"/>
      <c r="P35" s="3992"/>
      <c r="Q35" s="3382" t="str">
        <f t="shared" si="11"/>
        <v>建筑结构</v>
      </c>
      <c r="R35" s="3383" t="s">
        <v>14</v>
      </c>
      <c r="S35" s="3384">
        <f t="shared" si="12"/>
        <v>100</v>
      </c>
      <c r="T35" s="3383" t="s">
        <v>14</v>
      </c>
      <c r="U35" s="3384">
        <f t="shared" si="13"/>
        <v>100</v>
      </c>
      <c r="V35" s="3383" t="s">
        <v>14</v>
      </c>
      <c r="W35" s="3384">
        <f t="shared" si="14"/>
        <v>100</v>
      </c>
      <c r="X35" s="3322"/>
      <c r="Y35" s="3994"/>
      <c r="Z35" s="3321" t="str">
        <f t="shared" si="15"/>
        <v>建筑结构</v>
      </c>
      <c r="AA35" s="3321">
        <f t="shared" si="3"/>
        <v>1</v>
      </c>
      <c r="AB35" s="3321">
        <f t="shared" si="4"/>
        <v>1</v>
      </c>
      <c r="AC35" s="3385">
        <f t="shared" si="5"/>
        <v>1</v>
      </c>
    </row>
    <row r="36" spans="1:29" ht="15">
      <c r="A36" s="3423"/>
      <c r="B36" s="3348" t="s">
        <v>1740</v>
      </c>
      <c r="C36" s="3424" t="s">
        <v>3743</v>
      </c>
      <c r="D36" s="3367">
        <v>100</v>
      </c>
      <c r="E36" s="3424" t="s">
        <v>3743</v>
      </c>
      <c r="F36" s="3413">
        <f>SUMIF(108:108,E36,109:109)-SUMIF(108:108,C36,109:109)+100</f>
        <v>100</v>
      </c>
      <c r="G36" s="3424" t="s">
        <v>3743</v>
      </c>
      <c r="H36" s="3367">
        <f>SUMIF(108:108,G36,109:109)-SUMIF(108:108,C36,109:109)+100</f>
        <v>100</v>
      </c>
      <c r="I36" s="3424" t="s">
        <v>3743</v>
      </c>
      <c r="J36" s="3367">
        <f>SUMIF(108:108,I36,109:109)-SUMIF(108:108,C36,109:109)+100</f>
        <v>100</v>
      </c>
      <c r="K36" s="3358"/>
      <c r="L36" s="3368"/>
      <c r="M36" s="3316"/>
      <c r="N36" s="3316"/>
      <c r="O36" s="3316"/>
      <c r="P36" s="3992"/>
      <c r="Q36" s="3382" t="str">
        <f t="shared" si="11"/>
        <v>公共部分装修</v>
      </c>
      <c r="R36" s="3383" t="s">
        <v>14</v>
      </c>
      <c r="S36" s="3384">
        <f t="shared" si="12"/>
        <v>100</v>
      </c>
      <c r="T36" s="3383" t="s">
        <v>14</v>
      </c>
      <c r="U36" s="3384">
        <f t="shared" si="13"/>
        <v>100</v>
      </c>
      <c r="V36" s="3383" t="s">
        <v>14</v>
      </c>
      <c r="W36" s="3384">
        <f t="shared" si="14"/>
        <v>100</v>
      </c>
      <c r="X36" s="3322"/>
      <c r="Y36" s="3994"/>
      <c r="Z36" s="3321" t="str">
        <f t="shared" si="15"/>
        <v>公共部分装修</v>
      </c>
      <c r="AA36" s="3321">
        <f t="shared" si="3"/>
        <v>1</v>
      </c>
      <c r="AB36" s="3321">
        <f t="shared" si="4"/>
        <v>1</v>
      </c>
      <c r="AC36" s="3385">
        <f t="shared" si="5"/>
        <v>1</v>
      </c>
    </row>
    <row r="37" spans="1:29" ht="15">
      <c r="A37" s="3423"/>
      <c r="B37" s="3348" t="s">
        <v>1190</v>
      </c>
      <c r="C37" s="3425">
        <v>1</v>
      </c>
      <c r="D37" s="3367">
        <v>100</v>
      </c>
      <c r="E37" s="3425">
        <v>1</v>
      </c>
      <c r="F37" s="3413">
        <f>LOOKUP(E37,111:111,112:112)-LOOKUP(C37,111:111,112:112)+100</f>
        <v>100</v>
      </c>
      <c r="G37" s="3425">
        <v>1</v>
      </c>
      <c r="H37" s="3413">
        <f>LOOKUP(G37,111:111,112:112)-LOOKUP(C37,111:111,112:112)+100</f>
        <v>100</v>
      </c>
      <c r="I37" s="3425">
        <v>1</v>
      </c>
      <c r="J37" s="3367">
        <f>LOOKUP(I37,111:111,112:112)-LOOKUP(C37,111:111,112:112)+100</f>
        <v>100</v>
      </c>
      <c r="K37" s="3358"/>
      <c r="L37" s="3368"/>
      <c r="M37" s="3316"/>
      <c r="N37" s="3316"/>
      <c r="O37" s="3316"/>
      <c r="P37" s="3992"/>
      <c r="Q37" s="3382" t="str">
        <f t="shared" si="11"/>
        <v>成新度</v>
      </c>
      <c r="R37" s="3383" t="s">
        <v>14</v>
      </c>
      <c r="S37" s="3384">
        <f t="shared" si="12"/>
        <v>100</v>
      </c>
      <c r="T37" s="3383" t="s">
        <v>14</v>
      </c>
      <c r="U37" s="3384">
        <f t="shared" si="13"/>
        <v>100</v>
      </c>
      <c r="V37" s="3383" t="s">
        <v>14</v>
      </c>
      <c r="W37" s="3384">
        <f t="shared" si="14"/>
        <v>100</v>
      </c>
      <c r="X37" s="3322"/>
      <c r="Y37" s="3994"/>
      <c r="Z37" s="3321" t="str">
        <f t="shared" si="15"/>
        <v>成新度</v>
      </c>
      <c r="AA37" s="3321">
        <f t="shared" si="3"/>
        <v>1</v>
      </c>
      <c r="AB37" s="3321">
        <f t="shared" si="4"/>
        <v>1</v>
      </c>
      <c r="AC37" s="3385">
        <f t="shared" si="5"/>
        <v>1</v>
      </c>
    </row>
    <row r="38" spans="1:29" s="3339" customFormat="1" ht="15">
      <c r="A38" s="3426"/>
      <c r="B38" s="3348" t="s">
        <v>1824</v>
      </c>
      <c r="C38" s="3424" t="s">
        <v>3744</v>
      </c>
      <c r="D38" s="3350">
        <v>100</v>
      </c>
      <c r="E38" s="3424" t="s">
        <v>3744</v>
      </c>
      <c r="F38" s="3413">
        <f>SUMIF(113:113,E38,114:114)-SUMIF(113:113,C38,114:114)+100</f>
        <v>100</v>
      </c>
      <c r="G38" s="3424" t="s">
        <v>3744</v>
      </c>
      <c r="H38" s="3367">
        <f>SUMIF(113:113,G38,114:114)-SUMIF(113:113,C38,114:114)+100</f>
        <v>100</v>
      </c>
      <c r="I38" s="3424" t="s">
        <v>3744</v>
      </c>
      <c r="J38" s="3367">
        <f>SUMIF(113:113,I38,114:114)-SUMIF(113:113,C38,114:114)+100</f>
        <v>100</v>
      </c>
      <c r="K38" s="3358"/>
      <c r="L38" s="3332"/>
      <c r="M38" s="3333"/>
      <c r="N38" s="3333"/>
      <c r="O38" s="3333"/>
      <c r="P38" s="3992"/>
      <c r="Q38" s="3346" t="str">
        <f t="shared" si="11"/>
        <v>写字楼等级</v>
      </c>
      <c r="R38" s="3334" t="s">
        <v>14</v>
      </c>
      <c r="S38" s="3335">
        <f t="shared" si="12"/>
        <v>100</v>
      </c>
      <c r="T38" s="3334" t="s">
        <v>14</v>
      </c>
      <c r="U38" s="3335">
        <f t="shared" si="13"/>
        <v>100</v>
      </c>
      <c r="V38" s="3334" t="s">
        <v>14</v>
      </c>
      <c r="W38" s="3335">
        <f t="shared" si="14"/>
        <v>100</v>
      </c>
      <c r="X38" s="3336"/>
      <c r="Y38" s="3994"/>
      <c r="Z38" s="3337" t="str">
        <f t="shared" si="15"/>
        <v>写字楼等级</v>
      </c>
      <c r="AA38" s="3337">
        <f t="shared" si="3"/>
        <v>1</v>
      </c>
      <c r="AB38" s="3337">
        <f t="shared" si="4"/>
        <v>1</v>
      </c>
      <c r="AC38" s="3338">
        <f t="shared" si="5"/>
        <v>1</v>
      </c>
    </row>
    <row r="39" spans="1:29" ht="15">
      <c r="A39" s="3423"/>
      <c r="B39" s="3348" t="s">
        <v>1741</v>
      </c>
      <c r="C39" s="3424" t="s">
        <v>3745</v>
      </c>
      <c r="D39" s="3367">
        <v>100</v>
      </c>
      <c r="E39" s="3424" t="s">
        <v>3745</v>
      </c>
      <c r="F39" s="3413">
        <f>SUMIF(115:115,E39,116:116)-SUMIF(115:115,C39,116:116)+100</f>
        <v>100</v>
      </c>
      <c r="G39" s="3424" t="s">
        <v>3745</v>
      </c>
      <c r="H39" s="3367">
        <f>SUMIF(115:115,G39,116:116)-SUMIF(115:115,C39,116:116)+100</f>
        <v>100</v>
      </c>
      <c r="I39" s="3424" t="s">
        <v>3745</v>
      </c>
      <c r="J39" s="3367">
        <f>SUMIF(115:115,I39,116:116)-SUMIF(115:115,C39,116:116)+100</f>
        <v>100</v>
      </c>
      <c r="K39" s="3358"/>
      <c r="L39" s="3368"/>
      <c r="M39" s="3316"/>
      <c r="N39" s="3316"/>
      <c r="O39" s="3316"/>
      <c r="P39" s="3992" t="s">
        <v>1696</v>
      </c>
      <c r="Q39" s="3382" t="str">
        <f t="shared" si="11"/>
        <v>物业管理</v>
      </c>
      <c r="R39" s="3383" t="s">
        <v>14</v>
      </c>
      <c r="S39" s="3384">
        <f t="shared" si="12"/>
        <v>100</v>
      </c>
      <c r="T39" s="3383" t="s">
        <v>14</v>
      </c>
      <c r="U39" s="3384">
        <f t="shared" si="13"/>
        <v>100</v>
      </c>
      <c r="V39" s="3383" t="s">
        <v>14</v>
      </c>
      <c r="W39" s="3384">
        <f t="shared" si="14"/>
        <v>100</v>
      </c>
      <c r="X39" s="3322"/>
      <c r="Y39" s="3994" t="s">
        <v>1696</v>
      </c>
      <c r="Z39" s="3321" t="str">
        <f t="shared" si="15"/>
        <v>物业管理</v>
      </c>
      <c r="AA39" s="3321">
        <f t="shared" si="3"/>
        <v>1</v>
      </c>
      <c r="AB39" s="3321">
        <f t="shared" si="4"/>
        <v>1</v>
      </c>
      <c r="AC39" s="3385">
        <f t="shared" si="5"/>
        <v>1</v>
      </c>
    </row>
    <row r="40" spans="1:29" ht="15">
      <c r="A40" s="3423"/>
      <c r="B40" s="3348" t="s">
        <v>1742</v>
      </c>
      <c r="C40" s="3424"/>
      <c r="D40" s="3367">
        <v>100</v>
      </c>
      <c r="E40" s="3424"/>
      <c r="F40" s="3413">
        <f>SUMIF(117:117,E40,118:118)-SUMIF(117:117,C40,118:118)+100</f>
        <v>100</v>
      </c>
      <c r="G40" s="3424"/>
      <c r="H40" s="3367">
        <f>SUMIF(117:117,G40,118:118)-SUMIF(117:117,C40,118:118)+100</f>
        <v>100</v>
      </c>
      <c r="I40" s="3424"/>
      <c r="J40" s="3367">
        <f>SUMIF(117:117,I40,118:118)-SUMIF(117:117,C40,118:118)+100</f>
        <v>100</v>
      </c>
      <c r="K40" s="3358"/>
      <c r="L40" s="3368"/>
      <c r="M40" s="3316"/>
      <c r="N40" s="3316"/>
      <c r="O40" s="3316"/>
      <c r="P40" s="3992"/>
      <c r="Q40" s="3382" t="str">
        <f t="shared" si="11"/>
        <v>市政基础设施</v>
      </c>
      <c r="R40" s="3383" t="s">
        <v>14</v>
      </c>
      <c r="S40" s="3384">
        <f t="shared" si="12"/>
        <v>100</v>
      </c>
      <c r="T40" s="3383" t="s">
        <v>14</v>
      </c>
      <c r="U40" s="3384">
        <f t="shared" si="13"/>
        <v>100</v>
      </c>
      <c r="V40" s="3383" t="s">
        <v>14</v>
      </c>
      <c r="W40" s="3384">
        <f t="shared" si="14"/>
        <v>100</v>
      </c>
      <c r="X40" s="3322"/>
      <c r="Y40" s="3994"/>
      <c r="Z40" s="3321" t="str">
        <f t="shared" si="15"/>
        <v>市政基础设施</v>
      </c>
      <c r="AA40" s="3321">
        <f t="shared" si="3"/>
        <v>1</v>
      </c>
      <c r="AB40" s="3321">
        <f t="shared" si="4"/>
        <v>1</v>
      </c>
      <c r="AC40" s="3385">
        <f t="shared" si="5"/>
        <v>1</v>
      </c>
    </row>
    <row r="41" spans="1:29" ht="15" hidden="1">
      <c r="A41" s="3423"/>
      <c r="B41" s="3348" t="s">
        <v>1807</v>
      </c>
      <c r="C41" s="3405"/>
      <c r="D41" s="3367">
        <v>100</v>
      </c>
      <c r="E41" s="3405"/>
      <c r="F41" s="3413">
        <f>SUMIF(119:119,E41,120:120)-SUMIF(119:119,C41,120:120)+100</f>
        <v>100</v>
      </c>
      <c r="G41" s="3405"/>
      <c r="H41" s="3367">
        <f>SUMIF(119:119,G41,120:120)-SUMIF(119:119,C41,120:120)+100</f>
        <v>100</v>
      </c>
      <c r="I41" s="3405"/>
      <c r="J41" s="3367">
        <f>SUMIF(119:119,I41,120:120)-SUMIF(119:119,C41,120:120)+100</f>
        <v>100</v>
      </c>
      <c r="K41" s="3358"/>
      <c r="L41" s="3368"/>
      <c r="M41" s="3316"/>
      <c r="N41" s="3316"/>
      <c r="O41" s="3316"/>
      <c r="P41" s="3992"/>
      <c r="Q41" s="3382" t="str">
        <f t="shared" si="11"/>
        <v>层高</v>
      </c>
      <c r="R41" s="3383" t="s">
        <v>14</v>
      </c>
      <c r="S41" s="3384">
        <f t="shared" si="12"/>
        <v>100</v>
      </c>
      <c r="T41" s="3383" t="s">
        <v>14</v>
      </c>
      <c r="U41" s="3384">
        <f t="shared" si="13"/>
        <v>100</v>
      </c>
      <c r="V41" s="3383" t="s">
        <v>14</v>
      </c>
      <c r="W41" s="3384">
        <f t="shared" si="14"/>
        <v>100</v>
      </c>
      <c r="X41" s="3322"/>
      <c r="Y41" s="3994"/>
      <c r="Z41" s="3321" t="str">
        <f t="shared" si="15"/>
        <v>层高</v>
      </c>
      <c r="AA41" s="3321">
        <f t="shared" si="3"/>
        <v>1</v>
      </c>
      <c r="AB41" s="3321">
        <f t="shared" si="4"/>
        <v>1</v>
      </c>
      <c r="AC41" s="3385">
        <f t="shared" si="5"/>
        <v>1</v>
      </c>
    </row>
    <row r="42" spans="1:29" s="3422" customFormat="1" ht="15" hidden="1">
      <c r="A42" s="3414"/>
      <c r="B42" s="3413" t="s">
        <v>1820</v>
      </c>
      <c r="C42" s="3366"/>
      <c r="D42" s="3367">
        <v>100</v>
      </c>
      <c r="E42" s="3366"/>
      <c r="F42" s="3413">
        <f>SUMIF(121:121,E42,122:122)-SUMIF(121:121,C42,122:122)+100</f>
        <v>100</v>
      </c>
      <c r="G42" s="3366"/>
      <c r="H42" s="3367">
        <f>SUMIF(121:121,G42,122:122)-SUMIF(121:121,C42,122:122)+100</f>
        <v>100</v>
      </c>
      <c r="I42" s="3366"/>
      <c r="J42" s="3367">
        <f>SUMIF(121:121,I42,122:122)-SUMIF(121:121,C42,122:122)+100</f>
        <v>100</v>
      </c>
      <c r="K42" s="3365"/>
      <c r="L42" s="3359"/>
      <c r="M42" s="3416"/>
      <c r="N42" s="3416"/>
      <c r="O42" s="3416"/>
      <c r="P42" s="3992"/>
      <c r="Q42" s="3417" t="str">
        <f t="shared" si="11"/>
        <v>单套建筑面积</v>
      </c>
      <c r="R42" s="3418" t="s">
        <v>14</v>
      </c>
      <c r="S42" s="3419">
        <f t="shared" si="12"/>
        <v>100</v>
      </c>
      <c r="T42" s="3418" t="s">
        <v>14</v>
      </c>
      <c r="U42" s="3419">
        <f t="shared" si="13"/>
        <v>100</v>
      </c>
      <c r="V42" s="3418" t="s">
        <v>14</v>
      </c>
      <c r="W42" s="3419">
        <f t="shared" si="14"/>
        <v>100</v>
      </c>
      <c r="X42" s="3420"/>
      <c r="Y42" s="3994"/>
      <c r="Z42" s="3421" t="str">
        <f t="shared" si="15"/>
        <v>单套建筑面积</v>
      </c>
      <c r="AA42" s="3321">
        <f t="shared" si="3"/>
        <v>1</v>
      </c>
      <c r="AB42" s="3321">
        <f t="shared" si="4"/>
        <v>1</v>
      </c>
      <c r="AC42" s="3385">
        <f t="shared" si="5"/>
        <v>1</v>
      </c>
    </row>
    <row r="43" spans="1:29" ht="15" hidden="1">
      <c r="A43" s="3423"/>
      <c r="B43" s="3348" t="s">
        <v>1744</v>
      </c>
      <c r="C43" s="3424"/>
      <c r="D43" s="3367">
        <v>100</v>
      </c>
      <c r="E43" s="3424"/>
      <c r="F43" s="3413">
        <f>SUMIF(123:123,E43,124:124)-SUMIF(123:123,C43,124:124)+100</f>
        <v>100</v>
      </c>
      <c r="G43" s="3424"/>
      <c r="H43" s="3367">
        <f>SUMIF(123:123,G43,124:124)-SUMIF(123:123,C43,124:124)+100</f>
        <v>100</v>
      </c>
      <c r="I43" s="3424"/>
      <c r="J43" s="3367">
        <f>SUMIF(123:123,I43,124:124)-SUMIF(123:123,C43,124:124)+100</f>
        <v>100</v>
      </c>
      <c r="K43" s="3358"/>
      <c r="L43" s="3368"/>
      <c r="M43" s="3316"/>
      <c r="N43" s="3316"/>
      <c r="O43" s="3316"/>
      <c r="P43" s="3992"/>
      <c r="Q43" s="3382" t="str">
        <f t="shared" si="11"/>
        <v>内部装修</v>
      </c>
      <c r="R43" s="3383" t="s">
        <v>14</v>
      </c>
      <c r="S43" s="3384">
        <f t="shared" si="12"/>
        <v>100</v>
      </c>
      <c r="T43" s="3383" t="s">
        <v>14</v>
      </c>
      <c r="U43" s="3384">
        <f t="shared" si="13"/>
        <v>100</v>
      </c>
      <c r="V43" s="3383" t="s">
        <v>14</v>
      </c>
      <c r="W43" s="3384">
        <f t="shared" si="14"/>
        <v>100</v>
      </c>
      <c r="X43" s="3322"/>
      <c r="Y43" s="3994"/>
      <c r="Z43" s="3321" t="str">
        <f t="shared" si="15"/>
        <v>内部装修</v>
      </c>
      <c r="AA43" s="3321">
        <f t="shared" si="3"/>
        <v>1</v>
      </c>
      <c r="AB43" s="3321">
        <f t="shared" si="4"/>
        <v>1</v>
      </c>
      <c r="AC43" s="3385">
        <f t="shared" si="5"/>
        <v>1</v>
      </c>
    </row>
    <row r="44" spans="1:29" ht="15.75" thickBot="1">
      <c r="A44" s="3423"/>
      <c r="B44" s="3348" t="s">
        <v>1707</v>
      </c>
      <c r="C44" s="3424" t="s">
        <v>3725</v>
      </c>
      <c r="D44" s="3367">
        <v>100</v>
      </c>
      <c r="E44" s="3424" t="s">
        <v>3725</v>
      </c>
      <c r="F44" s="3413">
        <f>SUMIF(125:125,E44,126:126)-SUMIF(125:125,C44,126:126)+100</f>
        <v>100</v>
      </c>
      <c r="G44" s="3424" t="s">
        <v>3725</v>
      </c>
      <c r="H44" s="3367">
        <f>SUMIF(125:125,G44,126:126)-SUMIF(125:125,C44,126:126)+100</f>
        <v>100</v>
      </c>
      <c r="I44" s="3424" t="s">
        <v>3725</v>
      </c>
      <c r="J44" s="3367">
        <f>SUMIF(125:125,I44,126:126)-SUMIF(125:125,C44,126:126)+100</f>
        <v>100</v>
      </c>
      <c r="K44" s="3358"/>
      <c r="L44" s="3368"/>
      <c r="M44" s="3316"/>
      <c r="N44" s="3316"/>
      <c r="O44" s="3316"/>
      <c r="P44" s="3992"/>
      <c r="Q44" s="3382" t="str">
        <f t="shared" si="11"/>
        <v>内部装修维护情况</v>
      </c>
      <c r="R44" s="3383" t="s">
        <v>14</v>
      </c>
      <c r="S44" s="3384">
        <f t="shared" si="12"/>
        <v>100</v>
      </c>
      <c r="T44" s="3383" t="s">
        <v>14</v>
      </c>
      <c r="U44" s="3384">
        <f t="shared" si="13"/>
        <v>100</v>
      </c>
      <c r="V44" s="3383" t="s">
        <v>14</v>
      </c>
      <c r="W44" s="3384">
        <f t="shared" si="14"/>
        <v>100</v>
      </c>
      <c r="X44" s="3322"/>
      <c r="Y44" s="3994"/>
      <c r="Z44" s="3321" t="str">
        <f t="shared" si="15"/>
        <v>内部装修维护情况</v>
      </c>
      <c r="AA44" s="3321">
        <f t="shared" si="3"/>
        <v>1</v>
      </c>
      <c r="AB44" s="3321">
        <f t="shared" si="4"/>
        <v>1</v>
      </c>
      <c r="AC44" s="3385">
        <f t="shared" si="5"/>
        <v>1</v>
      </c>
    </row>
    <row r="45" spans="1:29" s="3339" customFormat="1" ht="15.75" hidden="1" thickBot="1">
      <c r="A45" s="3426"/>
      <c r="B45" s="3636" t="s">
        <v>3814</v>
      </c>
      <c r="C45" s="3415">
        <v>2001</v>
      </c>
      <c r="D45" s="3350">
        <v>100</v>
      </c>
      <c r="E45" s="3362">
        <v>2001</v>
      </c>
      <c r="F45" s="3348">
        <f>SUMIF(127:127,E45,128:128)-SUMIF(127:127,C45,128:128)+100</f>
        <v>100</v>
      </c>
      <c r="G45" s="3362">
        <v>2001</v>
      </c>
      <c r="H45" s="3350">
        <f>SUMIF(127:127,G45,128:128)-SUMIF(127:127,C45,128:128)+100</f>
        <v>100</v>
      </c>
      <c r="I45" s="3362">
        <v>2001</v>
      </c>
      <c r="J45" s="3350">
        <f>SUMIF(127:127,I45,128:128)-SUMIF(127:127,C45,128:128)+100</f>
        <v>100</v>
      </c>
      <c r="K45" s="3365"/>
      <c r="L45" s="3332"/>
      <c r="M45" s="3333"/>
      <c r="N45" s="3333"/>
      <c r="O45" s="3333"/>
      <c r="P45" s="3992"/>
      <c r="Q45" s="3346" t="str">
        <f t="shared" si="11"/>
        <v>建成年份</v>
      </c>
      <c r="R45" s="3334" t="s">
        <v>14</v>
      </c>
      <c r="S45" s="3335">
        <f t="shared" si="12"/>
        <v>100</v>
      </c>
      <c r="T45" s="3334" t="s">
        <v>14</v>
      </c>
      <c r="U45" s="3335">
        <f t="shared" si="13"/>
        <v>100</v>
      </c>
      <c r="V45" s="3334" t="s">
        <v>14</v>
      </c>
      <c r="W45" s="3335">
        <f t="shared" si="14"/>
        <v>100</v>
      </c>
      <c r="X45" s="3336"/>
      <c r="Y45" s="3994"/>
      <c r="Z45" s="3337" t="str">
        <f t="shared" si="15"/>
        <v>建成年份</v>
      </c>
      <c r="AA45" s="3337">
        <f t="shared" si="3"/>
        <v>1</v>
      </c>
      <c r="AB45" s="3337">
        <f t="shared" si="4"/>
        <v>1</v>
      </c>
      <c r="AC45" s="3338">
        <f t="shared" si="5"/>
        <v>1</v>
      </c>
    </row>
    <row r="46" spans="1:29" ht="15.75" hidden="1" thickBot="1">
      <c r="A46" s="3423"/>
      <c r="B46" s="3427">
        <v>111</v>
      </c>
      <c r="C46" s="3366"/>
      <c r="D46" s="3367">
        <v>100</v>
      </c>
      <c r="E46" s="3362"/>
      <c r="F46" s="3413">
        <f>SUMIF(129:129,E46,130:130)-SUMIF(129:129,C46,130:130)+100</f>
        <v>100</v>
      </c>
      <c r="G46" s="3362"/>
      <c r="H46" s="3367">
        <f>SUMIF(129:129,G46,130:130)-SUMIF(129:129,C46,130:130)+100</f>
        <v>100</v>
      </c>
      <c r="I46" s="3362"/>
      <c r="J46" s="3367">
        <f>SUMIF(129:129,I46,130:130)-SUMIF(129:129,C46,130:130)+100</f>
        <v>100</v>
      </c>
      <c r="K46" s="3365"/>
      <c r="L46" s="3368"/>
      <c r="M46" s="3316"/>
      <c r="N46" s="3316"/>
      <c r="O46" s="3316"/>
      <c r="P46" s="3992"/>
      <c r="Q46" s="3382">
        <f t="shared" si="11"/>
        <v>111</v>
      </c>
      <c r="R46" s="3383" t="s">
        <v>14</v>
      </c>
      <c r="S46" s="3384">
        <f t="shared" si="12"/>
        <v>100</v>
      </c>
      <c r="T46" s="3383" t="s">
        <v>14</v>
      </c>
      <c r="U46" s="3384">
        <f t="shared" si="13"/>
        <v>100</v>
      </c>
      <c r="V46" s="3383" t="s">
        <v>14</v>
      </c>
      <c r="W46" s="3384">
        <f t="shared" si="14"/>
        <v>100</v>
      </c>
      <c r="X46" s="3322"/>
      <c r="Y46" s="3994"/>
      <c r="Z46" s="3321">
        <f t="shared" si="15"/>
        <v>111</v>
      </c>
      <c r="AA46" s="3321">
        <f t="shared" si="3"/>
        <v>1</v>
      </c>
      <c r="AB46" s="3321">
        <f t="shared" si="4"/>
        <v>1</v>
      </c>
      <c r="AC46" s="3385">
        <f t="shared" si="5"/>
        <v>1</v>
      </c>
    </row>
    <row r="47" spans="1:29" ht="15.75" hidden="1" thickBot="1">
      <c r="A47" s="3428"/>
      <c r="B47" s="3370">
        <v>111</v>
      </c>
      <c r="C47" s="3371"/>
      <c r="D47" s="3372">
        <v>100</v>
      </c>
      <c r="E47" s="3362"/>
      <c r="F47" s="3429">
        <f>SUMIF(131:131,E47,132:132)-SUMIF(131:131,C47,132:132)+100</f>
        <v>100</v>
      </c>
      <c r="G47" s="3362"/>
      <c r="H47" s="3372">
        <f>SUMIF(131:131,G47,132:132)-SUMIF(131:131,C47,132:132)+100</f>
        <v>100</v>
      </c>
      <c r="I47" s="3362"/>
      <c r="J47" s="3372">
        <f>SUMIF(131:131,I47,132:132)-SUMIF(131:131,C47,132:132)+100</f>
        <v>100</v>
      </c>
      <c r="K47" s="3365"/>
      <c r="L47" s="3368"/>
      <c r="M47" s="3316"/>
      <c r="N47" s="3316"/>
      <c r="O47" s="3316"/>
      <c r="P47" s="3993"/>
      <c r="Q47" s="3382">
        <f t="shared" si="11"/>
        <v>111</v>
      </c>
      <c r="R47" s="3383" t="s">
        <v>14</v>
      </c>
      <c r="S47" s="3384">
        <f t="shared" si="12"/>
        <v>100</v>
      </c>
      <c r="T47" s="3383" t="s">
        <v>14</v>
      </c>
      <c r="U47" s="3384">
        <f t="shared" si="13"/>
        <v>100</v>
      </c>
      <c r="V47" s="3383" t="s">
        <v>14</v>
      </c>
      <c r="W47" s="3384">
        <f t="shared" si="14"/>
        <v>100</v>
      </c>
      <c r="X47" s="3322"/>
      <c r="Y47" s="3995"/>
      <c r="Z47" s="3321">
        <f t="shared" si="15"/>
        <v>111</v>
      </c>
      <c r="AA47" s="3321">
        <f t="shared" si="3"/>
        <v>1</v>
      </c>
      <c r="AB47" s="3321">
        <f t="shared" si="4"/>
        <v>1</v>
      </c>
      <c r="AC47" s="3385">
        <f t="shared" si="5"/>
        <v>1</v>
      </c>
    </row>
    <row r="48" spans="1:29" ht="15">
      <c r="A48" s="3430" t="s">
        <v>1708</v>
      </c>
      <c r="B48" s="3431"/>
      <c r="C48" s="3432" t="s">
        <v>0</v>
      </c>
      <c r="D48" s="3433"/>
      <c r="E48" s="3434">
        <v>36000</v>
      </c>
      <c r="F48" s="3435"/>
      <c r="G48" s="3436">
        <v>36702</v>
      </c>
      <c r="H48" s="3437"/>
      <c r="I48" s="3434">
        <v>35003</v>
      </c>
      <c r="J48" s="3437"/>
      <c r="K48" s="3438"/>
      <c r="L48" s="3439"/>
      <c r="M48" s="3316"/>
      <c r="N48" s="3316"/>
      <c r="O48" s="3316"/>
      <c r="P48" s="3985" t="str">
        <f>A48</f>
        <v>成交单价（元/平方米）</v>
      </c>
      <c r="Q48" s="3996"/>
      <c r="R48" s="3977">
        <f>E48</f>
        <v>36000</v>
      </c>
      <c r="S48" s="3977"/>
      <c r="T48" s="3977">
        <f>G48</f>
        <v>36702</v>
      </c>
      <c r="U48" s="3977"/>
      <c r="V48" s="3977">
        <f>I48</f>
        <v>35003</v>
      </c>
      <c r="W48" s="3977"/>
      <c r="X48" s="3440"/>
      <c r="Y48" s="3441"/>
      <c r="Z48" s="3440"/>
      <c r="AA48" s="3440"/>
      <c r="AB48" s="3440"/>
      <c r="AC48" s="3386"/>
    </row>
    <row r="49" spans="1:29" ht="15.75" thickBot="1">
      <c r="A49" s="3442" t="s">
        <v>1709</v>
      </c>
      <c r="B49" s="3443"/>
      <c r="C49" s="3444">
        <f>R50</f>
        <v>35438</v>
      </c>
      <c r="D49" s="3445" t="s">
        <v>2138</v>
      </c>
      <c r="E49" s="3446">
        <f>R49</f>
        <v>34615</v>
      </c>
      <c r="F49" s="3447"/>
      <c r="G49" s="3444">
        <f>T49</f>
        <v>35982</v>
      </c>
      <c r="H49" s="3447"/>
      <c r="I49" s="3446">
        <f>V49</f>
        <v>35717</v>
      </c>
      <c r="J49" s="3447"/>
      <c r="K49" s="3448">
        <f>F49+H49+J49</f>
        <v>0</v>
      </c>
      <c r="L49" s="3439"/>
      <c r="M49" s="3316"/>
      <c r="N49" s="3316"/>
      <c r="O49" s="3316"/>
      <c r="P49" s="3985" t="str">
        <f>A49</f>
        <v>比较价值（元/平方米）</v>
      </c>
      <c r="Q49" s="3996"/>
      <c r="R49" s="3977">
        <f>IF(F1="售价",ROUND(PRODUCT(R48,AA7:AA47),0),ROUND(PRODUCT(R48,AA7:AA47),1))</f>
        <v>34615</v>
      </c>
      <c r="S49" s="3977"/>
      <c r="T49" s="3977">
        <f>IF(F1="售价",ROUND(PRODUCT(T48,AB7:AB47),0),ROUND(PRODUCT(T48,AB7:AB47),1))</f>
        <v>35982</v>
      </c>
      <c r="U49" s="3977"/>
      <c r="V49" s="3977">
        <f>IF(F1="售价",ROUND(PRODUCT(V48,AC7:AC47),0),ROUND(PRODUCT(V48,AC7:AC47),1))</f>
        <v>35717</v>
      </c>
      <c r="W49" s="3977"/>
      <c r="X49" s="3440"/>
      <c r="Y49" s="3440"/>
      <c r="Z49" s="3440"/>
      <c r="AA49" s="3440"/>
      <c r="AB49" s="3440"/>
      <c r="AC49" s="3386"/>
    </row>
    <row r="50" spans="1:29" ht="15.75" thickBot="1">
      <c r="A50" s="3449" t="s">
        <v>1710</v>
      </c>
      <c r="B50" s="3450"/>
      <c r="C50" s="3324">
        <f>R50</f>
        <v>35438</v>
      </c>
      <c r="D50" s="3324"/>
      <c r="E50" s="3324"/>
      <c r="F50" s="3324"/>
      <c r="G50" s="3324"/>
      <c r="H50" s="3324"/>
      <c r="I50" s="3324"/>
      <c r="J50" s="3451"/>
      <c r="K50" s="3452"/>
      <c r="L50" s="3439"/>
      <c r="M50" s="3316"/>
      <c r="N50" s="3316"/>
      <c r="O50" s="3316"/>
      <c r="P50" s="3997" t="str">
        <f>A50</f>
        <v>估价对象XX用房的比较价值（楼面单价，元/平方米）</v>
      </c>
      <c r="Q50" s="3998"/>
      <c r="R50" s="3999">
        <f>IF(F1="售价",ROUND(IF(D49="简单平均",AVERAGE(R49:V49),R49*F49+T49*H49+V49*J49),0),ROUND(IF(D49="简单平均",AVERAGE(R49:V49),R49*F49+T49*H49+V49*J49),1))</f>
        <v>35438</v>
      </c>
      <c r="S50" s="3999"/>
      <c r="T50" s="3999"/>
      <c r="U50" s="3999"/>
      <c r="V50" s="3999"/>
      <c r="W50" s="3999"/>
      <c r="X50" s="3453"/>
      <c r="Y50" s="3453"/>
      <c r="Z50" s="3453"/>
      <c r="AA50" s="3453"/>
      <c r="AB50" s="3453"/>
      <c r="AC50" s="3454"/>
    </row>
    <row r="51" spans="1:29">
      <c r="A51" s="3316"/>
      <c r="B51" s="3316"/>
      <c r="C51" s="3316"/>
      <c r="D51" s="3316"/>
      <c r="E51" s="3316"/>
      <c r="F51" s="3316"/>
      <c r="G51" s="3455"/>
      <c r="H51" s="3316"/>
      <c r="I51" s="3316"/>
      <c r="J51" s="3316"/>
      <c r="K51" s="3456"/>
      <c r="L51" s="3457"/>
      <c r="M51" s="3316"/>
      <c r="N51" s="3316"/>
      <c r="O51" s="3316"/>
      <c r="P51" s="3458"/>
      <c r="Q51" s="3316"/>
      <c r="R51" s="3316"/>
      <c r="S51" s="3316"/>
      <c r="T51" s="3316"/>
      <c r="U51" s="3316"/>
      <c r="V51" s="3316"/>
      <c r="W51" s="3316"/>
      <c r="X51" s="3316"/>
      <c r="Y51" s="3316"/>
      <c r="Z51" s="3316"/>
      <c r="AA51" s="3316"/>
      <c r="AB51" s="3316"/>
      <c r="AC51" s="3316"/>
    </row>
    <row r="52" spans="1:29">
      <c r="A52" s="3316"/>
      <c r="B52" s="3316"/>
      <c r="C52" s="3316"/>
      <c r="D52" s="3316"/>
      <c r="E52" s="3316"/>
      <c r="F52" s="3316"/>
      <c r="G52" s="3316"/>
      <c r="H52" s="3316"/>
      <c r="I52" s="3316"/>
      <c r="J52" s="3316"/>
      <c r="K52" s="3456"/>
      <c r="L52" s="3457"/>
      <c r="M52" s="3316"/>
      <c r="N52" s="3316"/>
      <c r="O52" s="3316"/>
      <c r="P52" s="3458"/>
      <c r="Q52" s="3316"/>
      <c r="R52" s="3316"/>
      <c r="S52" s="3316"/>
      <c r="T52" s="3316"/>
      <c r="U52" s="3316"/>
      <c r="V52" s="3316"/>
      <c r="W52" s="3316"/>
      <c r="X52" s="3316"/>
      <c r="Y52" s="3316"/>
      <c r="Z52" s="3316"/>
      <c r="AA52" s="3316"/>
      <c r="AB52" s="3316"/>
      <c r="AC52" s="3316"/>
    </row>
    <row r="53" spans="1:29" ht="13.5" customHeight="1">
      <c r="A53" s="3316"/>
      <c r="B53" s="3316"/>
      <c r="C53" s="3459" t="s">
        <v>1711</v>
      </c>
      <c r="D53" s="3460"/>
      <c r="E53" s="3461">
        <f>IF(E48&lt;E49,E49/E48-1,E48/E49-1)</f>
        <v>4.0011555683951983E-2</v>
      </c>
      <c r="F53" s="3462" t="str">
        <f>IF(OR(E53&gt;=0.3,E53&lt;=-0.3),"超过30%","")</f>
        <v/>
      </c>
      <c r="G53" s="3461">
        <f>IF(G48&lt;G49,G49/G48-1,G48/G49-1)</f>
        <v>2.0010005002501163E-2</v>
      </c>
      <c r="H53" s="3462" t="str">
        <f>IF(OR(G53&gt;=0.3,G53&lt;=-0.3),"超过30%","")</f>
        <v/>
      </c>
      <c r="I53" s="3461">
        <f>IF(I48&lt;I49,I49/I48-1,I48/I49-1)</f>
        <v>2.0398251578436222E-2</v>
      </c>
      <c r="J53" s="3462" t="str">
        <f>IF(OR(I53&gt;=0.3,I53&lt;=-0.3),"超过30%","")</f>
        <v/>
      </c>
      <c r="K53" s="3456"/>
      <c r="L53" s="3457"/>
      <c r="M53" s="3316"/>
      <c r="N53" s="3316"/>
      <c r="O53" s="3316"/>
      <c r="P53" s="3458"/>
      <c r="Q53" s="3316"/>
      <c r="R53" s="3316"/>
      <c r="S53" s="3316"/>
      <c r="T53" s="3316"/>
      <c r="U53" s="3316"/>
      <c r="V53" s="3316"/>
      <c r="W53" s="3316"/>
      <c r="X53" s="3316"/>
      <c r="Y53" s="3316"/>
      <c r="Z53" s="3316"/>
      <c r="AA53" s="3316"/>
      <c r="AB53" s="3316"/>
      <c r="AC53" s="3316"/>
    </row>
    <row r="54" spans="1:29" ht="13.5" customHeight="1">
      <c r="A54" s="3316"/>
      <c r="B54" s="3316"/>
      <c r="C54" s="3459" t="s">
        <v>1712</v>
      </c>
      <c r="D54" s="3463"/>
      <c r="E54" s="3461">
        <f>IF(E49&lt;G49,G49/E49-1,E49/G49-1)</f>
        <v>3.9491549906110146E-2</v>
      </c>
      <c r="F54" s="3462" t="str">
        <f>IF(OR(E54&gt;=0.2,E54&lt;=-0.2),"超过20%","")</f>
        <v/>
      </c>
      <c r="G54" s="3461">
        <f>IF(G49&lt;I49,I49/G49-1,G49/I49-1)</f>
        <v>7.4194361228545613E-3</v>
      </c>
      <c r="H54" s="3462" t="str">
        <f>IF(OR(G54&gt;=0.2,G54&lt;=-0.2),"超过20%","")</f>
        <v/>
      </c>
      <c r="I54" s="3461">
        <f>IF(I49&lt;E49,E49/I49-1,I49/E49-1)</f>
        <v>3.1835909287881048E-2</v>
      </c>
      <c r="J54" s="3462" t="str">
        <f>IF(OR(I54&gt;=0.2,I54&lt;=-0.2),"超过20%","")</f>
        <v/>
      </c>
      <c r="K54" s="3456"/>
      <c r="L54" s="3457"/>
      <c r="M54" s="3316"/>
      <c r="N54" s="3316"/>
      <c r="O54" s="3316"/>
      <c r="P54" s="3458"/>
      <c r="Q54" s="3316"/>
      <c r="R54" s="3316"/>
      <c r="S54" s="3316"/>
      <c r="T54" s="3316"/>
      <c r="U54" s="3316"/>
      <c r="V54" s="3316"/>
      <c r="W54" s="3316"/>
      <c r="X54" s="3316"/>
      <c r="Y54" s="3316"/>
      <c r="Z54" s="3316"/>
      <c r="AA54" s="3316"/>
      <c r="AB54" s="3316"/>
      <c r="AC54" s="3316"/>
    </row>
    <row r="55" spans="1:29" s="3468" customFormat="1" ht="13.5" customHeight="1">
      <c r="A55" s="3464"/>
      <c r="B55" s="3464"/>
      <c r="C55" s="3459" t="s">
        <v>1713</v>
      </c>
      <c r="D55" s="3463"/>
      <c r="E55" s="3461">
        <f>IF(E48&lt;G48,G48/E48-1,E48/G48-1)</f>
        <v>1.9500000000000073E-2</v>
      </c>
      <c r="F55" s="3462" t="str">
        <f>IF(OR(E55&gt;=0.3,E55&lt;=-0.3),"超过30%","")</f>
        <v/>
      </c>
      <c r="G55" s="3461">
        <f>IF(G48&lt;I48,I48/G48-1,G48/I48-1)</f>
        <v>4.8538696683141369E-2</v>
      </c>
      <c r="H55" s="3462" t="str">
        <f>IF(OR(G55&gt;=0.3,G55&lt;=-0.3),"超过30%","")</f>
        <v/>
      </c>
      <c r="I55" s="3461">
        <f>IF(I48&lt;E48,E48/I48-1,I48/E48-1)</f>
        <v>2.8483272862326103E-2</v>
      </c>
      <c r="J55" s="3462" t="str">
        <f>IF(OR(I55&gt;=0.3,I55&lt;=-0.3),"超过30%","")</f>
        <v/>
      </c>
      <c r="K55" s="3465"/>
      <c r="L55" s="3466"/>
      <c r="M55" s="3464"/>
      <c r="N55" s="3464"/>
      <c r="O55" s="3464"/>
      <c r="P55" s="3467"/>
      <c r="Q55" s="3464"/>
      <c r="R55" s="3464"/>
      <c r="S55" s="3464"/>
      <c r="T55" s="3464"/>
      <c r="U55" s="3464"/>
      <c r="V55" s="3464"/>
      <c r="W55" s="3464"/>
      <c r="X55" s="3464"/>
      <c r="Y55" s="3464"/>
      <c r="Z55" s="3464"/>
      <c r="AA55" s="3464"/>
      <c r="AB55" s="3464"/>
      <c r="AC55" s="3464"/>
    </row>
    <row r="56" spans="1:29" s="3468" customFormat="1">
      <c r="A56" s="3464"/>
      <c r="B56" s="3469"/>
      <c r="C56" s="3470"/>
      <c r="D56" s="3464"/>
      <c r="E56" s="3464"/>
      <c r="F56" s="3464"/>
      <c r="G56" s="3464"/>
      <c r="H56" s="3464"/>
      <c r="I56" s="3464"/>
      <c r="J56" s="3464"/>
      <c r="K56" s="3465"/>
      <c r="L56" s="3466"/>
      <c r="M56" s="3464"/>
      <c r="N56" s="3464"/>
      <c r="O56" s="3464"/>
      <c r="P56" s="3467"/>
      <c r="Q56" s="3464"/>
      <c r="R56" s="3464"/>
      <c r="S56" s="3464"/>
      <c r="T56" s="3464"/>
      <c r="U56" s="3464"/>
      <c r="V56" s="3464"/>
      <c r="W56" s="3464"/>
      <c r="X56" s="3464"/>
      <c r="Y56" s="3464"/>
      <c r="Z56" s="3464"/>
      <c r="AA56" s="3464"/>
      <c r="AB56" s="3464"/>
      <c r="AC56" s="3464"/>
    </row>
    <row r="57" spans="1:29">
      <c r="A57" s="3316"/>
      <c r="B57" s="3469"/>
      <c r="C57" s="3470"/>
      <c r="D57" s="3316"/>
      <c r="E57" s="3316"/>
      <c r="F57" s="3316"/>
      <c r="G57" s="3316"/>
      <c r="H57" s="3316"/>
      <c r="I57" s="3316"/>
      <c r="J57" s="3316"/>
      <c r="K57" s="3456"/>
      <c r="L57" s="3457"/>
      <c r="M57" s="3316"/>
      <c r="N57" s="3316"/>
      <c r="O57" s="3316"/>
      <c r="P57" s="3458"/>
      <c r="Q57" s="3316"/>
      <c r="R57" s="3316"/>
      <c r="S57" s="3316"/>
      <c r="T57" s="3316"/>
      <c r="U57" s="3316"/>
      <c r="V57" s="3316"/>
      <c r="W57" s="3316"/>
      <c r="X57" s="3316"/>
      <c r="Y57" s="3316"/>
      <c r="Z57" s="3316"/>
      <c r="AA57" s="3316"/>
      <c r="AB57" s="3316"/>
      <c r="AC57" s="3316"/>
    </row>
    <row r="58" spans="1:29" ht="21.75" thickBot="1">
      <c r="A58" s="3471" t="s">
        <v>1714</v>
      </c>
      <c r="B58" s="3440"/>
      <c r="C58" s="3472"/>
      <c r="D58" s="3472"/>
      <c r="E58" s="3472"/>
      <c r="F58" s="3473"/>
      <c r="G58" s="3473"/>
      <c r="H58" s="3472"/>
      <c r="I58" s="3472"/>
      <c r="J58" s="3472"/>
      <c r="K58" s="3474"/>
      <c r="L58" s="3475"/>
      <c r="M58" s="3476"/>
      <c r="N58" s="3477"/>
      <c r="O58" s="3477"/>
      <c r="P58" s="3478"/>
      <c r="Q58" s="3479"/>
      <c r="R58" s="3316"/>
      <c r="S58" s="3316"/>
      <c r="T58" s="3316"/>
      <c r="U58" s="3316"/>
      <c r="V58" s="3316"/>
      <c r="W58" s="3316"/>
      <c r="X58" s="3316"/>
      <c r="Y58" s="3316"/>
      <c r="Z58" s="3316"/>
      <c r="AA58" s="3316"/>
      <c r="AB58" s="3316"/>
      <c r="AC58" s="3316"/>
    </row>
    <row r="59" spans="1:29" s="3486" customFormat="1" ht="15">
      <c r="A59" s="3480" t="s">
        <v>1679</v>
      </c>
      <c r="B59" s="3481"/>
      <c r="C59" s="3482" t="str">
        <f>YEAR(C7)&amp;"-"&amp;MONTH(C7)</f>
        <v>2024-7</v>
      </c>
      <c r="D59" s="3483">
        <f>EDATE(C59,-1)</f>
        <v>45444</v>
      </c>
      <c r="E59" s="3483">
        <f>EDATE(D59,-1)</f>
        <v>45413</v>
      </c>
      <c r="F59" s="3483">
        <f t="shared" ref="F59:O59" si="16">EDATE(E59,-1)</f>
        <v>45383</v>
      </c>
      <c r="G59" s="3483">
        <f t="shared" si="16"/>
        <v>45352</v>
      </c>
      <c r="H59" s="3483">
        <f t="shared" si="16"/>
        <v>45323</v>
      </c>
      <c r="I59" s="3483">
        <f t="shared" si="16"/>
        <v>45292</v>
      </c>
      <c r="J59" s="3483">
        <f t="shared" si="16"/>
        <v>45261</v>
      </c>
      <c r="K59" s="3483">
        <f t="shared" si="16"/>
        <v>45231</v>
      </c>
      <c r="L59" s="3483">
        <f t="shared" si="16"/>
        <v>45200</v>
      </c>
      <c r="M59" s="3483">
        <f t="shared" si="16"/>
        <v>45170</v>
      </c>
      <c r="N59" s="3483">
        <f t="shared" si="16"/>
        <v>45139</v>
      </c>
      <c r="O59" s="3483">
        <f t="shared" si="16"/>
        <v>45108</v>
      </c>
      <c r="P59" s="3484"/>
      <c r="Q59" s="3485"/>
      <c r="R59" s="3485"/>
      <c r="S59" s="3485"/>
      <c r="T59" s="3485"/>
      <c r="U59" s="3485"/>
      <c r="V59" s="3485"/>
      <c r="W59" s="3485"/>
      <c r="X59" s="3485"/>
      <c r="Y59" s="3485"/>
      <c r="Z59" s="3485"/>
      <c r="AA59" s="3485"/>
      <c r="AB59" s="3485"/>
      <c r="AC59" s="3485"/>
    </row>
    <row r="60" spans="1:29" s="3339" customFormat="1" ht="15">
      <c r="A60" s="3487"/>
      <c r="B60" s="3488"/>
      <c r="C60" s="3489">
        <v>100</v>
      </c>
      <c r="D60" s="3490"/>
      <c r="E60" s="3490"/>
      <c r="F60" s="3490"/>
      <c r="G60" s="3490"/>
      <c r="H60" s="3490"/>
      <c r="I60" s="3490"/>
      <c r="J60" s="3490"/>
      <c r="K60" s="3490"/>
      <c r="L60" s="3490"/>
      <c r="M60" s="3361"/>
      <c r="N60" s="3490"/>
      <c r="O60" s="3361"/>
      <c r="P60" s="3491"/>
      <c r="Q60" s="3333"/>
      <c r="R60" s="3333"/>
      <c r="S60" s="3333"/>
      <c r="T60" s="3333"/>
      <c r="U60" s="3333"/>
      <c r="V60" s="3333"/>
      <c r="W60" s="3333"/>
      <c r="X60" s="3333"/>
      <c r="Y60" s="3333"/>
      <c r="Z60" s="3333"/>
      <c r="AA60" s="3333"/>
      <c r="AB60" s="3333"/>
      <c r="AC60" s="3333"/>
    </row>
    <row r="61" spans="1:29" s="3339" customFormat="1" ht="15.75" thickBot="1">
      <c r="A61" s="3492" t="s">
        <v>3746</v>
      </c>
      <c r="B61" s="3493"/>
      <c r="C61" s="3494"/>
      <c r="D61" s="3495"/>
      <c r="E61" s="3495"/>
      <c r="F61" s="3495"/>
      <c r="G61" s="3495"/>
      <c r="H61" s="3495"/>
      <c r="I61" s="3495"/>
      <c r="J61" s="3495"/>
      <c r="K61" s="3495"/>
      <c r="L61" s="3495"/>
      <c r="M61" s="3496"/>
      <c r="N61" s="3495"/>
      <c r="O61" s="3496"/>
      <c r="P61" s="3491"/>
      <c r="Q61" s="3479"/>
      <c r="R61" s="3333"/>
      <c r="S61" s="3333"/>
      <c r="T61" s="3333"/>
      <c r="U61" s="3333"/>
      <c r="V61" s="3333"/>
      <c r="W61" s="3333"/>
      <c r="X61" s="3333"/>
      <c r="Y61" s="3333"/>
      <c r="Z61" s="3333"/>
      <c r="AA61" s="3333"/>
      <c r="AB61" s="3333"/>
      <c r="AC61" s="3333"/>
    </row>
    <row r="62" spans="1:29" s="3339" customFormat="1" ht="15">
      <c r="A62" s="3497" t="s">
        <v>1681</v>
      </c>
      <c r="B62" s="3488"/>
      <c r="C62" s="3498" t="s">
        <v>3747</v>
      </c>
      <c r="D62" s="3499"/>
      <c r="E62" s="3499"/>
      <c r="F62" s="3499"/>
      <c r="G62" s="3499"/>
      <c r="H62" s="3499"/>
      <c r="I62" s="3499"/>
      <c r="J62" s="3499"/>
      <c r="K62" s="3499"/>
      <c r="L62" s="3500"/>
      <c r="M62" s="3501"/>
      <c r="N62" s="3502"/>
      <c r="O62" s="3502"/>
      <c r="P62" s="3503"/>
      <c r="Q62" s="3479"/>
      <c r="R62" s="3333"/>
      <c r="S62" s="3333"/>
      <c r="T62" s="3333"/>
      <c r="U62" s="3333"/>
      <c r="V62" s="3333"/>
      <c r="W62" s="3333"/>
      <c r="X62" s="3333"/>
      <c r="Y62" s="3333"/>
      <c r="Z62" s="3333"/>
      <c r="AA62" s="3333"/>
      <c r="AB62" s="3333"/>
      <c r="AC62" s="3333"/>
    </row>
    <row r="63" spans="1:29" s="3339" customFormat="1" ht="15.75" thickBot="1">
      <c r="A63" s="3497"/>
      <c r="B63" s="3488"/>
      <c r="C63" s="3504">
        <v>100</v>
      </c>
      <c r="D63" s="3490"/>
      <c r="E63" s="3490"/>
      <c r="F63" s="3490"/>
      <c r="G63" s="3490"/>
      <c r="H63" s="3490"/>
      <c r="I63" s="3490"/>
      <c r="J63" s="3490"/>
      <c r="K63" s="3490"/>
      <c r="L63" s="3490"/>
      <c r="M63" s="3505"/>
      <c r="N63" s="3502"/>
      <c r="O63" s="3502"/>
      <c r="P63" s="3491"/>
      <c r="Q63" s="3479"/>
      <c r="R63" s="3333"/>
      <c r="S63" s="3333"/>
      <c r="T63" s="3333"/>
      <c r="U63" s="3333"/>
      <c r="V63" s="3333"/>
      <c r="W63" s="3333"/>
      <c r="X63" s="3333"/>
      <c r="Y63" s="3333"/>
      <c r="Z63" s="3333"/>
      <c r="AA63" s="3333"/>
      <c r="AB63" s="3333"/>
      <c r="AC63" s="3333"/>
    </row>
    <row r="64" spans="1:29">
      <c r="A64" s="3374" t="s">
        <v>1719</v>
      </c>
      <c r="B64" s="3506" t="s">
        <v>1685</v>
      </c>
      <c r="C64" s="3507" t="str">
        <f>C9</f>
        <v>办公</v>
      </c>
      <c r="D64" s="3508"/>
      <c r="E64" s="3508"/>
      <c r="F64" s="3508"/>
      <c r="G64" s="3508"/>
      <c r="H64" s="3508"/>
      <c r="I64" s="3508"/>
      <c r="J64" s="3508"/>
      <c r="K64" s="3509"/>
      <c r="L64" s="3510"/>
      <c r="M64" s="3511"/>
      <c r="N64" s="3512"/>
      <c r="O64" s="3512"/>
      <c r="P64" s="3513"/>
      <c r="Q64" s="3479"/>
      <c r="R64" s="3316"/>
      <c r="S64" s="3316"/>
      <c r="T64" s="3316"/>
      <c r="U64" s="3316"/>
      <c r="V64" s="3316"/>
      <c r="W64" s="3316"/>
      <c r="X64" s="3316"/>
      <c r="Y64" s="3316"/>
      <c r="Z64" s="3316"/>
      <c r="AA64" s="3316"/>
      <c r="AB64" s="3316"/>
      <c r="AC64" s="3316"/>
    </row>
    <row r="65" spans="1:29" ht="15.75" thickBot="1">
      <c r="A65" s="3355"/>
      <c r="B65" s="3514"/>
      <c r="C65" s="3515">
        <v>100</v>
      </c>
      <c r="D65" s="3515"/>
      <c r="E65" s="3515"/>
      <c r="F65" s="3515"/>
      <c r="G65" s="3515"/>
      <c r="H65" s="3515"/>
      <c r="I65" s="3515"/>
      <c r="J65" s="3515"/>
      <c r="K65" s="3515"/>
      <c r="L65" s="3515"/>
      <c r="M65" s="3516"/>
      <c r="N65" s="3517"/>
      <c r="O65" s="3517"/>
      <c r="P65" s="3513"/>
      <c r="Q65" s="3479"/>
      <c r="R65" s="3316"/>
      <c r="S65" s="3316"/>
      <c r="T65" s="3316"/>
      <c r="U65" s="3316"/>
      <c r="V65" s="3316"/>
      <c r="W65" s="3316"/>
      <c r="X65" s="3316"/>
      <c r="Y65" s="3316"/>
      <c r="Z65" s="3316"/>
      <c r="AA65" s="3316"/>
      <c r="AB65" s="3316"/>
      <c r="AC65" s="3316"/>
    </row>
    <row r="66" spans="1:29" ht="27.75" thickTop="1">
      <c r="A66" s="3355"/>
      <c r="B66" s="3518" t="s">
        <v>1688</v>
      </c>
      <c r="C66" s="3519"/>
      <c r="D66" s="3519"/>
      <c r="E66" s="3519"/>
      <c r="F66" s="3519"/>
      <c r="G66" s="3519"/>
      <c r="H66" s="3519"/>
      <c r="I66" s="3519"/>
      <c r="J66" s="3519"/>
      <c r="K66" s="3520"/>
      <c r="L66" s="3521"/>
      <c r="M66" s="3522"/>
      <c r="N66" s="3512"/>
      <c r="O66" s="3512"/>
      <c r="P66" s="3513"/>
      <c r="Q66" s="3479"/>
      <c r="R66" s="3316"/>
      <c r="S66" s="3316"/>
      <c r="T66" s="3316"/>
      <c r="U66" s="3316"/>
      <c r="V66" s="3316"/>
      <c r="W66" s="3316"/>
      <c r="X66" s="3316"/>
      <c r="Y66" s="3316"/>
      <c r="Z66" s="3316"/>
      <c r="AA66" s="3316"/>
      <c r="AB66" s="3316"/>
      <c r="AC66" s="3316"/>
    </row>
    <row r="67" spans="1:29" ht="15.75" thickBot="1">
      <c r="A67" s="3355"/>
      <c r="B67" s="3523"/>
      <c r="C67" s="3515"/>
      <c r="D67" s="3515"/>
      <c r="E67" s="3515"/>
      <c r="F67" s="3515"/>
      <c r="G67" s="3515"/>
      <c r="H67" s="3515"/>
      <c r="I67" s="3515"/>
      <c r="J67" s="3515"/>
      <c r="K67" s="3515"/>
      <c r="L67" s="3515"/>
      <c r="M67" s="3516"/>
      <c r="N67" s="3517"/>
      <c r="O67" s="3517"/>
      <c r="P67" s="3513"/>
      <c r="Q67" s="3479"/>
      <c r="R67" s="3316"/>
      <c r="S67" s="3316"/>
      <c r="T67" s="3316"/>
      <c r="U67" s="3316"/>
      <c r="V67" s="3316"/>
      <c r="W67" s="3316"/>
      <c r="X67" s="3316"/>
      <c r="Y67" s="3316"/>
      <c r="Z67" s="3316"/>
      <c r="AA67" s="3316"/>
      <c r="AB67" s="3316"/>
      <c r="AC67" s="3316"/>
    </row>
    <row r="68" spans="1:29" ht="15.75" thickTop="1">
      <c r="A68" s="3355"/>
      <c r="B68" s="3524" t="s">
        <v>1689</v>
      </c>
      <c r="C68" s="3525" t="str">
        <f>C69&amp;"（含）"&amp;"-"&amp;D69</f>
        <v>0（含）-3</v>
      </c>
      <c r="D68" s="3525" t="str">
        <f t="shared" ref="D68:L68" si="17">D69&amp;"（含）"&amp;"-"&amp;E69</f>
        <v>3（含）-</v>
      </c>
      <c r="E68" s="3525" t="str">
        <f t="shared" si="17"/>
        <v>（含）-</v>
      </c>
      <c r="F68" s="3525" t="str">
        <f t="shared" si="17"/>
        <v>（含）-</v>
      </c>
      <c r="G68" s="3525" t="str">
        <f t="shared" si="17"/>
        <v>（含）-</v>
      </c>
      <c r="H68" s="3525" t="str">
        <f t="shared" si="17"/>
        <v>（含）-</v>
      </c>
      <c r="I68" s="3525" t="str">
        <f t="shared" si="17"/>
        <v>（含）-</v>
      </c>
      <c r="J68" s="3525" t="str">
        <f t="shared" si="17"/>
        <v>（含）-</v>
      </c>
      <c r="K68" s="3525" t="str">
        <f t="shared" si="17"/>
        <v>（含）-</v>
      </c>
      <c r="L68" s="3525" t="str">
        <f t="shared" si="17"/>
        <v>（含）-</v>
      </c>
      <c r="M68" s="3388" t="str">
        <f>M69&amp;"（含）"&amp;"-"&amp;P69</f>
        <v>（含）-</v>
      </c>
      <c r="N68" s="3517"/>
      <c r="O68" s="3517"/>
      <c r="P68" s="3513"/>
      <c r="Q68" s="3479"/>
      <c r="R68" s="3316"/>
      <c r="S68" s="3316"/>
      <c r="T68" s="3316"/>
      <c r="U68" s="3316"/>
      <c r="V68" s="3316"/>
      <c r="W68" s="3316"/>
      <c r="X68" s="3316"/>
      <c r="Y68" s="3316"/>
      <c r="Z68" s="3316"/>
      <c r="AA68" s="3316"/>
      <c r="AB68" s="3316"/>
      <c r="AC68" s="3316"/>
    </row>
    <row r="69" spans="1:29" ht="15">
      <c r="A69" s="3355"/>
      <c r="B69" s="3526"/>
      <c r="C69" s="3527">
        <v>0</v>
      </c>
      <c r="D69" s="3527">
        <v>3</v>
      </c>
      <c r="E69" s="3527"/>
      <c r="F69" s="3527"/>
      <c r="G69" s="3527"/>
      <c r="H69" s="3527"/>
      <c r="I69" s="3527"/>
      <c r="J69" s="3527"/>
      <c r="K69" s="3528"/>
      <c r="L69" s="3529"/>
      <c r="M69" s="3530"/>
      <c r="N69" s="3512"/>
      <c r="O69" s="3512"/>
      <c r="P69" s="3513"/>
      <c r="Q69" s="3479"/>
      <c r="R69" s="3316"/>
      <c r="S69" s="3316"/>
      <c r="T69" s="3316"/>
      <c r="U69" s="3316"/>
      <c r="V69" s="3316"/>
      <c r="W69" s="3316"/>
      <c r="X69" s="3316"/>
      <c r="Y69" s="3316"/>
      <c r="Z69" s="3316"/>
      <c r="AA69" s="3316"/>
      <c r="AB69" s="3316"/>
      <c r="AC69" s="3316"/>
    </row>
    <row r="70" spans="1:29" ht="15.75" thickBot="1">
      <c r="A70" s="3355"/>
      <c r="B70" s="3514"/>
      <c r="C70" s="3531">
        <v>100</v>
      </c>
      <c r="D70" s="3531">
        <f t="shared" ref="D70:M70" si="18">C70-$K11</f>
        <v>100</v>
      </c>
      <c r="E70" s="3531">
        <f t="shared" si="18"/>
        <v>100</v>
      </c>
      <c r="F70" s="3531">
        <f t="shared" si="18"/>
        <v>100</v>
      </c>
      <c r="G70" s="3531">
        <f t="shared" si="18"/>
        <v>100</v>
      </c>
      <c r="H70" s="3531">
        <f t="shared" si="18"/>
        <v>100</v>
      </c>
      <c r="I70" s="3531">
        <f t="shared" si="18"/>
        <v>100</v>
      </c>
      <c r="J70" s="3531">
        <f t="shared" si="18"/>
        <v>100</v>
      </c>
      <c r="K70" s="3531">
        <f t="shared" si="18"/>
        <v>100</v>
      </c>
      <c r="L70" s="3531">
        <f t="shared" si="18"/>
        <v>100</v>
      </c>
      <c r="M70" s="3532">
        <f t="shared" si="18"/>
        <v>100</v>
      </c>
      <c r="N70" s="3517"/>
      <c r="O70" s="3517"/>
      <c r="P70" s="3513"/>
      <c r="Q70" s="3479"/>
      <c r="R70" s="3316"/>
      <c r="S70" s="3316"/>
      <c r="T70" s="3316"/>
      <c r="U70" s="3316"/>
      <c r="V70" s="3316"/>
      <c r="W70" s="3316"/>
      <c r="X70" s="3316"/>
      <c r="Y70" s="3316"/>
      <c r="Z70" s="3316"/>
      <c r="AA70" s="3316"/>
      <c r="AB70" s="3316"/>
      <c r="AC70" s="3316"/>
    </row>
    <row r="71" spans="1:29" s="3422" customFormat="1" ht="15.75" thickTop="1">
      <c r="A71" s="3533"/>
      <c r="B71" s="3518">
        <f>B12</f>
        <v>111</v>
      </c>
      <c r="C71" s="3534"/>
      <c r="D71" s="3534"/>
      <c r="E71" s="3534"/>
      <c r="F71" s="3534"/>
      <c r="G71" s="3534"/>
      <c r="H71" s="3535"/>
      <c r="I71" s="3535"/>
      <c r="J71" s="3535"/>
      <c r="K71" s="3535"/>
      <c r="L71" s="3536"/>
      <c r="M71" s="3537"/>
      <c r="N71" s="3538"/>
      <c r="O71" s="3538"/>
      <c r="P71" s="3539"/>
      <c r="Q71" s="3540"/>
      <c r="R71" s="3416"/>
      <c r="S71" s="3416"/>
      <c r="T71" s="3416"/>
      <c r="U71" s="3416"/>
      <c r="V71" s="3416"/>
      <c r="W71" s="3416"/>
      <c r="X71" s="3416"/>
      <c r="Y71" s="3416"/>
      <c r="Z71" s="3416"/>
      <c r="AA71" s="3416"/>
      <c r="AB71" s="3416"/>
      <c r="AC71" s="3416"/>
    </row>
    <row r="72" spans="1:29" s="3422" customFormat="1" ht="15.75" thickBot="1">
      <c r="A72" s="3533"/>
      <c r="B72" s="3523"/>
      <c r="C72" s="3541"/>
      <c r="D72" s="3515"/>
      <c r="E72" s="3515"/>
      <c r="F72" s="3515"/>
      <c r="G72" s="3515"/>
      <c r="H72" s="3515"/>
      <c r="I72" s="3515"/>
      <c r="J72" s="3515"/>
      <c r="K72" s="3515"/>
      <c r="L72" s="3515"/>
      <c r="M72" s="3516"/>
      <c r="N72" s="3517"/>
      <c r="O72" s="3517"/>
      <c r="P72" s="3539"/>
      <c r="Q72" s="3540"/>
      <c r="R72" s="3416"/>
      <c r="S72" s="3416"/>
      <c r="T72" s="3416"/>
      <c r="U72" s="3416"/>
      <c r="V72" s="3416"/>
      <c r="W72" s="3416"/>
      <c r="X72" s="3416"/>
      <c r="Y72" s="3416"/>
      <c r="Z72" s="3416"/>
      <c r="AA72" s="3416"/>
      <c r="AB72" s="3416"/>
      <c r="AC72" s="3416"/>
    </row>
    <row r="73" spans="1:29" s="3422" customFormat="1" ht="15.75" thickTop="1">
      <c r="A73" s="3533"/>
      <c r="B73" s="3518">
        <f>B13</f>
        <v>111</v>
      </c>
      <c r="C73" s="3534"/>
      <c r="D73" s="3534"/>
      <c r="E73" s="3534"/>
      <c r="F73" s="3534"/>
      <c r="G73" s="3534"/>
      <c r="H73" s="3535"/>
      <c r="I73" s="3535"/>
      <c r="J73" s="3535"/>
      <c r="K73" s="3535"/>
      <c r="L73" s="3536"/>
      <c r="M73" s="3537"/>
      <c r="N73" s="3538"/>
      <c r="O73" s="3538"/>
      <c r="P73" s="3542"/>
      <c r="Q73" s="3543"/>
      <c r="R73" s="3416"/>
      <c r="S73" s="3416"/>
      <c r="T73" s="3416"/>
      <c r="U73" s="3416"/>
      <c r="V73" s="3416"/>
      <c r="W73" s="3416"/>
      <c r="X73" s="3416"/>
      <c r="Y73" s="3416"/>
      <c r="Z73" s="3416"/>
      <c r="AA73" s="3416"/>
      <c r="AB73" s="3416"/>
      <c r="AC73" s="3416"/>
    </row>
    <row r="74" spans="1:29" s="3422" customFormat="1" ht="15.75" thickBot="1">
      <c r="A74" s="3533"/>
      <c r="B74" s="3523"/>
      <c r="C74" s="3541"/>
      <c r="D74" s="3541"/>
      <c r="E74" s="3541"/>
      <c r="F74" s="3541"/>
      <c r="G74" s="3541"/>
      <c r="H74" s="3544"/>
      <c r="I74" s="3544"/>
      <c r="J74" s="3544"/>
      <c r="K74" s="3544"/>
      <c r="L74" s="3544"/>
      <c r="M74" s="3545"/>
      <c r="N74" s="3538"/>
      <c r="O74" s="3538"/>
      <c r="P74" s="3539"/>
      <c r="Q74" s="3540"/>
      <c r="R74" s="3416"/>
      <c r="S74" s="3416"/>
      <c r="T74" s="3416"/>
      <c r="U74" s="3416"/>
      <c r="V74" s="3416"/>
      <c r="W74" s="3416"/>
      <c r="X74" s="3416"/>
      <c r="Y74" s="3416"/>
      <c r="Z74" s="3416"/>
      <c r="AA74" s="3416"/>
      <c r="AB74" s="3416"/>
      <c r="AC74" s="3416"/>
    </row>
    <row r="75" spans="1:29" s="3422" customFormat="1" ht="15.75" thickTop="1">
      <c r="A75" s="3533"/>
      <c r="B75" s="3524">
        <f>B14</f>
        <v>111</v>
      </c>
      <c r="C75" s="3499"/>
      <c r="D75" s="3499"/>
      <c r="E75" s="3499"/>
      <c r="F75" s="3499"/>
      <c r="G75" s="3499"/>
      <c r="H75" s="3546"/>
      <c r="I75" s="3546"/>
      <c r="J75" s="3546"/>
      <c r="K75" s="3546"/>
      <c r="L75" s="3547"/>
      <c r="M75" s="3548"/>
      <c r="N75" s="3538"/>
      <c r="O75" s="3538"/>
      <c r="P75" s="3549"/>
      <c r="Q75" s="3540"/>
      <c r="R75" s="3416"/>
      <c r="S75" s="3416"/>
      <c r="T75" s="3416"/>
      <c r="U75" s="3416"/>
      <c r="V75" s="3416"/>
      <c r="W75" s="3416"/>
      <c r="X75" s="3416"/>
      <c r="Y75" s="3416"/>
      <c r="Z75" s="3416"/>
      <c r="AA75" s="3416"/>
      <c r="AB75" s="3416"/>
      <c r="AC75" s="3416"/>
    </row>
    <row r="76" spans="1:29" s="3422" customFormat="1" ht="15.75" thickBot="1">
      <c r="A76" s="3550"/>
      <c r="B76" s="3551"/>
      <c r="C76" s="3552"/>
      <c r="D76" s="3552"/>
      <c r="E76" s="3552"/>
      <c r="F76" s="3552"/>
      <c r="G76" s="3552"/>
      <c r="H76" s="3553"/>
      <c r="I76" s="3553"/>
      <c r="J76" s="3553"/>
      <c r="K76" s="3553"/>
      <c r="L76" s="3553"/>
      <c r="M76" s="3554"/>
      <c r="N76" s="3538"/>
      <c r="O76" s="3538"/>
      <c r="P76" s="3539"/>
      <c r="Q76" s="3540"/>
      <c r="R76" s="3416"/>
      <c r="S76" s="3416"/>
      <c r="T76" s="3416"/>
      <c r="U76" s="3416"/>
      <c r="V76" s="3416"/>
      <c r="W76" s="3416"/>
      <c r="X76" s="3416"/>
      <c r="Y76" s="3416"/>
      <c r="Z76" s="3416"/>
      <c r="AA76" s="3416"/>
      <c r="AB76" s="3416"/>
      <c r="AC76" s="3416"/>
    </row>
    <row r="77" spans="1:29">
      <c r="A77" s="3374" t="s">
        <v>1690</v>
      </c>
      <c r="B77" s="3506" t="s">
        <v>1821</v>
      </c>
      <c r="C77" s="3555" t="s">
        <v>1721</v>
      </c>
      <c r="D77" s="3555" t="s">
        <v>1722</v>
      </c>
      <c r="E77" s="3555" t="s">
        <v>1723</v>
      </c>
      <c r="F77" s="3555" t="s">
        <v>1724</v>
      </c>
      <c r="G77" s="3555" t="s">
        <v>1725</v>
      </c>
      <c r="H77" s="3507"/>
      <c r="I77" s="3507"/>
      <c r="J77" s="3507"/>
      <c r="K77" s="3556"/>
      <c r="L77" s="3557"/>
      <c r="M77" s="3558"/>
      <c r="N77" s="3512"/>
      <c r="O77" s="3512"/>
      <c r="P77" s="3559"/>
      <c r="Q77" s="3479"/>
      <c r="R77" s="3316"/>
      <c r="S77" s="3316"/>
      <c r="T77" s="3316"/>
      <c r="U77" s="3316"/>
      <c r="V77" s="3316"/>
      <c r="W77" s="3316"/>
      <c r="X77" s="3316"/>
      <c r="Y77" s="3316"/>
      <c r="Z77" s="3316"/>
      <c r="AA77" s="3316"/>
      <c r="AB77" s="3316"/>
      <c r="AC77" s="3316"/>
    </row>
    <row r="78" spans="1:29" ht="15.75" thickBot="1">
      <c r="A78" s="3355"/>
      <c r="B78" s="3523"/>
      <c r="C78" s="3531">
        <v>100</v>
      </c>
      <c r="D78" s="3531">
        <f>C78-$K15</f>
        <v>100</v>
      </c>
      <c r="E78" s="3531">
        <f>D78-$K15</f>
        <v>100</v>
      </c>
      <c r="F78" s="3531">
        <f>E78-$K15</f>
        <v>100</v>
      </c>
      <c r="G78" s="3531">
        <f>F78-$K15</f>
        <v>100</v>
      </c>
      <c r="H78" s="3531"/>
      <c r="I78" s="3531"/>
      <c r="J78" s="3531"/>
      <c r="K78" s="3531"/>
      <c r="L78" s="3531"/>
      <c r="M78" s="3532"/>
      <c r="N78" s="3517"/>
      <c r="O78" s="3517"/>
      <c r="P78" s="3513"/>
      <c r="Q78" s="3479"/>
      <c r="R78" s="3316"/>
      <c r="S78" s="3316"/>
      <c r="T78" s="3316"/>
      <c r="U78" s="3316"/>
      <c r="V78" s="3316"/>
      <c r="W78" s="3316"/>
      <c r="X78" s="3316"/>
      <c r="Y78" s="3316"/>
      <c r="Z78" s="3316"/>
      <c r="AA78" s="3316"/>
      <c r="AB78" s="3316"/>
      <c r="AC78" s="3316"/>
    </row>
    <row r="79" spans="1:29" ht="15.75" thickTop="1">
      <c r="A79" s="3355"/>
      <c r="B79" s="3518" t="s">
        <v>1726</v>
      </c>
      <c r="C79" s="3560" t="s">
        <v>1721</v>
      </c>
      <c r="D79" s="3560" t="s">
        <v>1722</v>
      </c>
      <c r="E79" s="3560" t="s">
        <v>1723</v>
      </c>
      <c r="F79" s="3560" t="s">
        <v>1724</v>
      </c>
      <c r="G79" s="3560" t="s">
        <v>1725</v>
      </c>
      <c r="H79" s="3561"/>
      <c r="I79" s="3561"/>
      <c r="J79" s="3561"/>
      <c r="K79" s="3562"/>
      <c r="L79" s="3563"/>
      <c r="M79" s="3564"/>
      <c r="N79" s="3512"/>
      <c r="O79" s="3512"/>
      <c r="P79" s="3513"/>
      <c r="Q79" s="3479"/>
      <c r="R79" s="3316"/>
      <c r="S79" s="3316"/>
      <c r="T79" s="3316"/>
      <c r="U79" s="3316"/>
      <c r="V79" s="3316"/>
      <c r="W79" s="3316"/>
      <c r="X79" s="3316"/>
      <c r="Y79" s="3316"/>
      <c r="Z79" s="3316"/>
      <c r="AA79" s="3316"/>
      <c r="AB79" s="3316"/>
      <c r="AC79" s="3316"/>
    </row>
    <row r="80" spans="1:29" ht="15.75" thickBot="1">
      <c r="A80" s="3355"/>
      <c r="B80" s="3523"/>
      <c r="C80" s="3531">
        <v>100</v>
      </c>
      <c r="D80" s="3531">
        <f>C80-$K17</f>
        <v>100</v>
      </c>
      <c r="E80" s="3531">
        <f>D80-$K17</f>
        <v>100</v>
      </c>
      <c r="F80" s="3531">
        <f>E80-$K17</f>
        <v>100</v>
      </c>
      <c r="G80" s="3531">
        <f>F80-$K17</f>
        <v>100</v>
      </c>
      <c r="H80" s="3531"/>
      <c r="I80" s="3531"/>
      <c r="J80" s="3531"/>
      <c r="K80" s="3531"/>
      <c r="L80" s="3531"/>
      <c r="M80" s="3532"/>
      <c r="N80" s="3517"/>
      <c r="O80" s="3517"/>
      <c r="P80" s="3513"/>
      <c r="Q80" s="3479"/>
      <c r="R80" s="3316"/>
      <c r="S80" s="3316"/>
      <c r="T80" s="3316"/>
      <c r="U80" s="3316"/>
      <c r="V80" s="3316"/>
      <c r="W80" s="3316"/>
      <c r="X80" s="3316"/>
      <c r="Y80" s="3316"/>
      <c r="Z80" s="3316"/>
      <c r="AA80" s="3316"/>
      <c r="AB80" s="3316"/>
      <c r="AC80" s="3316"/>
    </row>
    <row r="81" spans="1:29" ht="15.75" thickTop="1">
      <c r="A81" s="3355"/>
      <c r="B81" s="3518" t="s">
        <v>1727</v>
      </c>
      <c r="C81" s="3560" t="s">
        <v>1721</v>
      </c>
      <c r="D81" s="3560" t="s">
        <v>1722</v>
      </c>
      <c r="E81" s="3560" t="s">
        <v>1723</v>
      </c>
      <c r="F81" s="3560" t="s">
        <v>1724</v>
      </c>
      <c r="G81" s="3560" t="s">
        <v>1725</v>
      </c>
      <c r="H81" s="3561"/>
      <c r="I81" s="3561"/>
      <c r="J81" s="3561"/>
      <c r="K81" s="3562"/>
      <c r="L81" s="3563"/>
      <c r="M81" s="3564"/>
      <c r="N81" s="3512"/>
      <c r="O81" s="3512"/>
      <c r="P81" s="3513"/>
      <c r="Q81" s="3479"/>
      <c r="R81" s="3316"/>
      <c r="S81" s="3316"/>
      <c r="T81" s="3316"/>
      <c r="U81" s="3316"/>
      <c r="V81" s="3316"/>
      <c r="W81" s="3316"/>
      <c r="X81" s="3316"/>
      <c r="Y81" s="3316"/>
      <c r="Z81" s="3316"/>
      <c r="AA81" s="3316"/>
      <c r="AB81" s="3316"/>
      <c r="AC81" s="3316"/>
    </row>
    <row r="82" spans="1:29" ht="15.75" thickBot="1">
      <c r="A82" s="3355"/>
      <c r="B82" s="3523"/>
      <c r="C82" s="3531">
        <v>100</v>
      </c>
      <c r="D82" s="3531">
        <f>C82-$K19</f>
        <v>100</v>
      </c>
      <c r="E82" s="3531">
        <f>D82-$K19</f>
        <v>100</v>
      </c>
      <c r="F82" s="3531">
        <f>E82-$K19</f>
        <v>100</v>
      </c>
      <c r="G82" s="3531">
        <f>F82-$K19</f>
        <v>100</v>
      </c>
      <c r="H82" s="3531"/>
      <c r="I82" s="3531"/>
      <c r="J82" s="3531"/>
      <c r="K82" s="3531"/>
      <c r="L82" s="3531"/>
      <c r="M82" s="3532"/>
      <c r="N82" s="3517"/>
      <c r="O82" s="3517"/>
      <c r="P82" s="3513"/>
      <c r="Q82" s="3479"/>
      <c r="R82" s="3316"/>
      <c r="S82" s="3316"/>
      <c r="T82" s="3316"/>
      <c r="U82" s="3316"/>
      <c r="V82" s="3316"/>
      <c r="W82" s="3316"/>
      <c r="X82" s="3316"/>
      <c r="Y82" s="3316"/>
      <c r="Z82" s="3316"/>
      <c r="AA82" s="3316"/>
      <c r="AB82" s="3316"/>
      <c r="AC82" s="3316"/>
    </row>
    <row r="83" spans="1:29" ht="15.75" thickTop="1">
      <c r="A83" s="3355"/>
      <c r="B83" s="3524" t="s">
        <v>3738</v>
      </c>
      <c r="C83" s="3391" t="s">
        <v>3748</v>
      </c>
      <c r="D83" s="3391" t="s">
        <v>3749</v>
      </c>
      <c r="E83" s="3391" t="s">
        <v>3750</v>
      </c>
      <c r="F83" s="3391" t="s">
        <v>3751</v>
      </c>
      <c r="G83" s="3391" t="s">
        <v>3752</v>
      </c>
      <c r="H83" s="3561"/>
      <c r="I83" s="3561"/>
      <c r="J83" s="3561"/>
      <c r="K83" s="3561"/>
      <c r="L83" s="3561"/>
      <c r="M83" s="3565"/>
      <c r="N83" s="3517"/>
      <c r="O83" s="3517"/>
      <c r="P83" s="3513"/>
      <c r="Q83" s="3479"/>
      <c r="R83" s="3316"/>
      <c r="S83" s="3316"/>
      <c r="T83" s="3316"/>
      <c r="U83" s="3316"/>
      <c r="V83" s="3316"/>
      <c r="W83" s="3316"/>
      <c r="X83" s="3316"/>
      <c r="Y83" s="3316"/>
      <c r="Z83" s="3316"/>
      <c r="AA83" s="3316"/>
      <c r="AB83" s="3316"/>
      <c r="AC83" s="3316"/>
    </row>
    <row r="84" spans="1:29" ht="15.75" thickBot="1">
      <c r="A84" s="3355"/>
      <c r="B84" s="3524"/>
      <c r="C84" s="3531">
        <v>100</v>
      </c>
      <c r="D84" s="3531">
        <f>C84-$K21</f>
        <v>100</v>
      </c>
      <c r="E84" s="3531">
        <f>D84-$K21</f>
        <v>100</v>
      </c>
      <c r="F84" s="3531">
        <f>E84-$K21</f>
        <v>100</v>
      </c>
      <c r="G84" s="3531">
        <f>F84-$K21</f>
        <v>100</v>
      </c>
      <c r="H84" s="3391"/>
      <c r="I84" s="3391"/>
      <c r="J84" s="3391"/>
      <c r="K84" s="3391"/>
      <c r="L84" s="3391"/>
      <c r="M84" s="3389"/>
      <c r="N84" s="3517"/>
      <c r="O84" s="3517"/>
      <c r="P84" s="3513"/>
      <c r="Q84" s="3479"/>
      <c r="R84" s="3316"/>
      <c r="S84" s="3316"/>
      <c r="T84" s="3316"/>
      <c r="U84" s="3316"/>
      <c r="V84" s="3316"/>
      <c r="W84" s="3316"/>
      <c r="X84" s="3316"/>
      <c r="Y84" s="3316"/>
      <c r="Z84" s="3316"/>
      <c r="AA84" s="3316"/>
      <c r="AB84" s="3316"/>
      <c r="AC84" s="3316"/>
    </row>
    <row r="85" spans="1:29" ht="15.75" thickTop="1">
      <c r="A85" s="3355"/>
      <c r="B85" s="3518" t="s">
        <v>1822</v>
      </c>
      <c r="C85" s="3560" t="s">
        <v>1721</v>
      </c>
      <c r="D85" s="3560" t="s">
        <v>1722</v>
      </c>
      <c r="E85" s="3560" t="s">
        <v>1723</v>
      </c>
      <c r="F85" s="3560" t="s">
        <v>1724</v>
      </c>
      <c r="G85" s="3560" t="s">
        <v>1725</v>
      </c>
      <c r="H85" s="3561"/>
      <c r="I85" s="3561"/>
      <c r="J85" s="3561"/>
      <c r="K85" s="3562"/>
      <c r="L85" s="3563"/>
      <c r="M85" s="3564"/>
      <c r="N85" s="3512"/>
      <c r="O85" s="3512"/>
      <c r="P85" s="3513"/>
      <c r="Q85" s="3479"/>
      <c r="R85" s="3316"/>
      <c r="S85" s="3316"/>
      <c r="T85" s="3316"/>
      <c r="U85" s="3316"/>
      <c r="V85" s="3316"/>
      <c r="W85" s="3316"/>
      <c r="X85" s="3316"/>
      <c r="Y85" s="3316"/>
      <c r="Z85" s="3316"/>
      <c r="AA85" s="3316"/>
      <c r="AB85" s="3316"/>
      <c r="AC85" s="3316"/>
    </row>
    <row r="86" spans="1:29" ht="15.75" thickBot="1">
      <c r="A86" s="3355"/>
      <c r="B86" s="3523"/>
      <c r="C86" s="3531">
        <v>100</v>
      </c>
      <c r="D86" s="3531">
        <f>C86-$K23</f>
        <v>100</v>
      </c>
      <c r="E86" s="3531">
        <f>D86-$K23</f>
        <v>100</v>
      </c>
      <c r="F86" s="3531">
        <f>E86-$K23</f>
        <v>100</v>
      </c>
      <c r="G86" s="3531">
        <f>F86-$K23</f>
        <v>100</v>
      </c>
      <c r="H86" s="3531"/>
      <c r="I86" s="3531"/>
      <c r="J86" s="3531"/>
      <c r="K86" s="3531"/>
      <c r="L86" s="3531"/>
      <c r="M86" s="3532"/>
      <c r="N86" s="3517"/>
      <c r="O86" s="3517"/>
      <c r="P86" s="3513"/>
      <c r="Q86" s="3479"/>
      <c r="R86" s="3316"/>
      <c r="S86" s="3316"/>
      <c r="T86" s="3316"/>
      <c r="U86" s="3316"/>
      <c r="V86" s="3316"/>
      <c r="W86" s="3316"/>
      <c r="X86" s="3316"/>
      <c r="Y86" s="3316"/>
      <c r="Z86" s="3316"/>
      <c r="AA86" s="3316"/>
      <c r="AB86" s="3316"/>
      <c r="AC86" s="3316"/>
    </row>
    <row r="87" spans="1:29" s="3339" customFormat="1" ht="28.5" thickTop="1">
      <c r="A87" s="3360"/>
      <c r="B87" s="3518" t="s">
        <v>1823</v>
      </c>
      <c r="C87" s="3534" t="s">
        <v>3753</v>
      </c>
      <c r="D87" s="3534" t="s">
        <v>3754</v>
      </c>
      <c r="E87" s="3534"/>
      <c r="F87" s="3534"/>
      <c r="G87" s="3534"/>
      <c r="H87" s="3534"/>
      <c r="I87" s="3534"/>
      <c r="J87" s="3534"/>
      <c r="K87" s="3534"/>
      <c r="L87" s="3566"/>
      <c r="M87" s="3567"/>
      <c r="N87" s="3502"/>
      <c r="O87" s="3502"/>
      <c r="P87" s="3513"/>
      <c r="Q87" s="3479"/>
      <c r="R87" s="3333"/>
      <c r="S87" s="3333"/>
      <c r="T87" s="3333"/>
      <c r="U87" s="3333"/>
      <c r="V87" s="3333"/>
      <c r="W87" s="3333"/>
      <c r="X87" s="3333"/>
      <c r="Y87" s="3333"/>
      <c r="Z87" s="3333"/>
      <c r="AA87" s="3333"/>
      <c r="AB87" s="3333"/>
      <c r="AC87" s="3333"/>
    </row>
    <row r="88" spans="1:29" s="3339" customFormat="1" ht="15.75" thickBot="1">
      <c r="A88" s="3360"/>
      <c r="B88" s="3523"/>
      <c r="C88" s="3568">
        <v>100</v>
      </c>
      <c r="D88" s="3531">
        <f t="shared" ref="D88:M88" si="19">C88-$K25</f>
        <v>100</v>
      </c>
      <c r="E88" s="3531">
        <f t="shared" si="19"/>
        <v>100</v>
      </c>
      <c r="F88" s="3531">
        <f t="shared" si="19"/>
        <v>100</v>
      </c>
      <c r="G88" s="3531">
        <f t="shared" si="19"/>
        <v>100</v>
      </c>
      <c r="H88" s="3531">
        <f t="shared" si="19"/>
        <v>100</v>
      </c>
      <c r="I88" s="3531">
        <f t="shared" si="19"/>
        <v>100</v>
      </c>
      <c r="J88" s="3531">
        <f t="shared" si="19"/>
        <v>100</v>
      </c>
      <c r="K88" s="3531">
        <f t="shared" si="19"/>
        <v>100</v>
      </c>
      <c r="L88" s="3531">
        <f t="shared" si="19"/>
        <v>100</v>
      </c>
      <c r="M88" s="3531">
        <f t="shared" si="19"/>
        <v>100</v>
      </c>
      <c r="N88" s="3517"/>
      <c r="O88" s="3517"/>
      <c r="P88" s="3513"/>
      <c r="Q88" s="3479"/>
      <c r="R88" s="3333"/>
      <c r="S88" s="3333"/>
      <c r="T88" s="3333"/>
      <c r="U88" s="3333"/>
      <c r="V88" s="3333"/>
      <c r="W88" s="3333"/>
      <c r="X88" s="3333"/>
      <c r="Y88" s="3333"/>
      <c r="Z88" s="3333"/>
      <c r="AA88" s="3333"/>
      <c r="AB88" s="3333"/>
      <c r="AC88" s="3333"/>
    </row>
    <row r="89" spans="1:29" s="3339" customFormat="1" ht="15.75" thickTop="1">
      <c r="A89" s="3360"/>
      <c r="B89" s="3518" t="str">
        <f>B27</f>
        <v>楼层</v>
      </c>
      <c r="C89" s="3534"/>
      <c r="D89" s="3534"/>
      <c r="E89" s="3534"/>
      <c r="F89" s="3569"/>
      <c r="G89" s="3534"/>
      <c r="H89" s="3534"/>
      <c r="I89" s="3534"/>
      <c r="J89" s="3534"/>
      <c r="K89" s="3534"/>
      <c r="L89" s="3534"/>
      <c r="M89" s="3567"/>
      <c r="N89" s="3502"/>
      <c r="O89" s="3502"/>
      <c r="P89" s="3513"/>
      <c r="Q89" s="3479"/>
      <c r="R89" s="3333"/>
      <c r="S89" s="3333"/>
      <c r="T89" s="3333"/>
      <c r="U89" s="3333"/>
      <c r="V89" s="3333"/>
      <c r="W89" s="3333"/>
      <c r="X89" s="3333"/>
      <c r="Y89" s="3333"/>
      <c r="Z89" s="3333"/>
      <c r="AA89" s="3333"/>
      <c r="AB89" s="3333"/>
      <c r="AC89" s="3333"/>
    </row>
    <row r="90" spans="1:29" s="3339" customFormat="1" ht="15.75" thickBot="1">
      <c r="A90" s="3360"/>
      <c r="B90" s="3523"/>
      <c r="C90" s="3568">
        <v>100</v>
      </c>
      <c r="D90" s="3531">
        <f>C90-$K27</f>
        <v>100</v>
      </c>
      <c r="E90" s="3531">
        <f t="shared" ref="E90:M90" si="20">D90-$K27</f>
        <v>100</v>
      </c>
      <c r="F90" s="3531">
        <f t="shared" si="20"/>
        <v>100</v>
      </c>
      <c r="G90" s="3531">
        <f t="shared" si="20"/>
        <v>100</v>
      </c>
      <c r="H90" s="3531">
        <f t="shared" si="20"/>
        <v>100</v>
      </c>
      <c r="I90" s="3531">
        <f t="shared" si="20"/>
        <v>100</v>
      </c>
      <c r="J90" s="3531">
        <f t="shared" si="20"/>
        <v>100</v>
      </c>
      <c r="K90" s="3531">
        <f t="shared" si="20"/>
        <v>100</v>
      </c>
      <c r="L90" s="3531">
        <f t="shared" si="20"/>
        <v>100</v>
      </c>
      <c r="M90" s="3531">
        <f t="shared" si="20"/>
        <v>100</v>
      </c>
      <c r="N90" s="3517"/>
      <c r="O90" s="3517"/>
      <c r="P90" s="3513"/>
      <c r="Q90" s="3479"/>
      <c r="R90" s="3333"/>
      <c r="S90" s="3333"/>
      <c r="T90" s="3333"/>
      <c r="U90" s="3333"/>
      <c r="V90" s="3333"/>
      <c r="W90" s="3333"/>
      <c r="X90" s="3333"/>
      <c r="Y90" s="3333"/>
      <c r="Z90" s="3333"/>
      <c r="AA90" s="3333"/>
      <c r="AB90" s="3333"/>
      <c r="AC90" s="3333"/>
    </row>
    <row r="91" spans="1:29" s="3422" customFormat="1" ht="15.75" thickTop="1">
      <c r="A91" s="3533"/>
      <c r="B91" s="3518" t="str">
        <f>B28</f>
        <v>朝向</v>
      </c>
      <c r="C91" s="3534"/>
      <c r="D91" s="3534"/>
      <c r="E91" s="3534"/>
      <c r="F91" s="3534"/>
      <c r="G91" s="3534"/>
      <c r="H91" s="3535"/>
      <c r="I91" s="3535"/>
      <c r="J91" s="3535"/>
      <c r="K91" s="3535"/>
      <c r="L91" s="3536"/>
      <c r="M91" s="3537"/>
      <c r="N91" s="3538"/>
      <c r="O91" s="3538"/>
      <c r="P91" s="3539"/>
      <c r="Q91" s="3540"/>
      <c r="R91" s="3416"/>
      <c r="S91" s="3416"/>
      <c r="T91" s="3416"/>
      <c r="U91" s="3416"/>
      <c r="V91" s="3416"/>
      <c r="W91" s="3416"/>
      <c r="X91" s="3416"/>
      <c r="Y91" s="3416"/>
      <c r="Z91" s="3416"/>
      <c r="AA91" s="3416"/>
      <c r="AB91" s="3416"/>
      <c r="AC91" s="3416"/>
    </row>
    <row r="92" spans="1:29" s="3422" customFormat="1" ht="15.75" thickBot="1">
      <c r="A92" s="3533"/>
      <c r="B92" s="3523"/>
      <c r="C92" s="3568">
        <v>100</v>
      </c>
      <c r="D92" s="3531">
        <f t="shared" ref="D92:M92" si="21">C92-$K28</f>
        <v>100</v>
      </c>
      <c r="E92" s="3531">
        <f t="shared" si="21"/>
        <v>100</v>
      </c>
      <c r="F92" s="3531">
        <f t="shared" si="21"/>
        <v>100</v>
      </c>
      <c r="G92" s="3531">
        <f t="shared" si="21"/>
        <v>100</v>
      </c>
      <c r="H92" s="3531">
        <f t="shared" si="21"/>
        <v>100</v>
      </c>
      <c r="I92" s="3531">
        <f t="shared" si="21"/>
        <v>100</v>
      </c>
      <c r="J92" s="3531">
        <f t="shared" si="21"/>
        <v>100</v>
      </c>
      <c r="K92" s="3531">
        <f t="shared" si="21"/>
        <v>100</v>
      </c>
      <c r="L92" s="3531">
        <f t="shared" si="21"/>
        <v>100</v>
      </c>
      <c r="M92" s="3531">
        <f t="shared" si="21"/>
        <v>100</v>
      </c>
      <c r="N92" s="3538"/>
      <c r="O92" s="3538"/>
      <c r="P92" s="3539"/>
      <c r="Q92" s="3540"/>
      <c r="R92" s="3416"/>
      <c r="S92" s="3416"/>
      <c r="T92" s="3416"/>
      <c r="U92" s="3416"/>
      <c r="V92" s="3416"/>
      <c r="W92" s="3416"/>
      <c r="X92" s="3416"/>
      <c r="Y92" s="3416"/>
      <c r="Z92" s="3416"/>
      <c r="AA92" s="3416"/>
      <c r="AB92" s="3416"/>
      <c r="AC92" s="3416"/>
    </row>
    <row r="93" spans="1:29" ht="15.75" thickTop="1">
      <c r="A93" s="3355"/>
      <c r="B93" s="3518" t="str">
        <f>B29</f>
        <v>楼层</v>
      </c>
      <c r="C93" s="3534" t="str">
        <f>C29</f>
        <v>中楼层/28</v>
      </c>
      <c r="D93" s="3534"/>
      <c r="E93" s="3364" t="str">
        <f>G29</f>
        <v>高楼层/20</v>
      </c>
      <c r="F93" s="3534" t="str">
        <f>I29</f>
        <v>低楼层/28</v>
      </c>
      <c r="G93" s="3534"/>
      <c r="H93" s="3534"/>
      <c r="I93" s="3534"/>
      <c r="J93" s="3534"/>
      <c r="K93" s="3534"/>
      <c r="L93" s="3566"/>
      <c r="M93" s="3567"/>
      <c r="N93" s="3512"/>
      <c r="O93" s="3512"/>
      <c r="P93" s="3513"/>
      <c r="Q93" s="3479"/>
      <c r="R93" s="3316"/>
      <c r="S93" s="3316"/>
      <c r="T93" s="3316"/>
      <c r="U93" s="3316"/>
      <c r="V93" s="3316"/>
      <c r="W93" s="3316"/>
      <c r="X93" s="3316"/>
      <c r="Y93" s="3316"/>
      <c r="Z93" s="3316"/>
      <c r="AA93" s="3316"/>
      <c r="AB93" s="3316"/>
      <c r="AC93" s="3316"/>
    </row>
    <row r="94" spans="1:29" ht="15.75" thickBot="1">
      <c r="A94" s="3355"/>
      <c r="B94" s="3523"/>
      <c r="C94" s="3541">
        <v>100</v>
      </c>
      <c r="D94" s="3515"/>
      <c r="E94" s="3515">
        <v>102</v>
      </c>
      <c r="F94" s="3515">
        <v>98</v>
      </c>
      <c r="G94" s="3515"/>
      <c r="H94" s="3515"/>
      <c r="I94" s="3515"/>
      <c r="J94" s="3515"/>
      <c r="K94" s="3515"/>
      <c r="L94" s="3515"/>
      <c r="M94" s="3516"/>
      <c r="N94" s="3517"/>
      <c r="O94" s="3517"/>
      <c r="P94" s="3513"/>
      <c r="Q94" s="3479"/>
      <c r="R94" s="3316"/>
      <c r="S94" s="3316"/>
      <c r="T94" s="3316"/>
      <c r="U94" s="3316"/>
      <c r="V94" s="3316"/>
      <c r="W94" s="3316"/>
      <c r="X94" s="3316"/>
      <c r="Y94" s="3316"/>
      <c r="Z94" s="3316"/>
      <c r="AA94" s="3316"/>
      <c r="AB94" s="3316"/>
      <c r="AC94" s="3316"/>
    </row>
    <row r="95" spans="1:29" ht="15.75" thickTop="1">
      <c r="A95" s="3355"/>
      <c r="B95" s="3518">
        <f>B30</f>
        <v>111</v>
      </c>
      <c r="C95" s="3534"/>
      <c r="D95" s="3534"/>
      <c r="E95" s="3534"/>
      <c r="F95" s="3534"/>
      <c r="G95" s="3519"/>
      <c r="H95" s="3519"/>
      <c r="I95" s="3519"/>
      <c r="J95" s="3519"/>
      <c r="K95" s="3520"/>
      <c r="L95" s="3521"/>
      <c r="M95" s="3522"/>
      <c r="N95" s="3512"/>
      <c r="O95" s="3512"/>
      <c r="P95" s="3513"/>
      <c r="Q95" s="3479"/>
      <c r="R95" s="3316"/>
      <c r="S95" s="3316"/>
      <c r="T95" s="3316"/>
      <c r="U95" s="3316"/>
      <c r="V95" s="3316"/>
      <c r="W95" s="3316"/>
      <c r="X95" s="3316"/>
      <c r="Y95" s="3316"/>
      <c r="Z95" s="3316"/>
      <c r="AA95" s="3316"/>
      <c r="AB95" s="3316"/>
      <c r="AC95" s="3316"/>
    </row>
    <row r="96" spans="1:29" ht="15.75" thickBot="1">
      <c r="A96" s="3355"/>
      <c r="B96" s="3523"/>
      <c r="C96" s="3541"/>
      <c r="D96" s="3541"/>
      <c r="E96" s="3541"/>
      <c r="F96" s="3541"/>
      <c r="G96" s="3515"/>
      <c r="H96" s="3515"/>
      <c r="I96" s="3515"/>
      <c r="J96" s="3515"/>
      <c r="K96" s="3515"/>
      <c r="L96" s="3515"/>
      <c r="M96" s="3516"/>
      <c r="N96" s="3517"/>
      <c r="O96" s="3517"/>
      <c r="P96" s="3513"/>
      <c r="Q96" s="3479"/>
      <c r="R96" s="3316"/>
      <c r="S96" s="3316"/>
      <c r="T96" s="3316"/>
      <c r="U96" s="3316"/>
      <c r="V96" s="3316"/>
      <c r="W96" s="3316"/>
      <c r="X96" s="3316"/>
      <c r="Y96" s="3316"/>
      <c r="Z96" s="3316"/>
      <c r="AA96" s="3316"/>
      <c r="AB96" s="3316"/>
      <c r="AC96" s="3316"/>
    </row>
    <row r="97" spans="1:29" ht="15.75" thickTop="1">
      <c r="A97" s="3355"/>
      <c r="B97" s="3518">
        <f>B31</f>
        <v>111</v>
      </c>
      <c r="C97" s="3534"/>
      <c r="D97" s="3534"/>
      <c r="E97" s="3534"/>
      <c r="F97" s="3534"/>
      <c r="G97" s="3519"/>
      <c r="H97" s="3519"/>
      <c r="I97" s="3519"/>
      <c r="J97" s="3519"/>
      <c r="K97" s="3520"/>
      <c r="L97" s="3521"/>
      <c r="M97" s="3522"/>
      <c r="N97" s="3512"/>
      <c r="O97" s="3512"/>
      <c r="P97" s="3513"/>
      <c r="Q97" s="3479"/>
      <c r="R97" s="3316"/>
      <c r="S97" s="3316"/>
      <c r="T97" s="3316"/>
      <c r="U97" s="3316"/>
      <c r="V97" s="3316"/>
      <c r="W97" s="3316"/>
      <c r="X97" s="3316"/>
      <c r="Y97" s="3316"/>
      <c r="Z97" s="3316"/>
      <c r="AA97" s="3316"/>
      <c r="AB97" s="3316"/>
      <c r="AC97" s="3316"/>
    </row>
    <row r="98" spans="1:29" ht="15.75" thickBot="1">
      <c r="A98" s="3355"/>
      <c r="B98" s="3523"/>
      <c r="C98" s="3541"/>
      <c r="D98" s="3515"/>
      <c r="E98" s="3515"/>
      <c r="F98" s="3515"/>
      <c r="G98" s="3515"/>
      <c r="H98" s="3515"/>
      <c r="I98" s="3515"/>
      <c r="J98" s="3515"/>
      <c r="K98" s="3515"/>
      <c r="L98" s="3515"/>
      <c r="M98" s="3516"/>
      <c r="N98" s="3517"/>
      <c r="O98" s="3517"/>
      <c r="P98" s="3513"/>
      <c r="Q98" s="3479"/>
      <c r="R98" s="3316"/>
      <c r="S98" s="3316"/>
      <c r="T98" s="3316"/>
      <c r="U98" s="3316"/>
      <c r="V98" s="3316"/>
      <c r="W98" s="3316"/>
      <c r="X98" s="3316"/>
      <c r="Y98" s="3316"/>
      <c r="Z98" s="3316"/>
      <c r="AA98" s="3316"/>
      <c r="AB98" s="3316"/>
      <c r="AC98" s="3316"/>
    </row>
    <row r="99" spans="1:29" ht="15.75" thickTop="1">
      <c r="A99" s="3355"/>
      <c r="B99" s="3524">
        <f>B32</f>
        <v>111</v>
      </c>
      <c r="C99" s="3499"/>
      <c r="D99" s="3499"/>
      <c r="E99" s="3499"/>
      <c r="F99" s="3499"/>
      <c r="G99" s="3570"/>
      <c r="H99" s="3570"/>
      <c r="I99" s="3570"/>
      <c r="J99" s="3570"/>
      <c r="K99" s="3571"/>
      <c r="L99" s="3572"/>
      <c r="M99" s="3573"/>
      <c r="N99" s="3512"/>
      <c r="O99" s="3512"/>
      <c r="P99" s="3513"/>
      <c r="Q99" s="3479"/>
      <c r="R99" s="3316"/>
      <c r="S99" s="3316"/>
      <c r="T99" s="3316"/>
      <c r="U99" s="3316"/>
      <c r="V99" s="3316"/>
      <c r="W99" s="3316"/>
      <c r="X99" s="3316"/>
      <c r="Y99" s="3316"/>
      <c r="Z99" s="3316"/>
      <c r="AA99" s="3316"/>
      <c r="AB99" s="3316"/>
      <c r="AC99" s="3316"/>
    </row>
    <row r="100" spans="1:29" ht="15.75" thickBot="1">
      <c r="A100" s="3369"/>
      <c r="B100" s="3551"/>
      <c r="C100" s="3552"/>
      <c r="D100" s="3552"/>
      <c r="E100" s="3552"/>
      <c r="F100" s="3552"/>
      <c r="G100" s="3574"/>
      <c r="H100" s="3574"/>
      <c r="I100" s="3574"/>
      <c r="J100" s="3574"/>
      <c r="K100" s="3574"/>
      <c r="L100" s="3574"/>
      <c r="M100" s="3575"/>
      <c r="N100" s="3517"/>
      <c r="O100" s="3517"/>
      <c r="P100" s="3513"/>
      <c r="Q100" s="3479"/>
      <c r="R100" s="3316"/>
      <c r="S100" s="3316"/>
      <c r="T100" s="3316"/>
      <c r="U100" s="3316"/>
      <c r="V100" s="3316"/>
      <c r="W100" s="3316"/>
      <c r="X100" s="3316"/>
      <c r="Y100" s="3316"/>
      <c r="Z100" s="3316"/>
      <c r="AA100" s="3316"/>
      <c r="AB100" s="3316"/>
      <c r="AC100" s="3316"/>
    </row>
    <row r="101" spans="1:29">
      <c r="A101" s="3374" t="s">
        <v>1694</v>
      </c>
      <c r="B101" s="3506" t="s">
        <v>1736</v>
      </c>
      <c r="C101" s="3508"/>
      <c r="D101" s="3508"/>
      <c r="E101" s="3508"/>
      <c r="F101" s="3508"/>
      <c r="G101" s="3508"/>
      <c r="H101" s="3508"/>
      <c r="I101" s="3508"/>
      <c r="J101" s="3508"/>
      <c r="K101" s="3509"/>
      <c r="L101" s="3510"/>
      <c r="M101" s="3511"/>
      <c r="N101" s="3512"/>
      <c r="O101" s="3512"/>
      <c r="P101" s="3513"/>
      <c r="Q101" s="3479"/>
      <c r="R101" s="3316"/>
      <c r="S101" s="3316"/>
      <c r="T101" s="3316"/>
      <c r="U101" s="3316"/>
      <c r="V101" s="3316"/>
      <c r="W101" s="3316"/>
      <c r="X101" s="3316"/>
      <c r="Y101" s="3316"/>
      <c r="Z101" s="3316"/>
      <c r="AA101" s="3316"/>
      <c r="AB101" s="3316"/>
      <c r="AC101" s="3316"/>
    </row>
    <row r="102" spans="1:29" ht="15.75" thickBot="1">
      <c r="A102" s="3355"/>
      <c r="B102" s="3523"/>
      <c r="C102" s="3531">
        <v>100</v>
      </c>
      <c r="D102" s="3531">
        <f t="shared" ref="D102:M102" si="22">C102-$K33</f>
        <v>100</v>
      </c>
      <c r="E102" s="3531">
        <f t="shared" si="22"/>
        <v>100</v>
      </c>
      <c r="F102" s="3531">
        <f t="shared" si="22"/>
        <v>100</v>
      </c>
      <c r="G102" s="3531">
        <f t="shared" si="22"/>
        <v>100</v>
      </c>
      <c r="H102" s="3531">
        <f t="shared" si="22"/>
        <v>100</v>
      </c>
      <c r="I102" s="3531">
        <f t="shared" si="22"/>
        <v>100</v>
      </c>
      <c r="J102" s="3531">
        <f t="shared" si="22"/>
        <v>100</v>
      </c>
      <c r="K102" s="3531">
        <f t="shared" si="22"/>
        <v>100</v>
      </c>
      <c r="L102" s="3531">
        <f t="shared" si="22"/>
        <v>100</v>
      </c>
      <c r="M102" s="3532">
        <f t="shared" si="22"/>
        <v>100</v>
      </c>
      <c r="N102" s="3517"/>
      <c r="O102" s="3517"/>
      <c r="P102" s="3513"/>
      <c r="Q102" s="3479"/>
      <c r="R102" s="3316"/>
      <c r="S102" s="3316"/>
      <c r="T102" s="3316"/>
      <c r="U102" s="3316"/>
      <c r="V102" s="3316"/>
      <c r="W102" s="3316"/>
      <c r="X102" s="3316"/>
      <c r="Y102" s="3316"/>
      <c r="Z102" s="3316"/>
      <c r="AA102" s="3316"/>
      <c r="AB102" s="3316"/>
      <c r="AC102" s="3316"/>
    </row>
    <row r="103" spans="1:29" ht="29.25" thickTop="1">
      <c r="A103" s="3355"/>
      <c r="B103" s="3518" t="s">
        <v>1737</v>
      </c>
      <c r="C103" s="3560" t="str">
        <f>C104&amp;"(含)"&amp;"-"&amp;D104</f>
        <v>0(含)-500</v>
      </c>
      <c r="D103" s="3560" t="str">
        <f t="shared" ref="D103:L103" si="23">D104&amp;"(含)"&amp;"-"&amp;E104</f>
        <v>500(含)-1000</v>
      </c>
      <c r="E103" s="3560" t="str">
        <f t="shared" si="23"/>
        <v>1000(含)-2000</v>
      </c>
      <c r="F103" s="3560" t="str">
        <f t="shared" si="23"/>
        <v>2000(含)-3000</v>
      </c>
      <c r="G103" s="3560" t="str">
        <f t="shared" si="23"/>
        <v>3000(含)-4000</v>
      </c>
      <c r="H103" s="3560" t="str">
        <f t="shared" si="23"/>
        <v>4000(含)-</v>
      </c>
      <c r="I103" s="3560" t="str">
        <f t="shared" si="23"/>
        <v>(含)-</v>
      </c>
      <c r="J103" s="3560" t="str">
        <f t="shared" si="23"/>
        <v>(含)-</v>
      </c>
      <c r="K103" s="3560" t="str">
        <f t="shared" si="23"/>
        <v>(含)-</v>
      </c>
      <c r="L103" s="3560" t="str">
        <f t="shared" si="23"/>
        <v>(含)-</v>
      </c>
      <c r="M103" s="3576" t="str">
        <f>M104&amp;"(含)"&amp;"-"&amp;P104</f>
        <v>(含)-</v>
      </c>
      <c r="N103" s="3502"/>
      <c r="O103" s="3502"/>
      <c r="P103" s="3513"/>
      <c r="Q103" s="3479"/>
      <c r="R103" s="3316"/>
      <c r="S103" s="3316"/>
      <c r="T103" s="3316"/>
      <c r="U103" s="3316"/>
      <c r="V103" s="3316"/>
      <c r="W103" s="3316"/>
      <c r="X103" s="3316"/>
      <c r="Y103" s="3316"/>
      <c r="Z103" s="3316"/>
      <c r="AA103" s="3316"/>
      <c r="AB103" s="3316"/>
      <c r="AC103" s="3316"/>
    </row>
    <row r="104" spans="1:29" s="3422" customFormat="1">
      <c r="A104" s="3414"/>
      <c r="B104" s="3577"/>
      <c r="C104" s="3578">
        <v>0</v>
      </c>
      <c r="D104" s="3578">
        <v>500</v>
      </c>
      <c r="E104" s="3578">
        <v>1000</v>
      </c>
      <c r="F104" s="3578">
        <v>2000</v>
      </c>
      <c r="G104" s="3578">
        <v>3000</v>
      </c>
      <c r="H104" s="3578">
        <v>4000</v>
      </c>
      <c r="I104" s="3578"/>
      <c r="J104" s="3579"/>
      <c r="K104" s="3579"/>
      <c r="L104" s="3580"/>
      <c r="M104" s="3581"/>
      <c r="N104" s="3538"/>
      <c r="O104" s="3538"/>
      <c r="P104" s="3539"/>
      <c r="Q104" s="3540"/>
      <c r="R104" s="3416"/>
      <c r="S104" s="3416"/>
      <c r="T104" s="3416"/>
      <c r="U104" s="3416"/>
      <c r="V104" s="3416"/>
      <c r="W104" s="3416"/>
      <c r="X104" s="3416"/>
      <c r="Y104" s="3416"/>
      <c r="Z104" s="3416"/>
      <c r="AA104" s="3416"/>
      <c r="AB104" s="3416"/>
      <c r="AC104" s="3416"/>
    </row>
    <row r="105" spans="1:29" s="3422" customFormat="1" ht="15.75" thickBot="1">
      <c r="A105" s="3533"/>
      <c r="B105" s="3523"/>
      <c r="C105" s="3541">
        <v>100</v>
      </c>
      <c r="D105" s="3515">
        <v>98</v>
      </c>
      <c r="E105" s="3515">
        <v>96</v>
      </c>
      <c r="F105" s="3515">
        <v>94</v>
      </c>
      <c r="G105" s="3515">
        <v>92</v>
      </c>
      <c r="H105" s="3515">
        <v>90</v>
      </c>
      <c r="I105" s="3515"/>
      <c r="J105" s="3515"/>
      <c r="K105" s="3515"/>
      <c r="L105" s="3515"/>
      <c r="M105" s="3516"/>
      <c r="N105" s="3517"/>
      <c r="O105" s="3517"/>
      <c r="P105" s="3539"/>
      <c r="Q105" s="3540"/>
      <c r="R105" s="3416"/>
      <c r="S105" s="3416"/>
      <c r="T105" s="3416"/>
      <c r="U105" s="3416"/>
      <c r="V105" s="3416"/>
      <c r="W105" s="3416"/>
      <c r="X105" s="3416"/>
      <c r="Y105" s="3416"/>
      <c r="Z105" s="3416"/>
      <c r="AA105" s="3416"/>
      <c r="AB105" s="3416"/>
      <c r="AC105" s="3416"/>
    </row>
    <row r="106" spans="1:29" ht="15" thickTop="1">
      <c r="A106" s="3423"/>
      <c r="B106" s="3518" t="s">
        <v>1738</v>
      </c>
      <c r="C106" s="3582" t="s">
        <v>3755</v>
      </c>
      <c r="D106" s="3534"/>
      <c r="E106" s="3519"/>
      <c r="F106" s="3519"/>
      <c r="G106" s="3519"/>
      <c r="H106" s="3519"/>
      <c r="I106" s="3519"/>
      <c r="J106" s="3519"/>
      <c r="K106" s="3520"/>
      <c r="L106" s="3521"/>
      <c r="M106" s="3522"/>
      <c r="N106" s="3512"/>
      <c r="O106" s="3512"/>
      <c r="P106" s="3513"/>
      <c r="Q106" s="3479"/>
      <c r="R106" s="3316"/>
      <c r="S106" s="3316"/>
      <c r="T106" s="3316"/>
      <c r="U106" s="3316"/>
      <c r="V106" s="3316"/>
      <c r="W106" s="3316"/>
      <c r="X106" s="3316"/>
      <c r="Y106" s="3316"/>
      <c r="Z106" s="3316"/>
      <c r="AA106" s="3316"/>
      <c r="AB106" s="3316"/>
      <c r="AC106" s="3316"/>
    </row>
    <row r="107" spans="1:29" ht="15.75" thickBot="1">
      <c r="A107" s="3355"/>
      <c r="B107" s="3523"/>
      <c r="C107" s="3531">
        <v>100</v>
      </c>
      <c r="D107" s="3531">
        <f t="shared" ref="D107:M107" si="24">C107-$K35</f>
        <v>100</v>
      </c>
      <c r="E107" s="3531">
        <f t="shared" si="24"/>
        <v>100</v>
      </c>
      <c r="F107" s="3531">
        <f t="shared" si="24"/>
        <v>100</v>
      </c>
      <c r="G107" s="3531">
        <f t="shared" si="24"/>
        <v>100</v>
      </c>
      <c r="H107" s="3531">
        <f t="shared" si="24"/>
        <v>100</v>
      </c>
      <c r="I107" s="3531">
        <f t="shared" si="24"/>
        <v>100</v>
      </c>
      <c r="J107" s="3531">
        <f t="shared" si="24"/>
        <v>100</v>
      </c>
      <c r="K107" s="3531">
        <f t="shared" si="24"/>
        <v>100</v>
      </c>
      <c r="L107" s="3531">
        <f t="shared" si="24"/>
        <v>100</v>
      </c>
      <c r="M107" s="3532">
        <f t="shared" si="24"/>
        <v>100</v>
      </c>
      <c r="N107" s="3517"/>
      <c r="O107" s="3517"/>
      <c r="P107" s="3513"/>
      <c r="Q107" s="3479"/>
      <c r="R107" s="3316"/>
      <c r="S107" s="3316"/>
      <c r="T107" s="3316"/>
      <c r="U107" s="3316"/>
      <c r="V107" s="3316"/>
      <c r="W107" s="3316"/>
      <c r="X107" s="3316"/>
      <c r="Y107" s="3316"/>
      <c r="Z107" s="3316"/>
      <c r="AA107" s="3316"/>
      <c r="AB107" s="3316"/>
      <c r="AC107" s="3316"/>
    </row>
    <row r="108" spans="1:29" ht="15" thickTop="1">
      <c r="A108" s="3423"/>
      <c r="B108" s="3518" t="s">
        <v>1740</v>
      </c>
      <c r="C108" s="3582" t="s">
        <v>3756</v>
      </c>
      <c r="D108" s="3534"/>
      <c r="E108" s="3534"/>
      <c r="F108" s="3519"/>
      <c r="G108" s="3519"/>
      <c r="H108" s="3519"/>
      <c r="I108" s="3519"/>
      <c r="J108" s="3519"/>
      <c r="K108" s="3520"/>
      <c r="L108" s="3521"/>
      <c r="M108" s="3522"/>
      <c r="N108" s="3512"/>
      <c r="O108" s="3512"/>
      <c r="P108" s="3513"/>
      <c r="Q108" s="3479"/>
      <c r="R108" s="3316"/>
      <c r="S108" s="3316"/>
      <c r="T108" s="3316"/>
      <c r="U108" s="3316"/>
      <c r="V108" s="3316"/>
      <c r="W108" s="3316"/>
      <c r="X108" s="3316"/>
      <c r="Y108" s="3316"/>
      <c r="Z108" s="3316"/>
      <c r="AA108" s="3316"/>
      <c r="AB108" s="3316"/>
      <c r="AC108" s="3316"/>
    </row>
    <row r="109" spans="1:29" ht="15.75" thickBot="1">
      <c r="A109" s="3355"/>
      <c r="B109" s="3523"/>
      <c r="C109" s="3531">
        <v>100</v>
      </c>
      <c r="D109" s="3531">
        <f t="shared" ref="D109:M109" si="25">C109-$K36</f>
        <v>100</v>
      </c>
      <c r="E109" s="3531">
        <f t="shared" si="25"/>
        <v>100</v>
      </c>
      <c r="F109" s="3531">
        <f t="shared" si="25"/>
        <v>100</v>
      </c>
      <c r="G109" s="3531">
        <f t="shared" si="25"/>
        <v>100</v>
      </c>
      <c r="H109" s="3531">
        <f t="shared" si="25"/>
        <v>100</v>
      </c>
      <c r="I109" s="3531">
        <f t="shared" si="25"/>
        <v>100</v>
      </c>
      <c r="J109" s="3531">
        <f t="shared" si="25"/>
        <v>100</v>
      </c>
      <c r="K109" s="3531">
        <f t="shared" si="25"/>
        <v>100</v>
      </c>
      <c r="L109" s="3531">
        <f t="shared" si="25"/>
        <v>100</v>
      </c>
      <c r="M109" s="3532">
        <f t="shared" si="25"/>
        <v>100</v>
      </c>
      <c r="N109" s="3517"/>
      <c r="O109" s="3517"/>
      <c r="P109" s="3513"/>
      <c r="Q109" s="3479"/>
      <c r="R109" s="3316"/>
      <c r="S109" s="3316"/>
      <c r="T109" s="3316"/>
      <c r="U109" s="3316"/>
      <c r="V109" s="3316"/>
      <c r="W109" s="3316"/>
      <c r="X109" s="3316"/>
      <c r="Y109" s="3316"/>
      <c r="Z109" s="3316"/>
      <c r="AA109" s="3316"/>
      <c r="AB109" s="3316"/>
      <c r="AC109" s="3316"/>
    </row>
    <row r="110" spans="1:29" ht="15" thickTop="1">
      <c r="A110" s="3423"/>
      <c r="B110" s="3518" t="s">
        <v>1190</v>
      </c>
      <c r="C110" s="3560" t="str">
        <f>C111&amp;"(含)"&amp;"-"&amp;D111</f>
        <v>0.5(含)-0.6</v>
      </c>
      <c r="D110" s="3560" t="str">
        <f>D111&amp;"(含)"&amp;"-"&amp;E111</f>
        <v>0.6(含)-0.7</v>
      </c>
      <c r="E110" s="3560" t="str">
        <f>E111&amp;"(含)"&amp;"-"&amp;F111</f>
        <v>0.7(含)-0.8</v>
      </c>
      <c r="F110" s="3560" t="str">
        <f>F111&amp;"(含)"&amp;"-"&amp;G111</f>
        <v>0.8(含)-0.9</v>
      </c>
      <c r="G110" s="3560" t="str">
        <f>G111&amp;"(含)"&amp;"-"&amp;ROUND(H111,0)&amp;"(含)"</f>
        <v>0.9(含)-1(含)</v>
      </c>
      <c r="H110" s="3560"/>
      <c r="I110" s="3519"/>
      <c r="J110" s="3519"/>
      <c r="K110" s="3520"/>
      <c r="L110" s="3521"/>
      <c r="M110" s="3522"/>
      <c r="N110" s="3512"/>
      <c r="O110" s="3512"/>
      <c r="P110" s="3513"/>
      <c r="Q110" s="3479"/>
      <c r="R110" s="3316"/>
      <c r="S110" s="3316"/>
      <c r="T110" s="3316"/>
      <c r="U110" s="3316"/>
      <c r="V110" s="3316"/>
      <c r="W110" s="3316"/>
      <c r="X110" s="3316"/>
      <c r="Y110" s="3316"/>
      <c r="Z110" s="3316"/>
      <c r="AA110" s="3316"/>
      <c r="AB110" s="3316"/>
      <c r="AC110" s="3316"/>
    </row>
    <row r="111" spans="1:29">
      <c r="A111" s="3423"/>
      <c r="B111" s="3524"/>
      <c r="C111" s="3346">
        <v>0.5</v>
      </c>
      <c r="D111" s="3346">
        <v>0.6</v>
      </c>
      <c r="E111" s="3346">
        <v>0.7</v>
      </c>
      <c r="F111" s="3346">
        <v>0.8</v>
      </c>
      <c r="G111" s="3346">
        <v>0.9</v>
      </c>
      <c r="H111" s="3346">
        <v>1.0001</v>
      </c>
      <c r="I111" s="3583"/>
      <c r="J111" s="3583"/>
      <c r="K111" s="3584"/>
      <c r="L111" s="3585"/>
      <c r="M111" s="3586"/>
      <c r="N111" s="3512"/>
      <c r="O111" s="3512"/>
      <c r="P111" s="3513"/>
      <c r="Q111" s="3479"/>
      <c r="R111" s="3316"/>
      <c r="S111" s="3316"/>
      <c r="T111" s="3316"/>
      <c r="U111" s="3316"/>
      <c r="V111" s="3316"/>
      <c r="W111" s="3316"/>
      <c r="X111" s="3316"/>
      <c r="Y111" s="3316"/>
      <c r="Z111" s="3316"/>
      <c r="AA111" s="3316"/>
      <c r="AB111" s="3316"/>
      <c r="AC111" s="3316"/>
    </row>
    <row r="112" spans="1:29" ht="15.75" thickBot="1">
      <c r="A112" s="3355"/>
      <c r="B112" s="3523"/>
      <c r="C112" s="3568">
        <v>100</v>
      </c>
      <c r="D112" s="3531">
        <f>C112+$K37</f>
        <v>100</v>
      </c>
      <c r="E112" s="3531">
        <f t="shared" ref="E112:M112" si="26">D112+$K37</f>
        <v>100</v>
      </c>
      <c r="F112" s="3531">
        <f t="shared" si="26"/>
        <v>100</v>
      </c>
      <c r="G112" s="3531">
        <f t="shared" si="26"/>
        <v>100</v>
      </c>
      <c r="H112" s="3531">
        <f t="shared" si="26"/>
        <v>100</v>
      </c>
      <c r="I112" s="3531">
        <f t="shared" si="26"/>
        <v>100</v>
      </c>
      <c r="J112" s="3531">
        <f t="shared" si="26"/>
        <v>100</v>
      </c>
      <c r="K112" s="3531">
        <f t="shared" si="26"/>
        <v>100</v>
      </c>
      <c r="L112" s="3531">
        <f t="shared" si="26"/>
        <v>100</v>
      </c>
      <c r="M112" s="3531">
        <f t="shared" si="26"/>
        <v>100</v>
      </c>
      <c r="N112" s="3517"/>
      <c r="O112" s="3517"/>
      <c r="P112" s="3513"/>
      <c r="Q112" s="3479"/>
      <c r="R112" s="3316"/>
      <c r="S112" s="3316"/>
      <c r="T112" s="3316"/>
      <c r="U112" s="3316"/>
      <c r="V112" s="3316"/>
      <c r="W112" s="3316"/>
      <c r="X112" s="3316"/>
      <c r="Y112" s="3316"/>
      <c r="Z112" s="3316"/>
      <c r="AA112" s="3316"/>
      <c r="AB112" s="3316"/>
      <c r="AC112" s="3316"/>
    </row>
    <row r="113" spans="1:29" s="3422" customFormat="1" ht="15" thickTop="1">
      <c r="A113" s="3414"/>
      <c r="B113" s="3518" t="s">
        <v>1824</v>
      </c>
      <c r="C113" s="3582" t="s">
        <v>3757</v>
      </c>
      <c r="D113" s="3534"/>
      <c r="E113" s="3534"/>
      <c r="F113" s="3534"/>
      <c r="G113" s="3534"/>
      <c r="H113" s="3519"/>
      <c r="I113" s="3519"/>
      <c r="J113" s="3519"/>
      <c r="K113" s="3520"/>
      <c r="L113" s="3521"/>
      <c r="M113" s="3522"/>
      <c r="N113" s="3538"/>
      <c r="O113" s="3538"/>
      <c r="P113" s="3539"/>
      <c r="Q113" s="3540"/>
      <c r="R113" s="3416"/>
      <c r="S113" s="3416"/>
      <c r="T113" s="3416"/>
      <c r="U113" s="3416"/>
      <c r="V113" s="3416"/>
      <c r="W113" s="3416"/>
      <c r="X113" s="3416"/>
      <c r="Y113" s="3416"/>
      <c r="Z113" s="3416"/>
      <c r="AA113" s="3416"/>
      <c r="AB113" s="3416"/>
      <c r="AC113" s="3416"/>
    </row>
    <row r="114" spans="1:29" s="3422" customFormat="1" ht="15.75" thickBot="1">
      <c r="A114" s="3533"/>
      <c r="B114" s="3523"/>
      <c r="C114" s="3531">
        <v>100</v>
      </c>
      <c r="D114" s="3531">
        <f>C114-$K38</f>
        <v>100</v>
      </c>
      <c r="E114" s="3531">
        <f t="shared" ref="E114:M114" si="27">D114-$K38</f>
        <v>100</v>
      </c>
      <c r="F114" s="3531">
        <f t="shared" si="27"/>
        <v>100</v>
      </c>
      <c r="G114" s="3531">
        <f t="shared" si="27"/>
        <v>100</v>
      </c>
      <c r="H114" s="3531">
        <f t="shared" si="27"/>
        <v>100</v>
      </c>
      <c r="I114" s="3531">
        <f t="shared" si="27"/>
        <v>100</v>
      </c>
      <c r="J114" s="3531">
        <f t="shared" si="27"/>
        <v>100</v>
      </c>
      <c r="K114" s="3531">
        <f t="shared" si="27"/>
        <v>100</v>
      </c>
      <c r="L114" s="3531">
        <f t="shared" si="27"/>
        <v>100</v>
      </c>
      <c r="M114" s="3531">
        <f t="shared" si="27"/>
        <v>100</v>
      </c>
      <c r="N114" s="3538"/>
      <c r="O114" s="3538"/>
      <c r="P114" s="3539"/>
      <c r="Q114" s="3540"/>
      <c r="R114" s="3416"/>
      <c r="S114" s="3416"/>
      <c r="T114" s="3416"/>
      <c r="U114" s="3416"/>
      <c r="V114" s="3416"/>
      <c r="W114" s="3416"/>
      <c r="X114" s="3416"/>
      <c r="Y114" s="3416"/>
      <c r="Z114" s="3416"/>
      <c r="AA114" s="3416"/>
      <c r="AB114" s="3416"/>
      <c r="AC114" s="3416"/>
    </row>
    <row r="115" spans="1:29" ht="15" thickTop="1">
      <c r="A115" s="3423"/>
      <c r="B115" s="3518" t="s">
        <v>1741</v>
      </c>
      <c r="C115" s="3582" t="s">
        <v>3758</v>
      </c>
      <c r="D115" s="3534"/>
      <c r="E115" s="3519"/>
      <c r="F115" s="3519"/>
      <c r="G115" s="3519"/>
      <c r="H115" s="3519"/>
      <c r="I115" s="3519"/>
      <c r="J115" s="3519"/>
      <c r="K115" s="3520"/>
      <c r="L115" s="3521"/>
      <c r="M115" s="3522"/>
      <c r="N115" s="3512"/>
      <c r="O115" s="3512"/>
      <c r="P115" s="3513"/>
      <c r="Q115" s="3479"/>
      <c r="R115" s="3316"/>
      <c r="S115" s="3316"/>
      <c r="T115" s="3316"/>
      <c r="U115" s="3316"/>
      <c r="V115" s="3316"/>
      <c r="W115" s="3316"/>
      <c r="X115" s="3316"/>
      <c r="Y115" s="3316"/>
      <c r="Z115" s="3316"/>
      <c r="AA115" s="3316"/>
      <c r="AB115" s="3316"/>
      <c r="AC115" s="3316"/>
    </row>
    <row r="116" spans="1:29" ht="15.75" thickBot="1">
      <c r="A116" s="3355"/>
      <c r="B116" s="3523"/>
      <c r="C116" s="3531">
        <v>100</v>
      </c>
      <c r="D116" s="3531">
        <f t="shared" ref="D116:M116" si="28">C116-$K39</f>
        <v>100</v>
      </c>
      <c r="E116" s="3531">
        <f t="shared" si="28"/>
        <v>100</v>
      </c>
      <c r="F116" s="3531">
        <f t="shared" si="28"/>
        <v>100</v>
      </c>
      <c r="G116" s="3531">
        <f t="shared" si="28"/>
        <v>100</v>
      </c>
      <c r="H116" s="3531">
        <f t="shared" si="28"/>
        <v>100</v>
      </c>
      <c r="I116" s="3531">
        <f t="shared" si="28"/>
        <v>100</v>
      </c>
      <c r="J116" s="3531">
        <f t="shared" si="28"/>
        <v>100</v>
      </c>
      <c r="K116" s="3531">
        <f t="shared" si="28"/>
        <v>100</v>
      </c>
      <c r="L116" s="3531">
        <f t="shared" si="28"/>
        <v>100</v>
      </c>
      <c r="M116" s="3532">
        <f t="shared" si="28"/>
        <v>100</v>
      </c>
      <c r="N116" s="3517"/>
      <c r="O116" s="3517"/>
      <c r="P116" s="3513"/>
      <c r="Q116" s="3479"/>
      <c r="R116" s="3316"/>
      <c r="S116" s="3316"/>
      <c r="T116" s="3316"/>
      <c r="U116" s="3316"/>
      <c r="V116" s="3316"/>
      <c r="W116" s="3316"/>
      <c r="X116" s="3316"/>
      <c r="Y116" s="3316"/>
      <c r="Z116" s="3316"/>
      <c r="AA116" s="3316"/>
      <c r="AB116" s="3316"/>
      <c r="AC116" s="3316"/>
    </row>
    <row r="117" spans="1:29" ht="15" thickTop="1">
      <c r="A117" s="3423"/>
      <c r="B117" s="3518" t="s">
        <v>1742</v>
      </c>
      <c r="C117" s="3582" t="s">
        <v>3759</v>
      </c>
      <c r="D117" s="3582" t="s">
        <v>3760</v>
      </c>
      <c r="E117" s="3582" t="s">
        <v>3761</v>
      </c>
      <c r="F117" s="3534"/>
      <c r="G117" s="3534"/>
      <c r="H117" s="3519"/>
      <c r="I117" s="3519"/>
      <c r="J117" s="3519"/>
      <c r="K117" s="3520"/>
      <c r="L117" s="3521"/>
      <c r="M117" s="3522"/>
      <c r="N117" s="3512"/>
      <c r="O117" s="3512"/>
      <c r="P117" s="3513"/>
      <c r="Q117" s="3479"/>
      <c r="R117" s="3316"/>
      <c r="S117" s="3316"/>
      <c r="T117" s="3316"/>
      <c r="U117" s="3316"/>
      <c r="V117" s="3316"/>
      <c r="W117" s="3316"/>
      <c r="X117" s="3316"/>
      <c r="Y117" s="3316"/>
      <c r="Z117" s="3316"/>
      <c r="AA117" s="3316"/>
      <c r="AB117" s="3316"/>
      <c r="AC117" s="3316"/>
    </row>
    <row r="118" spans="1:29" ht="15.75" thickBot="1">
      <c r="A118" s="3355"/>
      <c r="B118" s="3523"/>
      <c r="C118" s="3531">
        <v>100</v>
      </c>
      <c r="D118" s="3531">
        <f>C118-$K40</f>
        <v>100</v>
      </c>
      <c r="E118" s="3531">
        <f>D118-$K40</f>
        <v>100</v>
      </c>
      <c r="F118" s="3531">
        <f>E118-$K40</f>
        <v>100</v>
      </c>
      <c r="G118" s="3531">
        <f>F118-$K40</f>
        <v>100</v>
      </c>
      <c r="H118" s="3531"/>
      <c r="I118" s="3531"/>
      <c r="J118" s="3531"/>
      <c r="K118" s="3531"/>
      <c r="L118" s="3531"/>
      <c r="M118" s="3532"/>
      <c r="N118" s="3517"/>
      <c r="O118" s="3517"/>
      <c r="P118" s="3513"/>
      <c r="Q118" s="3479"/>
      <c r="R118" s="3316"/>
      <c r="S118" s="3316"/>
      <c r="T118" s="3316"/>
      <c r="U118" s="3316"/>
      <c r="V118" s="3316"/>
      <c r="W118" s="3316"/>
      <c r="X118" s="3316"/>
      <c r="Y118" s="3316"/>
      <c r="Z118" s="3316"/>
      <c r="AA118" s="3316"/>
      <c r="AB118" s="3316"/>
      <c r="AC118" s="3316"/>
    </row>
    <row r="119" spans="1:29" ht="15" thickTop="1">
      <c r="A119" s="3423"/>
      <c r="B119" s="3587" t="s">
        <v>1825</v>
      </c>
      <c r="C119" s="3519"/>
      <c r="D119" s="3519"/>
      <c r="E119" s="3519"/>
      <c r="F119" s="3519"/>
      <c r="G119" s="3519"/>
      <c r="H119" s="3519"/>
      <c r="I119" s="3519"/>
      <c r="J119" s="3519"/>
      <c r="K119" s="3519"/>
      <c r="L119" s="3588"/>
      <c r="M119" s="3589"/>
      <c r="N119" s="3517"/>
      <c r="O119" s="3517"/>
      <c r="P119" s="3590"/>
      <c r="Q119" s="3591"/>
      <c r="R119" s="3316"/>
      <c r="S119" s="3316"/>
      <c r="T119" s="3316"/>
      <c r="U119" s="3316"/>
      <c r="V119" s="3316"/>
      <c r="W119" s="3316"/>
      <c r="X119" s="3316"/>
      <c r="Y119" s="3316"/>
      <c r="Z119" s="3316"/>
      <c r="AA119" s="3316"/>
      <c r="AB119" s="3316"/>
      <c r="AC119" s="3316"/>
    </row>
    <row r="120" spans="1:29" ht="15.75" thickBot="1">
      <c r="A120" s="3355"/>
      <c r="B120" s="3523"/>
      <c r="C120" s="3568">
        <v>100</v>
      </c>
      <c r="D120" s="3531">
        <f>C120-$K41</f>
        <v>100</v>
      </c>
      <c r="E120" s="3531">
        <f t="shared" ref="E120:M120" si="29">D120-$K41</f>
        <v>100</v>
      </c>
      <c r="F120" s="3531">
        <f t="shared" si="29"/>
        <v>100</v>
      </c>
      <c r="G120" s="3531">
        <f t="shared" si="29"/>
        <v>100</v>
      </c>
      <c r="H120" s="3531">
        <f t="shared" si="29"/>
        <v>100</v>
      </c>
      <c r="I120" s="3531">
        <f t="shared" si="29"/>
        <v>100</v>
      </c>
      <c r="J120" s="3531">
        <f t="shared" si="29"/>
        <v>100</v>
      </c>
      <c r="K120" s="3531">
        <f t="shared" si="29"/>
        <v>100</v>
      </c>
      <c r="L120" s="3531">
        <f t="shared" si="29"/>
        <v>100</v>
      </c>
      <c r="M120" s="3531">
        <f t="shared" si="29"/>
        <v>100</v>
      </c>
      <c r="N120" s="3517"/>
      <c r="O120" s="3517"/>
      <c r="P120" s="3513"/>
      <c r="Q120" s="3479"/>
      <c r="R120" s="3316"/>
      <c r="S120" s="3316"/>
      <c r="T120" s="3316"/>
      <c r="U120" s="3316"/>
      <c r="V120" s="3316"/>
      <c r="W120" s="3316"/>
      <c r="X120" s="3316"/>
      <c r="Y120" s="3316"/>
      <c r="Z120" s="3316"/>
      <c r="AA120" s="3316"/>
      <c r="AB120" s="3316"/>
      <c r="AC120" s="3316"/>
    </row>
    <row r="121" spans="1:29" s="3422" customFormat="1" ht="15" thickTop="1">
      <c r="A121" s="3414"/>
      <c r="B121" s="3518" t="s">
        <v>1808</v>
      </c>
      <c r="C121" s="3534"/>
      <c r="D121" s="3534"/>
      <c r="E121" s="3534"/>
      <c r="F121" s="3519"/>
      <c r="G121" s="3535"/>
      <c r="H121" s="3535"/>
      <c r="I121" s="3535"/>
      <c r="J121" s="3535"/>
      <c r="K121" s="3535"/>
      <c r="L121" s="3536"/>
      <c r="M121" s="3537"/>
      <c r="N121" s="3538"/>
      <c r="O121" s="3538"/>
      <c r="P121" s="3539"/>
      <c r="Q121" s="3540"/>
      <c r="R121" s="3416"/>
      <c r="S121" s="3416"/>
      <c r="T121" s="3416"/>
      <c r="U121" s="3416"/>
      <c r="V121" s="3416"/>
      <c r="W121" s="3416"/>
      <c r="X121" s="3416"/>
      <c r="Y121" s="3416"/>
      <c r="Z121" s="3416"/>
      <c r="AA121" s="3416"/>
      <c r="AB121" s="3416"/>
      <c r="AC121" s="3416"/>
    </row>
    <row r="122" spans="1:29" s="3422" customFormat="1" ht="15.75" thickBot="1">
      <c r="A122" s="3533"/>
      <c r="B122" s="3514"/>
      <c r="C122" s="3541"/>
      <c r="D122" s="3541"/>
      <c r="E122" s="3541"/>
      <c r="F122" s="3541"/>
      <c r="G122" s="3541"/>
      <c r="H122" s="3541"/>
      <c r="I122" s="3541"/>
      <c r="J122" s="3541"/>
      <c r="K122" s="3541"/>
      <c r="L122" s="3541"/>
      <c r="M122" s="3541"/>
      <c r="N122" s="3538"/>
      <c r="O122" s="3538"/>
      <c r="P122" s="3539"/>
      <c r="Q122" s="3540"/>
      <c r="R122" s="3416"/>
      <c r="S122" s="3416"/>
      <c r="T122" s="3416"/>
      <c r="U122" s="3416"/>
      <c r="V122" s="3416"/>
      <c r="W122" s="3416"/>
      <c r="X122" s="3416"/>
      <c r="Y122" s="3416"/>
      <c r="Z122" s="3416"/>
      <c r="AA122" s="3416"/>
      <c r="AB122" s="3416"/>
      <c r="AC122" s="3416"/>
    </row>
    <row r="123" spans="1:29" ht="15" thickTop="1">
      <c r="A123" s="3423"/>
      <c r="B123" s="3518" t="s">
        <v>1744</v>
      </c>
      <c r="C123" s="3534"/>
      <c r="D123" s="3534"/>
      <c r="E123" s="3534"/>
      <c r="F123" s="3519"/>
      <c r="G123" s="3519"/>
      <c r="H123" s="3519"/>
      <c r="I123" s="3519"/>
      <c r="J123" s="3519"/>
      <c r="K123" s="3520"/>
      <c r="L123" s="3521"/>
      <c r="M123" s="3522"/>
      <c r="N123" s="3512"/>
      <c r="O123" s="3512"/>
      <c r="P123" s="3513"/>
      <c r="Q123" s="3479"/>
      <c r="R123" s="3316"/>
      <c r="S123" s="3316"/>
      <c r="T123" s="3316"/>
      <c r="U123" s="3316"/>
      <c r="V123" s="3316"/>
      <c r="W123" s="3316"/>
      <c r="X123" s="3316"/>
      <c r="Y123" s="3316"/>
      <c r="Z123" s="3316"/>
      <c r="AA123" s="3316"/>
      <c r="AB123" s="3316"/>
      <c r="AC123" s="3316"/>
    </row>
    <row r="124" spans="1:29" ht="15.75" thickBot="1">
      <c r="A124" s="3355"/>
      <c r="B124" s="3523"/>
      <c r="C124" s="3531">
        <v>100</v>
      </c>
      <c r="D124" s="3531">
        <f t="shared" ref="D124:M124" si="30">C124-$K43</f>
        <v>100</v>
      </c>
      <c r="E124" s="3531">
        <f t="shared" si="30"/>
        <v>100</v>
      </c>
      <c r="F124" s="3531">
        <f t="shared" si="30"/>
        <v>100</v>
      </c>
      <c r="G124" s="3531">
        <f t="shared" si="30"/>
        <v>100</v>
      </c>
      <c r="H124" s="3531">
        <f t="shared" si="30"/>
        <v>100</v>
      </c>
      <c r="I124" s="3531">
        <f t="shared" si="30"/>
        <v>100</v>
      </c>
      <c r="J124" s="3531">
        <f t="shared" si="30"/>
        <v>100</v>
      </c>
      <c r="K124" s="3531">
        <f t="shared" si="30"/>
        <v>100</v>
      </c>
      <c r="L124" s="3531">
        <f t="shared" si="30"/>
        <v>100</v>
      </c>
      <c r="M124" s="3532">
        <f t="shared" si="30"/>
        <v>100</v>
      </c>
      <c r="N124" s="3517"/>
      <c r="O124" s="3517"/>
      <c r="P124" s="3513"/>
      <c r="Q124" s="3479"/>
      <c r="R124" s="3316"/>
      <c r="S124" s="3316"/>
      <c r="T124" s="3316"/>
      <c r="U124" s="3316"/>
      <c r="V124" s="3316"/>
      <c r="W124" s="3316"/>
      <c r="X124" s="3316"/>
      <c r="Y124" s="3316"/>
      <c r="Z124" s="3316"/>
      <c r="AA124" s="3316"/>
      <c r="AB124" s="3316"/>
      <c r="AC124" s="3316"/>
    </row>
    <row r="125" spans="1:29" ht="15" thickTop="1">
      <c r="A125" s="3423"/>
      <c r="B125" s="3518" t="s">
        <v>1745</v>
      </c>
      <c r="C125" s="3560" t="s">
        <v>1721</v>
      </c>
      <c r="D125" s="3560" t="s">
        <v>1722</v>
      </c>
      <c r="E125" s="3560" t="s">
        <v>1723</v>
      </c>
      <c r="F125" s="3560" t="s">
        <v>1724</v>
      </c>
      <c r="G125" s="3560" t="s">
        <v>1725</v>
      </c>
      <c r="H125" s="3561"/>
      <c r="I125" s="3561"/>
      <c r="J125" s="3561"/>
      <c r="K125" s="3562"/>
      <c r="L125" s="3563"/>
      <c r="M125" s="3564"/>
      <c r="N125" s="3512"/>
      <c r="O125" s="3512"/>
      <c r="P125" s="3539"/>
      <c r="Q125" s="3479"/>
      <c r="R125" s="3316"/>
      <c r="S125" s="3316"/>
      <c r="T125" s="3316"/>
      <c r="U125" s="3316"/>
      <c r="V125" s="3316"/>
      <c r="W125" s="3316"/>
      <c r="X125" s="3316"/>
      <c r="Y125" s="3316"/>
      <c r="Z125" s="3316"/>
      <c r="AA125" s="3316"/>
      <c r="AB125" s="3316"/>
      <c r="AC125" s="3316"/>
    </row>
    <row r="126" spans="1:29" ht="15.75" thickBot="1">
      <c r="A126" s="3355"/>
      <c r="B126" s="3523"/>
      <c r="C126" s="3531">
        <v>100</v>
      </c>
      <c r="D126" s="3531">
        <f>C126-$K44</f>
        <v>100</v>
      </c>
      <c r="E126" s="3531">
        <f>D126-$K44</f>
        <v>100</v>
      </c>
      <c r="F126" s="3531">
        <f>E126-$K44</f>
        <v>100</v>
      </c>
      <c r="G126" s="3531">
        <f>F126-$K44</f>
        <v>100</v>
      </c>
      <c r="H126" s="3531"/>
      <c r="I126" s="3531"/>
      <c r="J126" s="3531"/>
      <c r="K126" s="3531"/>
      <c r="L126" s="3531"/>
      <c r="M126" s="3532"/>
      <c r="N126" s="3517"/>
      <c r="O126" s="3517"/>
      <c r="P126" s="3513"/>
      <c r="Q126" s="3479"/>
      <c r="R126" s="3316"/>
      <c r="S126" s="3316"/>
      <c r="T126" s="3316"/>
      <c r="U126" s="3316"/>
      <c r="V126" s="3316"/>
      <c r="W126" s="3316"/>
      <c r="X126" s="3316"/>
      <c r="Y126" s="3316"/>
      <c r="Z126" s="3316"/>
      <c r="AA126" s="3316"/>
      <c r="AB126" s="3316"/>
      <c r="AC126" s="3316"/>
    </row>
    <row r="127" spans="1:29" s="3422" customFormat="1" ht="15" thickTop="1">
      <c r="A127" s="3414"/>
      <c r="B127" s="3518" t="str">
        <f>B45</f>
        <v>建成年份</v>
      </c>
      <c r="C127" s="3534">
        <v>2001</v>
      </c>
      <c r="D127" s="3534">
        <v>2005</v>
      </c>
      <c r="E127" s="3534"/>
      <c r="F127" s="3534"/>
      <c r="G127" s="3534"/>
      <c r="H127" s="3535"/>
      <c r="I127" s="3535"/>
      <c r="J127" s="3535"/>
      <c r="K127" s="3535"/>
      <c r="L127" s="3536"/>
      <c r="M127" s="3537"/>
      <c r="N127" s="3538"/>
      <c r="O127" s="3538"/>
      <c r="P127" s="3539"/>
      <c r="Q127" s="3540"/>
      <c r="R127" s="3416"/>
      <c r="S127" s="3416"/>
      <c r="T127" s="3416"/>
      <c r="U127" s="3416"/>
      <c r="V127" s="3416"/>
      <c r="W127" s="3416"/>
      <c r="X127" s="3416"/>
      <c r="Y127" s="3416"/>
      <c r="Z127" s="3416"/>
      <c r="AA127" s="3416"/>
      <c r="AB127" s="3416"/>
      <c r="AC127" s="3416"/>
    </row>
    <row r="128" spans="1:29" s="3422" customFormat="1" ht="15.75" thickBot="1">
      <c r="A128" s="3533"/>
      <c r="B128" s="3523"/>
      <c r="C128" s="3541">
        <v>100</v>
      </c>
      <c r="D128" s="3515">
        <v>100.4</v>
      </c>
      <c r="E128" s="3515"/>
      <c r="F128" s="3515"/>
      <c r="G128" s="3541"/>
      <c r="H128" s="3544"/>
      <c r="I128" s="3544"/>
      <c r="J128" s="3544"/>
      <c r="K128" s="3544"/>
      <c r="L128" s="3544"/>
      <c r="M128" s="3545"/>
      <c r="N128" s="3538"/>
      <c r="O128" s="3538"/>
      <c r="P128" s="3539"/>
      <c r="Q128" s="3540"/>
      <c r="R128" s="3416"/>
      <c r="S128" s="3416"/>
      <c r="T128" s="3416"/>
      <c r="U128" s="3416"/>
      <c r="V128" s="3416"/>
      <c r="W128" s="3416"/>
      <c r="X128" s="3416"/>
      <c r="Y128" s="3416"/>
      <c r="Z128" s="3416"/>
      <c r="AA128" s="3416"/>
      <c r="AB128" s="3416"/>
      <c r="AC128" s="3416"/>
    </row>
    <row r="129" spans="1:29" ht="15" thickTop="1">
      <c r="A129" s="3423"/>
      <c r="B129" s="3518">
        <f>B46</f>
        <v>111</v>
      </c>
      <c r="C129" s="3534"/>
      <c r="D129" s="3534"/>
      <c r="E129" s="3534"/>
      <c r="F129" s="3534"/>
      <c r="G129" s="3519"/>
      <c r="H129" s="3519"/>
      <c r="I129" s="3519"/>
      <c r="J129" s="3519"/>
      <c r="K129" s="3520"/>
      <c r="L129" s="3521"/>
      <c r="M129" s="3522"/>
      <c r="N129" s="3512"/>
      <c r="O129" s="3512"/>
      <c r="P129" s="3513"/>
      <c r="Q129" s="3479"/>
      <c r="R129" s="3316"/>
      <c r="S129" s="3316"/>
      <c r="T129" s="3316"/>
      <c r="U129" s="3316"/>
      <c r="V129" s="3316"/>
      <c r="W129" s="3316"/>
      <c r="X129" s="3316"/>
      <c r="Y129" s="3316"/>
      <c r="Z129" s="3316"/>
      <c r="AA129" s="3316"/>
      <c r="AB129" s="3316"/>
      <c r="AC129" s="3316"/>
    </row>
    <row r="130" spans="1:29" ht="15.75" thickBot="1">
      <c r="A130" s="3355"/>
      <c r="B130" s="3523"/>
      <c r="C130" s="3541"/>
      <c r="D130" s="3541"/>
      <c r="E130" s="3541"/>
      <c r="F130" s="3541"/>
      <c r="G130" s="3515"/>
      <c r="H130" s="3515"/>
      <c r="I130" s="3515"/>
      <c r="J130" s="3515"/>
      <c r="K130" s="3515"/>
      <c r="L130" s="3515"/>
      <c r="M130" s="3516"/>
      <c r="N130" s="3517"/>
      <c r="O130" s="3517"/>
      <c r="P130" s="3513"/>
      <c r="Q130" s="3479"/>
      <c r="R130" s="3316"/>
      <c r="S130" s="3316"/>
      <c r="T130" s="3316"/>
      <c r="U130" s="3316"/>
      <c r="V130" s="3316"/>
      <c r="W130" s="3316"/>
      <c r="X130" s="3316"/>
      <c r="Y130" s="3316"/>
      <c r="Z130" s="3316"/>
      <c r="AA130" s="3316"/>
      <c r="AB130" s="3316"/>
      <c r="AC130" s="3316"/>
    </row>
    <row r="131" spans="1:29" ht="15" thickTop="1">
      <c r="A131" s="3423"/>
      <c r="B131" s="3524">
        <f>B47</f>
        <v>111</v>
      </c>
      <c r="C131" s="3499"/>
      <c r="D131" s="3499"/>
      <c r="E131" s="3499"/>
      <c r="F131" s="3499"/>
      <c r="G131" s="3570"/>
      <c r="H131" s="3570"/>
      <c r="I131" s="3570"/>
      <c r="J131" s="3570"/>
      <c r="K131" s="3499"/>
      <c r="L131" s="3500"/>
      <c r="M131" s="3573"/>
      <c r="N131" s="3512"/>
      <c r="O131" s="3512"/>
      <c r="P131" s="3513"/>
      <c r="Q131" s="3479"/>
      <c r="R131" s="3316"/>
      <c r="S131" s="3316"/>
      <c r="T131" s="3316"/>
      <c r="U131" s="3316"/>
      <c r="V131" s="3316"/>
      <c r="W131" s="3316"/>
      <c r="X131" s="3316"/>
      <c r="Y131" s="3316"/>
      <c r="Z131" s="3316"/>
      <c r="AA131" s="3316"/>
      <c r="AB131" s="3316"/>
      <c r="AC131" s="3316"/>
    </row>
    <row r="132" spans="1:29" ht="15.75" thickBot="1">
      <c r="A132" s="3369"/>
      <c r="B132" s="3551"/>
      <c r="C132" s="3552"/>
      <c r="D132" s="3552"/>
      <c r="E132" s="3552"/>
      <c r="F132" s="3552"/>
      <c r="G132" s="3574"/>
      <c r="H132" s="3574"/>
      <c r="I132" s="3574"/>
      <c r="J132" s="3574"/>
      <c r="K132" s="3574"/>
      <c r="L132" s="3574"/>
      <c r="M132" s="3575"/>
      <c r="N132" s="3517"/>
      <c r="O132" s="3517"/>
      <c r="P132" s="3513"/>
      <c r="Q132" s="3479"/>
      <c r="R132" s="3316"/>
      <c r="S132" s="3316"/>
      <c r="T132" s="3316"/>
      <c r="U132" s="3316"/>
      <c r="V132" s="3316"/>
      <c r="W132" s="3316"/>
      <c r="X132" s="3316"/>
      <c r="Y132" s="3316"/>
      <c r="Z132" s="3316"/>
      <c r="AA132" s="3316"/>
      <c r="AB132" s="3316"/>
      <c r="AC132" s="33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63" priority="14" stopIfTrue="1">
      <formula>$F$53="超过30%"</formula>
    </cfRule>
  </conditionalFormatting>
  <conditionalFormatting sqref="E54">
    <cfRule type="expression" dxfId="62" priority="13" stopIfTrue="1">
      <formula>$F$54="超过20%"</formula>
    </cfRule>
  </conditionalFormatting>
  <conditionalFormatting sqref="E55">
    <cfRule type="expression" dxfId="61" priority="12" stopIfTrue="1">
      <formula>$F$55="超过30%"</formula>
    </cfRule>
  </conditionalFormatting>
  <conditionalFormatting sqref="F7:F47 H7:H47 J7:J47">
    <cfRule type="cellIs" dxfId="60" priority="1" operator="notEqual">
      <formula>100</formula>
    </cfRule>
  </conditionalFormatting>
  <conditionalFormatting sqref="F49">
    <cfRule type="expression" dxfId="59" priority="4">
      <formula>$D$49="简单平均"</formula>
    </cfRule>
  </conditionalFormatting>
  <conditionalFormatting sqref="F53:F55 H53:H55">
    <cfRule type="containsText" dxfId="58" priority="15" stopIfTrue="1" operator="containsText" text="超过">
      <formula>NOT(ISERROR(SEARCH("超过",F53)))</formula>
    </cfRule>
  </conditionalFormatting>
  <conditionalFormatting sqref="G53">
    <cfRule type="expression" dxfId="57" priority="10" stopIfTrue="1">
      <formula>$H$53="超过30%"</formula>
    </cfRule>
  </conditionalFormatting>
  <conditionalFormatting sqref="G54">
    <cfRule type="expression" dxfId="56" priority="9" stopIfTrue="1">
      <formula>$H$54="超过20%"</formula>
    </cfRule>
  </conditionalFormatting>
  <conditionalFormatting sqref="G55">
    <cfRule type="expression" dxfId="55" priority="11" stopIfTrue="1">
      <formula>$H$55="超过30%"</formula>
    </cfRule>
  </conditionalFormatting>
  <conditionalFormatting sqref="H49">
    <cfRule type="expression" dxfId="54" priority="3">
      <formula>$D$49="简单平均"</formula>
    </cfRule>
  </conditionalFormatting>
  <conditionalFormatting sqref="I53">
    <cfRule type="expression" dxfId="53" priority="7" stopIfTrue="1">
      <formula>$J$53="超过30%"</formula>
    </cfRule>
  </conditionalFormatting>
  <conditionalFormatting sqref="I54">
    <cfRule type="expression" dxfId="52" priority="6" stopIfTrue="1">
      <formula>$J$53+$J$54="超过20%"</formula>
    </cfRule>
  </conditionalFormatting>
  <conditionalFormatting sqref="I55">
    <cfRule type="expression" dxfId="51" priority="5" stopIfTrue="1">
      <formula>$J$55="超过30%"</formula>
    </cfRule>
  </conditionalFormatting>
  <conditionalFormatting sqref="J49">
    <cfRule type="expression" dxfId="50" priority="2">
      <formula>$D$49="简单平均"</formula>
    </cfRule>
  </conditionalFormatting>
  <conditionalFormatting sqref="J53:J55">
    <cfRule type="containsText" dxfId="49" priority="8" stopIfTrue="1" operator="containsText" text="超过">
      <formula>NOT(ISERROR(SEARCH("超过",J53)))</formula>
    </cfRule>
  </conditionalFormatting>
  <dataValidations count="25">
    <dataValidation type="list" allowBlank="1" showInputMessage="1" showErrorMessage="1" sqref="C35 E35 G35 I35" xr:uid="{D6040A44-3D9F-4AB4-9445-2BF669C026DD}">
      <formula1>办公建筑结构</formula1>
    </dataValidation>
    <dataValidation type="list" allowBlank="1" showInputMessage="1" showErrorMessage="1" sqref="E24 G24 I24 C24" xr:uid="{09573AE0-8E13-4B45-B1D5-5FFD01B9C697}">
      <formula1>环境</formula1>
    </dataValidation>
    <dataValidation type="list" allowBlank="1" showInputMessage="1" showErrorMessage="1" sqref="E18 G18 I18 C18" xr:uid="{809A31A2-4E66-48EC-9492-13217BB9AC4D}">
      <formula1>交通便捷度</formula1>
    </dataValidation>
    <dataValidation type="list" allowBlank="1" showInputMessage="1" showErrorMessage="1" sqref="E20 I20 G20 C20" xr:uid="{49052633-A04D-4A3D-A810-55F26244FD0B}">
      <formula1>公共配套设施</formula1>
    </dataValidation>
    <dataValidation type="list" allowBlank="1" showInputMessage="1" showErrorMessage="1" sqref="C44 E44 G44 I44" xr:uid="{EC7BD8B9-FB63-48CD-B8F7-DA918DE91283}">
      <formula1>内部装修维护情况</formula1>
    </dataValidation>
    <dataValidation type="list" allowBlank="1" showInputMessage="1" showErrorMessage="1" sqref="D1" xr:uid="{C4E220A3-0D52-43EA-AB3E-709ABFFBE66C}">
      <formula1>项目类型</formula1>
    </dataValidation>
    <dataValidation type="list" allowBlank="1" showInputMessage="1" showErrorMessage="1" sqref="E9 G9 I9" xr:uid="{3BE83761-6D73-40DE-A45F-82702A57B31C}">
      <formula1>办公用途</formula1>
    </dataValidation>
    <dataValidation type="list" allowBlank="1" showInputMessage="1" showErrorMessage="1" sqref="C16 E16 G16 I16" xr:uid="{730CAA48-6210-4C84-8557-D00CFC5EDA86}">
      <formula1>办公集聚程度</formula1>
    </dataValidation>
    <dataValidation type="list" allowBlank="1" showInputMessage="1" showErrorMessage="1" sqref="G26 C26 E26 I26" xr:uid="{ED901A64-88FD-4D08-8D73-8A0806F09774}">
      <formula1>办公道路级别</formula1>
    </dataValidation>
    <dataValidation type="list" allowBlank="1" showInputMessage="1" showErrorMessage="1" sqref="C28 E28 G28 I28" xr:uid="{7AFECD53-D82C-4216-8C74-DCC42DF3149B}">
      <formula1>办公朝向</formula1>
    </dataValidation>
    <dataValidation type="list" allowBlank="1" showInputMessage="1" showErrorMessage="1" sqref="C27 E27 G27 I27" xr:uid="{A75F5C74-8ED7-4E48-AC1E-B52377EF062D}">
      <formula1>办公楼层</formula1>
    </dataValidation>
    <dataValidation type="list" allowBlank="1" showInputMessage="1" showErrorMessage="1" sqref="C33 E33 G33 I33" xr:uid="{FD756AFC-935B-4EFA-9A0F-CB6409F72F37}">
      <formula1>办公建筑类型</formula1>
    </dataValidation>
    <dataValidation type="list" allowBlank="1" showInputMessage="1" showErrorMessage="1" sqref="C36 E36 G36 I36" xr:uid="{834DB0B9-A4A6-48E2-BF5A-9B137C098D82}">
      <formula1>办公公共部分装修</formula1>
    </dataValidation>
    <dataValidation type="list" allowBlank="1" showInputMessage="1" showErrorMessage="1" sqref="C38 E38 G38 I38" xr:uid="{78328A4E-96EF-46B7-900A-4A92202443E9}">
      <formula1>写字楼等级</formula1>
    </dataValidation>
    <dataValidation type="list" allowBlank="1" showInputMessage="1" showErrorMessage="1" sqref="C39 E39 G39 I39" xr:uid="{E88A0A27-ED7E-4C4D-8B81-C4B725058F6A}">
      <formula1>办公物业管理</formula1>
    </dataValidation>
    <dataValidation type="list" allowBlank="1" showInputMessage="1" showErrorMessage="1" sqref="C40 E40 G40 I40" xr:uid="{F13552D5-53AA-471B-81E8-56F9E997DC2C}">
      <formula1>办公基础设施水平</formula1>
    </dataValidation>
    <dataValidation type="list" allowBlank="1" showInputMessage="1" showErrorMessage="1" sqref="C41 E41 G41 I41" xr:uid="{0775775D-E7B8-4431-B606-A129D63813F9}">
      <formula1>办公层高</formula1>
    </dataValidation>
    <dataValidation type="list" allowBlank="1" showInputMessage="1" showErrorMessage="1" sqref="C43 E43 G43 I43" xr:uid="{BB78674B-A854-47F0-8E7A-FA8D51BA9A31}">
      <formula1>办公内部装修</formula1>
    </dataValidation>
    <dataValidation type="list" allowBlank="1" showInputMessage="1" showErrorMessage="1" sqref="C8 E8 G8 I8" xr:uid="{574BF3C1-D405-4C9E-A0B5-15A538F0A1CF}">
      <formula1>办公交易情况</formula1>
    </dataValidation>
    <dataValidation type="list" allowBlank="1" showInputMessage="1" showErrorMessage="1" sqref="C22 E22 G22 I22" xr:uid="{2BFCA583-FD8E-49C8-8AAE-A83A972F7919}">
      <formula1>基础设施水平</formula1>
    </dataValidation>
    <dataValidation type="list" allowBlank="1" showInputMessage="1" showErrorMessage="1" sqref="F1" xr:uid="{5B6EA320-44C0-442A-8844-E68F41FE5DC1}">
      <formula1>"售价,租金"</formula1>
    </dataValidation>
    <dataValidation type="list" allowBlank="1" showInputMessage="1" showErrorMessage="1" sqref="C2" xr:uid="{27DDA555-11C8-44BA-8C6D-CEF4FE4BF1F2}">
      <formula1>"需扣减承租人权益,——"</formula1>
    </dataValidation>
    <dataValidation type="list" allowBlank="1" showInputMessage="1" showErrorMessage="1" sqref="F2" xr:uid="{B756480D-AD50-45B5-97C6-DEE73BD4C60C}">
      <formula1>估价方法</formula1>
    </dataValidation>
    <dataValidation type="list" allowBlank="1" showInputMessage="1" showErrorMessage="1" sqref="D49" xr:uid="{E75F9321-A7C7-4C38-B676-A66DCC63F99E}">
      <formula1>"简单平均,加权平均"</formula1>
    </dataValidation>
    <dataValidation type="list" allowBlank="1" showInputMessage="1" showErrorMessage="1" sqref="E1" xr:uid="{2D766EB4-75CC-4956-9F48-15A9FFD7B726}">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6E4AE-307D-44B3-BF0E-8DC7D4FE8BFB}">
  <sheetPr>
    <tabColor rgb="FF92D050"/>
  </sheetPr>
  <dimension ref="A1:AK83"/>
  <sheetViews>
    <sheetView view="pageBreakPreview" zoomScaleNormal="70" zoomScaleSheetLayoutView="100" workbookViewId="0">
      <selection activeCell="K39" sqref="K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3838</v>
      </c>
      <c r="D1" s="1271" t="s">
        <v>43</v>
      </c>
      <c r="E1" s="1272" t="s">
        <v>678</v>
      </c>
      <c r="F1" s="999">
        <f ca="1">J53</f>
        <v>29.46</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38</v>
      </c>
      <c r="C2" s="1289" t="s">
        <v>805</v>
      </c>
      <c r="D2" s="1289"/>
      <c r="E2" s="1295"/>
      <c r="F2" s="1296"/>
      <c r="G2" s="2479"/>
      <c r="H2" s="2469"/>
      <c r="I2" s="2469"/>
      <c r="J2" s="2469"/>
      <c r="K2" s="2470"/>
      <c r="L2" s="2469"/>
      <c r="M2" s="2469"/>
    </row>
    <row r="3" spans="1:37" ht="18" customHeight="1" thickBot="1">
      <c r="A3" s="1297" t="s">
        <v>806</v>
      </c>
      <c r="B3" s="1298">
        <f ca="1">IF(ISERROR(B2*10000/F43),0,ROUND(B2*10000/F43,0))</f>
        <v>550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v>
      </c>
      <c r="D5" s="1273" t="s">
        <v>693</v>
      </c>
      <c r="E5" s="1008"/>
      <c r="F5" s="1009"/>
      <c r="G5" s="1292"/>
      <c r="H5" s="291">
        <v>1</v>
      </c>
      <c r="I5" s="292" t="s">
        <v>692</v>
      </c>
      <c r="J5" s="1007">
        <f ca="1">J6+J10+J12</f>
        <v>0</v>
      </c>
      <c r="K5" s="1273" t="s">
        <v>693</v>
      </c>
      <c r="L5" s="1008"/>
      <c r="M5" s="1009"/>
    </row>
    <row r="6" spans="1:37" ht="18" customHeight="1">
      <c r="A6" s="1006" t="s">
        <v>398</v>
      </c>
      <c r="B6" s="3852" t="s">
        <v>694</v>
      </c>
      <c r="C6" s="1011">
        <f ca="1">ROUND(F6*F8*F7*(1-F9)/10000,0)</f>
        <v>4</v>
      </c>
      <c r="D6" s="147" t="s">
        <v>2109</v>
      </c>
      <c r="E6" s="294" t="s">
        <v>696</v>
      </c>
      <c r="F6" s="295">
        <f ca="1">INDIRECT("'数据-取费表'!u"&amp;$G$1)</f>
        <v>0.15</v>
      </c>
      <c r="G6" s="1292"/>
      <c r="H6" s="1006" t="s">
        <v>398</v>
      </c>
      <c r="I6" s="3852" t="s">
        <v>694</v>
      </c>
      <c r="J6" s="293">
        <f ca="1">ROUND(M6*M8*M7*(1-M9)/10000,0)</f>
        <v>0</v>
      </c>
      <c r="K6" s="147" t="s">
        <v>2108</v>
      </c>
      <c r="L6" s="294" t="s">
        <v>696</v>
      </c>
      <c r="M6" s="295">
        <f ca="1">INDIRECT("'数据-取费表'!z"&amp;$G$1)</f>
        <v>0</v>
      </c>
    </row>
    <row r="7" spans="1:37" ht="18" customHeight="1">
      <c r="A7" s="1010"/>
      <c r="B7" s="3853"/>
      <c r="C7" s="1012"/>
      <c r="D7" s="299"/>
      <c r="E7" s="1013" t="s">
        <v>697</v>
      </c>
      <c r="F7" s="295">
        <f ca="1">IF(INDIRECT("'数据-取费表'!ah"&amp;$G$1)="",INDIRECT("'数据-取费表'!k"&amp;$G$1),INDIRECT("'数据-取费表'!ah"&amp;$G$1))</f>
        <v>690.59999999999991</v>
      </c>
      <c r="G7" s="1292"/>
      <c r="H7" s="296"/>
      <c r="I7" s="3853"/>
      <c r="J7" s="298"/>
      <c r="K7" s="299"/>
      <c r="L7" s="294" t="s">
        <v>697</v>
      </c>
      <c r="M7" s="295">
        <f ca="1">F7</f>
        <v>690.59999999999991</v>
      </c>
    </row>
    <row r="8" spans="1:37" ht="18" customHeight="1">
      <c r="A8" s="296"/>
      <c r="B8" s="3853"/>
      <c r="C8" s="298"/>
      <c r="D8" s="299"/>
      <c r="E8" s="294" t="s">
        <v>698</v>
      </c>
      <c r="F8" s="295">
        <f ca="1">INDIRECT("'数据-取费表'!ai"&amp;$G$1)</f>
        <v>365</v>
      </c>
      <c r="G8" s="1292"/>
      <c r="H8" s="296"/>
      <c r="I8" s="3853"/>
      <c r="J8" s="298"/>
      <c r="K8" s="299"/>
      <c r="L8" s="294" t="s">
        <v>698</v>
      </c>
      <c r="M8" s="295">
        <f ca="1">INDIRECT("'数据-取费表'!ai"&amp;$G$1)</f>
        <v>365</v>
      </c>
    </row>
    <row r="9" spans="1:37" ht="18" customHeight="1">
      <c r="A9" s="296"/>
      <c r="B9" s="3854"/>
      <c r="C9" s="298"/>
      <c r="D9" s="299"/>
      <c r="E9" s="294" t="s">
        <v>699</v>
      </c>
      <c r="F9" s="304">
        <f ca="1">INDIRECT("'数据-取费表'!w"&amp;$G$1)</f>
        <v>0.05</v>
      </c>
      <c r="G9" s="1292"/>
      <c r="H9" s="296"/>
      <c r="I9" s="385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3700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293</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311</v>
      </c>
      <c r="D14" s="1257" t="s">
        <v>708</v>
      </c>
      <c r="E14" s="1255"/>
      <c r="F14" s="311"/>
      <c r="G14" s="1292"/>
      <c r="H14" s="928" t="s">
        <v>398</v>
      </c>
      <c r="I14" s="294" t="s">
        <v>709</v>
      </c>
      <c r="J14" s="21">
        <f ca="1">C29</f>
        <v>396</v>
      </c>
      <c r="K14" s="12"/>
      <c r="L14" s="759"/>
      <c r="M14" s="760"/>
    </row>
    <row r="15" spans="1:37" s="1304" customFormat="1" ht="18" customHeight="1" thickBot="1">
      <c r="A15" s="928" t="s">
        <v>399</v>
      </c>
      <c r="B15" s="294" t="s">
        <v>710</v>
      </c>
      <c r="C15" s="21">
        <f ca="1">ROUND(C14*F15,0)</f>
        <v>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v>
      </c>
      <c r="K16" s="1024" t="s">
        <v>715</v>
      </c>
      <c r="L16" s="1025"/>
      <c r="M16" s="1009"/>
    </row>
    <row r="17" spans="1:37" s="1304" customFormat="1" ht="18" customHeight="1">
      <c r="A17" s="928" t="s">
        <v>681</v>
      </c>
      <c r="B17" s="294" t="s">
        <v>716</v>
      </c>
      <c r="C17" s="21">
        <f ca="1">ROUND(F17*(F43+INDIRECT("'数据-取费表'!S"&amp;$G$1))/10000,0)</f>
        <v>14</v>
      </c>
      <c r="D17" s="294" t="s">
        <v>717</v>
      </c>
      <c r="E17" s="294" t="s">
        <v>718</v>
      </c>
      <c r="F17" s="23">
        <f>'数据-取费表'!B35</f>
        <v>200</v>
      </c>
      <c r="G17" s="1303"/>
      <c r="H17" s="928" t="s">
        <v>398</v>
      </c>
      <c r="I17" s="294" t="s">
        <v>719</v>
      </c>
      <c r="J17" s="2140">
        <f ca="1">ROUND(IF(AND(项目基本情况!B11="自然人",项目基本情况!B10="北京市"),J6*M17/(1+'数据-取费表'!C42),J18+J19+J20),2)</f>
        <v>0.09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339</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3</v>
      </c>
      <c r="D20" s="315" t="s">
        <v>729</v>
      </c>
      <c r="E20" s="294" t="s">
        <v>712</v>
      </c>
      <c r="F20" s="314">
        <f>'数据-取费表'!B37</f>
        <v>0.01</v>
      </c>
      <c r="G20" s="1303"/>
      <c r="H20" s="928" t="s">
        <v>680</v>
      </c>
      <c r="I20" s="147" t="s">
        <v>730</v>
      </c>
      <c r="J20" s="22">
        <f ca="1">ROUND(M20*M21/10000,2)</f>
        <v>0.09</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72.089999999999989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0.79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2E-3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3.4500000000000003E-2</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v>
      </c>
      <c r="K25" s="1032" t="s">
        <v>753</v>
      </c>
      <c r="L25" s="1033"/>
      <c r="M25" s="1034"/>
    </row>
    <row r="26" spans="1:37">
      <c r="A26" s="928" t="s">
        <v>397</v>
      </c>
      <c r="B26" s="294" t="s">
        <v>754</v>
      </c>
      <c r="C26" s="21">
        <f ca="1">ROUND((C19+C20)*F26,0)</f>
        <v>17</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5.0000000000000001E-4</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396</v>
      </c>
      <c r="D29" s="1029"/>
      <c r="E29" s="1027"/>
      <c r="F29" s="1030"/>
      <c r="G29" s="1303"/>
      <c r="H29" s="325" t="s">
        <v>396</v>
      </c>
      <c r="I29" s="326" t="s">
        <v>768</v>
      </c>
      <c r="J29" s="327">
        <f ca="1">ROUND(J26/(1+F40)^F41,0)</f>
        <v>0</v>
      </c>
      <c r="K29" s="328" t="s">
        <v>769</v>
      </c>
      <c r="L29" s="329"/>
      <c r="M29" s="330">
        <f ca="1">INDIRECT("'数据-取费表'!k"&amp;$G$1)</f>
        <v>690.59999999999991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0.76</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0.21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0.46</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0.09</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72.089999999999989</v>
      </c>
      <c r="G35" s="1292"/>
      <c r="H35" s="2471"/>
      <c r="I35" s="1305"/>
      <c r="J35" s="1306"/>
      <c r="K35" s="2475"/>
      <c r="L35" s="2474"/>
      <c r="M35" s="2474"/>
    </row>
    <row r="36" spans="1:18" ht="18" customHeight="1">
      <c r="A36" s="1039" t="s">
        <v>402</v>
      </c>
      <c r="B36" s="294" t="s">
        <v>738</v>
      </c>
      <c r="C36" s="21">
        <f ca="1">ROUND(C29*F36,2)</f>
        <v>0.79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0.59</v>
      </c>
      <c r="D37" s="1256" t="s">
        <v>743</v>
      </c>
      <c r="E37" s="294" t="s">
        <v>712</v>
      </c>
      <c r="F37" s="321">
        <f ca="1">INDIRECT("'数据-取费表'!Al"&amp;$G$1)</f>
        <v>2E-3</v>
      </c>
      <c r="G37" s="1292"/>
      <c r="H37" s="2474"/>
      <c r="I37" s="1305"/>
      <c r="J37" s="1306"/>
      <c r="K37" s="2331"/>
      <c r="L37" s="2474"/>
      <c r="M37" s="2474"/>
    </row>
    <row r="38" spans="1:18" ht="18" customHeight="1" thickBot="1">
      <c r="A38" s="1026" t="s">
        <v>683</v>
      </c>
      <c r="B38" s="1027" t="s">
        <v>728</v>
      </c>
      <c r="C38" s="1028">
        <f ca="1">ROUND(C5*F38,2)</f>
        <v>0.04</v>
      </c>
      <c r="D38" s="1029" t="s">
        <v>748</v>
      </c>
      <c r="E38" s="1027" t="s">
        <v>712</v>
      </c>
      <c r="F38" s="1023">
        <f ca="1">INDIRECT("'数据-取费表'!Am"&amp;$G$1)</f>
        <v>0.01</v>
      </c>
      <c r="G38" s="1292"/>
      <c r="H38" s="2474"/>
      <c r="I38" s="1305"/>
      <c r="J38" s="1306"/>
      <c r="K38" s="2472"/>
      <c r="L38" s="2474"/>
      <c r="M38" s="2474"/>
    </row>
    <row r="39" spans="1:18" ht="24.6" customHeight="1" thickTop="1">
      <c r="A39" s="1016" t="s">
        <v>394</v>
      </c>
      <c r="B39" s="1031" t="s">
        <v>752</v>
      </c>
      <c r="C39" s="302">
        <f ca="1">C5-C30</f>
        <v>2</v>
      </c>
      <c r="D39" s="1032" t="s">
        <v>753</v>
      </c>
      <c r="E39" s="1033"/>
      <c r="F39" s="1034"/>
      <c r="G39" s="1292"/>
      <c r="H39" s="2474"/>
      <c r="I39" s="1305"/>
      <c r="J39" s="1306"/>
      <c r="K39" s="2472"/>
      <c r="L39" s="2474"/>
      <c r="M39" s="2474"/>
    </row>
    <row r="40" spans="1:18" ht="18" customHeight="1">
      <c r="A40" s="291" t="s">
        <v>395</v>
      </c>
      <c r="B40" s="292" t="s">
        <v>774</v>
      </c>
      <c r="C40" s="293">
        <f ca="1">ROUND(C39*(1-((1+F42)/(1+F40))^F41)/(F40-F42),0)</f>
        <v>38</v>
      </c>
      <c r="D40" s="316" t="s">
        <v>758</v>
      </c>
      <c r="E40" s="294" t="s">
        <v>759</v>
      </c>
      <c r="F40" s="304">
        <f ca="1">INDIRECT("'数据-取费表'!I"&amp;$G$1)</f>
        <v>4.4999999999999998E-2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29.46</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550</v>
      </c>
      <c r="D43" s="328" t="s">
        <v>777</v>
      </c>
      <c r="E43" s="329" t="s">
        <v>778</v>
      </c>
      <c r="F43" s="330">
        <f ca="1">INDIRECT("'数据-取费表'!k"&amp;$G$1)</f>
        <v>690.59999999999991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-54</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3701</v>
      </c>
      <c r="K47" s="1323" t="s">
        <v>816</v>
      </c>
      <c r="L47" s="1324">
        <f ca="1">INDIRECT("'数据-取费表'!d"&amp;$G$1)</f>
        <v>50</v>
      </c>
      <c r="M47" s="1288" t="str">
        <f>IF(ISNUMBER(FIND("住宅",C1)),"住宅","非住宅")</f>
        <v>非住宅</v>
      </c>
      <c r="O47" s="1325" t="s">
        <v>403</v>
      </c>
      <c r="P47" s="1326" t="s">
        <v>817</v>
      </c>
      <c r="Q47" s="1327">
        <f ca="1">C40+J29</f>
        <v>38</v>
      </c>
      <c r="R47" s="1327" t="s">
        <v>818</v>
      </c>
    </row>
    <row r="48" spans="1:18" s="1292" customFormat="1" ht="28.5" thickBot="1">
      <c r="A48" s="1047" t="s">
        <v>438</v>
      </c>
      <c r="B48" s="292" t="s">
        <v>692</v>
      </c>
      <c r="C48" s="1268">
        <f ca="1">C49+C53+C55</f>
        <v>0</v>
      </c>
      <c r="D48" s="1049"/>
      <c r="E48" s="1050"/>
      <c r="F48" s="908"/>
      <c r="G48" s="681"/>
      <c r="H48" s="682"/>
      <c r="I48" s="1328" t="s">
        <v>819</v>
      </c>
      <c r="J48" s="1329" t="s">
        <v>3702</v>
      </c>
      <c r="K48" s="1330" t="s">
        <v>820</v>
      </c>
      <c r="L48" s="1331">
        <f ca="1">INDIRECT("'数据-取费表'!f"&amp;$G$1)</f>
        <v>29.46</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2005</v>
      </c>
      <c r="K49" s="1330" t="s">
        <v>824</v>
      </c>
      <c r="L49" s="1333"/>
      <c r="O49" s="1334" t="s">
        <v>405</v>
      </c>
      <c r="P49" s="1326" t="s">
        <v>825</v>
      </c>
      <c r="Q49" s="1327">
        <f ca="1">C29</f>
        <v>396</v>
      </c>
      <c r="R49" s="1327" t="s">
        <v>818</v>
      </c>
    </row>
    <row r="50" spans="1:18" s="1292" customFormat="1" ht="13.5" thickBot="1">
      <c r="A50" s="922"/>
      <c r="B50" s="925"/>
      <c r="C50" s="1055"/>
      <c r="D50" s="899"/>
      <c r="E50" s="993" t="s">
        <v>697</v>
      </c>
      <c r="F50" s="994">
        <f ca="1">F7</f>
        <v>690.59999999999991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82</v>
      </c>
      <c r="M51" s="1341"/>
      <c r="O51" s="1334" t="s">
        <v>407</v>
      </c>
      <c r="P51" s="1326" t="s">
        <v>831</v>
      </c>
      <c r="Q51" s="1337">
        <f>J52</f>
        <v>6.5000000000000002E-2</v>
      </c>
      <c r="R51" s="1327"/>
    </row>
    <row r="52" spans="1:18" s="1292" customFormat="1" ht="13.5" thickBot="1">
      <c r="A52" s="923"/>
      <c r="B52" s="925"/>
      <c r="C52" s="926"/>
      <c r="D52" s="899"/>
      <c r="E52" s="927" t="s">
        <v>699</v>
      </c>
      <c r="F52" s="991"/>
      <c r="I52" s="1342" t="s">
        <v>832</v>
      </c>
      <c r="J52" s="1343">
        <v>6.5000000000000002E-2</v>
      </c>
      <c r="K52" s="1342" t="s">
        <v>833</v>
      </c>
      <c r="L52" s="1343"/>
      <c r="O52" s="1334" t="s">
        <v>408</v>
      </c>
      <c r="P52" s="1326" t="s">
        <v>834</v>
      </c>
      <c r="Q52" s="1327">
        <f ca="1">J53</f>
        <v>29.46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29.46</v>
      </c>
      <c r="K53" s="3850" t="s">
        <v>837</v>
      </c>
      <c r="L53" s="3851"/>
      <c r="O53" s="1325" t="s">
        <v>409</v>
      </c>
      <c r="P53" s="1326" t="s">
        <v>838</v>
      </c>
      <c r="Q53" s="1327">
        <f ca="1">Q47+Q48</f>
        <v>38</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293</v>
      </c>
      <c r="D56" s="1352"/>
      <c r="E56" s="1353"/>
      <c r="F56" s="1345"/>
      <c r="I56" s="1354" t="s">
        <v>842</v>
      </c>
      <c r="J56" s="1355" t="s">
        <v>3698</v>
      </c>
      <c r="K56" s="1328" t="s">
        <v>843</v>
      </c>
      <c r="L56" s="1331" t="str">
        <f ca="1">IF(L48&lt;J51,"——",L48-J53)</f>
        <v>——</v>
      </c>
      <c r="O56" s="1325" t="s">
        <v>403</v>
      </c>
      <c r="P56" s="1326" t="s">
        <v>817</v>
      </c>
      <c r="Q56" s="1327">
        <f ca="1">C40+J29</f>
        <v>38</v>
      </c>
      <c r="R56" s="1327" t="s">
        <v>818</v>
      </c>
    </row>
    <row r="57" spans="1:18" s="1292" customFormat="1" ht="24.75" thickBot="1">
      <c r="A57" s="1356"/>
      <c r="B57" s="896" t="s">
        <v>767</v>
      </c>
      <c r="C57" s="230">
        <f ca="1">C29</f>
        <v>396</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3338</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0.09</v>
      </c>
      <c r="D62" s="911" t="s">
        <v>731</v>
      </c>
      <c r="E62" s="896" t="s">
        <v>732</v>
      </c>
      <c r="F62" s="317">
        <f t="shared" si="0"/>
        <v>12</v>
      </c>
      <c r="I62" s="1367" t="s">
        <v>858</v>
      </c>
      <c r="J62" s="610" t="s">
        <v>859</v>
      </c>
      <c r="K62" s="610" t="s">
        <v>860</v>
      </c>
      <c r="L62" s="610" t="s">
        <v>861</v>
      </c>
      <c r="M62" s="1368" t="s">
        <v>862</v>
      </c>
      <c r="O62" s="1325" t="s">
        <v>409</v>
      </c>
      <c r="P62" s="1326" t="s">
        <v>838</v>
      </c>
      <c r="Q62" s="1327">
        <f ca="1">Q56+Q57</f>
        <v>38</v>
      </c>
      <c r="R62" s="1327" t="s">
        <v>410</v>
      </c>
    </row>
    <row r="63" spans="1:18" s="1292" customFormat="1" ht="13.5" thickBot="1">
      <c r="A63" s="318"/>
      <c r="B63" s="902"/>
      <c r="C63" s="26"/>
      <c r="D63" s="912"/>
      <c r="E63" s="896" t="s">
        <v>736</v>
      </c>
      <c r="F63" s="295">
        <f t="shared" ca="1" si="0"/>
        <v>72.089999999999989</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0.79</v>
      </c>
      <c r="D64" s="910" t="s">
        <v>771</v>
      </c>
      <c r="E64" s="896" t="s">
        <v>712</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0.59</v>
      </c>
      <c r="D65" s="910" t="s">
        <v>743</v>
      </c>
      <c r="E65" s="896" t="s">
        <v>712</v>
      </c>
      <c r="F65" s="321">
        <f t="shared" ca="1" si="0"/>
        <v>2E-3</v>
      </c>
      <c r="I65" s="1367" t="s">
        <v>867</v>
      </c>
      <c r="J65" s="610">
        <v>40</v>
      </c>
      <c r="K65" s="610">
        <v>30</v>
      </c>
      <c r="L65" s="610">
        <v>50</v>
      </c>
      <c r="M65" s="1369">
        <v>0.02</v>
      </c>
      <c r="O65" s="1325" t="s">
        <v>403</v>
      </c>
      <c r="P65" s="1326" t="s">
        <v>817</v>
      </c>
      <c r="Q65" s="1327">
        <f ca="1">C40+J29</f>
        <v>38</v>
      </c>
      <c r="R65" s="1327" t="s">
        <v>818</v>
      </c>
    </row>
    <row r="66" spans="1:18" s="1292" customFormat="1" ht="16.5"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v>
      </c>
      <c r="D67" s="909" t="s">
        <v>753</v>
      </c>
      <c r="E67" s="914"/>
      <c r="F67" s="915"/>
      <c r="O67" s="1334" t="s">
        <v>405</v>
      </c>
      <c r="P67" s="1326" t="s">
        <v>850</v>
      </c>
      <c r="Q67" s="1370">
        <f ca="1">L51</f>
        <v>82</v>
      </c>
      <c r="R67" s="1327" t="s">
        <v>870</v>
      </c>
    </row>
    <row r="68" spans="1:18" s="1292" customFormat="1" ht="16.5" thickBot="1">
      <c r="A68" s="893" t="s">
        <v>395</v>
      </c>
      <c r="B68" s="894" t="s">
        <v>774</v>
      </c>
      <c r="C68" s="293">
        <f ca="1">ROUND(C67*(1-((1+F70)/(1+F68))^F69)/(F68-F70),0)</f>
        <v>-16</v>
      </c>
      <c r="D68" s="911" t="s">
        <v>758</v>
      </c>
      <c r="E68" s="896" t="s">
        <v>759</v>
      </c>
      <c r="F68" s="304">
        <f ca="1">F40</f>
        <v>4.4999999999999998E-2</v>
      </c>
      <c r="O68" s="1334" t="s">
        <v>406</v>
      </c>
      <c r="P68" s="1371" t="s">
        <v>871</v>
      </c>
      <c r="Q68" s="1327">
        <f ca="1">ROUND(Q69-Q70*Q71,0)</f>
        <v>2</v>
      </c>
      <c r="R68" s="1327" t="s">
        <v>414</v>
      </c>
    </row>
    <row r="69" spans="1:18" s="1292" customFormat="1" ht="13.5" thickBot="1">
      <c r="A69" s="897"/>
      <c r="B69" s="898"/>
      <c r="C69" s="298"/>
      <c r="D69" s="916" t="s">
        <v>762</v>
      </c>
      <c r="E69" s="896" t="s">
        <v>763</v>
      </c>
      <c r="F69" s="324">
        <f ca="1">F41</f>
        <v>29.46</v>
      </c>
      <c r="O69" s="1334" t="s">
        <v>411</v>
      </c>
      <c r="P69" s="1371" t="s">
        <v>872</v>
      </c>
      <c r="Q69" s="1327">
        <f ca="1">C39</f>
        <v>2</v>
      </c>
      <c r="R69" s="1327" t="s">
        <v>818</v>
      </c>
    </row>
    <row r="70" spans="1:18" s="1292" customFormat="1" ht="13.5" thickBot="1">
      <c r="A70" s="900"/>
      <c r="B70" s="901"/>
      <c r="C70" s="302"/>
      <c r="D70" s="912"/>
      <c r="E70" s="896" t="s">
        <v>766</v>
      </c>
      <c r="F70" s="991"/>
      <c r="O70" s="1334" t="s">
        <v>412</v>
      </c>
      <c r="P70" s="1371" t="s">
        <v>873</v>
      </c>
      <c r="Q70" s="1327">
        <f ca="1">C13</f>
        <v>293</v>
      </c>
      <c r="R70" s="1327" t="s">
        <v>818</v>
      </c>
    </row>
    <row r="71" spans="1:18" s="1292" customFormat="1" ht="13.5" thickBot="1">
      <c r="A71" s="917" t="s">
        <v>396</v>
      </c>
      <c r="B71" s="918" t="s">
        <v>776</v>
      </c>
      <c r="C71" s="327">
        <f ca="1">ROUND(C68*10000/F71,0)</f>
        <v>-232</v>
      </c>
      <c r="D71" s="919" t="s">
        <v>777</v>
      </c>
      <c r="E71" s="920" t="s">
        <v>778</v>
      </c>
      <c r="F71" s="330">
        <f ca="1">F43</f>
        <v>690.59999999999991</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38</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-6.7110000000000003</v>
      </c>
    </row>
    <row r="83" spans="2:3">
      <c r="B83" s="265" t="s">
        <v>803</v>
      </c>
      <c r="C83" s="266">
        <f ca="1">ROUND(C13/C40,3)</f>
        <v>7.7110000000000003</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8" priority="3">
      <formula>$F$10="自定义"</formula>
    </cfRule>
  </conditionalFormatting>
  <conditionalFormatting sqref="C54">
    <cfRule type="expression" dxfId="47" priority="1">
      <formula>$F$53="自定义"</formula>
    </cfRule>
  </conditionalFormatting>
  <conditionalFormatting sqref="I55 I60">
    <cfRule type="expression" dxfId="46" priority="5">
      <formula>$J$51&gt;$L$48</formula>
    </cfRule>
  </conditionalFormatting>
  <conditionalFormatting sqref="J11">
    <cfRule type="expression" dxfId="45" priority="2">
      <formula>$M$10="自定义"</formula>
    </cfRule>
  </conditionalFormatting>
  <conditionalFormatting sqref="K55 K60">
    <cfRule type="expression" dxfId="44" priority="4">
      <formula>$L$48&gt;$J$51</formula>
    </cfRule>
  </conditionalFormatting>
  <dataValidations count="9">
    <dataValidation type="list" allowBlank="1" showInputMessage="1" showErrorMessage="1" sqref="K19" xr:uid="{011DF673-832F-413C-8614-12F30CCBDB04}">
      <formula1>"按租金收入计税,按房产原值计税"</formula1>
    </dataValidation>
    <dataValidation type="list" allowBlank="1" showInputMessage="1" showErrorMessage="1" sqref="D33 D61" xr:uid="{E5327743-C51D-4C4E-B825-6F0C3F10E98E}">
      <formula1>"按租金收入计税,按房产原值计税,按票据"</formula1>
    </dataValidation>
    <dataValidation type="list" allowBlank="1" showInputMessage="1" showErrorMessage="1" sqref="C1" xr:uid="{51A757A1-1C66-4D43-BBE1-AB49DE8584AB}">
      <formula1>项目类型</formula1>
    </dataValidation>
    <dataValidation type="list" allowBlank="1" showInputMessage="1" showErrorMessage="1" sqref="J47" xr:uid="{BDD65CB0-A244-4C94-AAE0-08168241160B}">
      <formula1>"钢,钢混,砖混"</formula1>
    </dataValidation>
    <dataValidation type="list" allowBlank="1" showInputMessage="1" showErrorMessage="1" sqref="J48" xr:uid="{29E348A6-5C74-458B-B2B4-74259A06B726}">
      <formula1>"非生产用房,生产用房,受腐蚀的生产用房"</formula1>
    </dataValidation>
    <dataValidation type="list" allowBlank="1" showInputMessage="1" showErrorMessage="1" sqref="J56" xr:uid="{AD5C0E71-903D-497D-B4CC-E68F2F4C8D5C}">
      <formula1>估价范围判定</formula1>
    </dataValidation>
    <dataValidation type="list" allowBlank="1" showInputMessage="1" showErrorMessage="1" sqref="L55" xr:uid="{5FD88360-8C12-4114-9524-2F7E439FC2CE}">
      <formula1>"比较法,基准地价,收益还原"</formula1>
    </dataValidation>
    <dataValidation type="list" allowBlank="1" showInputMessage="1" showErrorMessage="1" sqref="M10 F10 F53" xr:uid="{C3D11643-2F34-4634-8B8E-5175F3AEA367}">
      <formula1>"押一,押二,押三,自定义"</formula1>
    </dataValidation>
    <dataValidation type="list" allowBlank="1" showInputMessage="1" showErrorMessage="1" sqref="D1" xr:uid="{93CF567D-B512-43C0-95D9-914E8D3986BE}">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9"/>
      <c r="C2" s="3649"/>
      <c r="D2" s="3649"/>
      <c r="E2" s="3649"/>
    </row>
    <row r="3" spans="1:5" ht="18">
      <c r="A3" s="3650" t="str">
        <f>IF(项目基本情况!B9="房地产市场价值","估价结果一览表（市场价值不需“结果表-1”）","估价结果一览表")</f>
        <v>估价结果一览表（市场价值不需“结果表-1”）</v>
      </c>
      <c r="B3" s="3650"/>
      <c r="C3" s="3650"/>
      <c r="D3" s="3650"/>
      <c r="E3" s="3650"/>
    </row>
    <row r="4" spans="1:5" ht="19.5" thickBot="1">
      <c r="A4" s="1391"/>
      <c r="B4" s="3648" t="s">
        <v>917</v>
      </c>
      <c r="C4" s="3648"/>
      <c r="D4" s="3648"/>
      <c r="E4" s="1391"/>
    </row>
    <row r="5" spans="1:5" ht="16.5" thickTop="1">
      <c r="B5" s="3646" t="s">
        <v>909</v>
      </c>
      <c r="C5" s="1392" t="s">
        <v>910</v>
      </c>
      <c r="D5" s="797" t="e">
        <f ca="1">结果表!H101</f>
        <v>#REF!</v>
      </c>
    </row>
    <row r="6" spans="1:5" ht="15.75">
      <c r="B6" s="3646"/>
      <c r="C6" s="1392" t="s">
        <v>911</v>
      </c>
      <c r="D6" s="797" t="e">
        <f ca="1">NUMBERSTRING(INT(D5*10000),2)&amp;"元整"</f>
        <v>#REF!</v>
      </c>
    </row>
    <row r="7" spans="1:5" ht="15.75">
      <c r="B7" s="3651"/>
      <c r="C7" s="1393" t="s">
        <v>912</v>
      </c>
      <c r="D7" s="798" t="e">
        <f ca="1">结果表!H102</f>
        <v>#REF!</v>
      </c>
    </row>
    <row r="8" spans="1:5" ht="15.75">
      <c r="B8" s="3652" t="str">
        <f>结果表!E103</f>
        <v>2.估价师知悉的法定优先受偿款</v>
      </c>
      <c r="C8" s="1394" t="s">
        <v>913</v>
      </c>
      <c r="D8" s="798">
        <f>结果表!H103</f>
        <v>0</v>
      </c>
    </row>
    <row r="9" spans="1:5" ht="15.75">
      <c r="B9" s="365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645" t="str">
        <f>结果表!E107</f>
        <v>3.房地产抵押价值</v>
      </c>
      <c r="C13" s="1397" t="s">
        <v>910</v>
      </c>
      <c r="D13" s="800" t="e">
        <f ca="1">结果表!H107</f>
        <v>#REF!</v>
      </c>
    </row>
    <row r="14" spans="1:5" ht="15.75">
      <c r="B14" s="3646"/>
      <c r="C14" s="1392" t="s">
        <v>911</v>
      </c>
      <c r="D14" s="797" t="e">
        <f ca="1">NUMBERSTRING(INT(D13*10000),2)&amp;"元整"</f>
        <v>#REF!</v>
      </c>
    </row>
    <row r="15" spans="1:5" ht="15">
      <c r="B15" s="3651"/>
      <c r="C15" s="1393" t="s">
        <v>921</v>
      </c>
      <c r="D15" s="806" t="e">
        <f ca="1">结果表!H108</f>
        <v>#REF!</v>
      </c>
    </row>
    <row r="16" spans="1:5" ht="15">
      <c r="B16" s="3652" t="str">
        <f>结果表!E109</f>
        <v>——</v>
      </c>
      <c r="C16" s="1397" t="s">
        <v>922</v>
      </c>
      <c r="D16" s="1398" t="str">
        <f>结果表!H109</f>
        <v>——</v>
      </c>
    </row>
    <row r="17" spans="1:5" ht="15.75">
      <c r="B17" s="3653"/>
      <c r="C17" s="1392" t="s">
        <v>923</v>
      </c>
      <c r="D17" s="797" t="e">
        <f>NUMBERSTRING(INT(D16*10000),2)&amp;"元整"</f>
        <v>#VALUE!</v>
      </c>
    </row>
    <row r="18" spans="1:5" ht="15">
      <c r="B18" s="3654"/>
      <c r="C18" s="1393" t="s">
        <v>912</v>
      </c>
      <c r="D18" s="806" t="str">
        <f>结果表!H110</f>
        <v>——</v>
      </c>
    </row>
    <row r="19" spans="1:5" ht="15.75">
      <c r="B19" s="3645" t="str">
        <f>结果表!E111</f>
        <v>——</v>
      </c>
      <c r="C19" s="1397" t="s">
        <v>910</v>
      </c>
      <c r="D19" s="798" t="str">
        <f>结果表!H111</f>
        <v>——</v>
      </c>
    </row>
    <row r="20" spans="1:5" ht="15.75">
      <c r="B20" s="3646"/>
      <c r="C20" s="1392" t="s">
        <v>923</v>
      </c>
      <c r="D20" s="797" t="e">
        <f>NUMBERSTRING(INT(D19*10000),2)&amp;"元整"</f>
        <v>#VALUE!</v>
      </c>
    </row>
    <row r="21" spans="1:5" ht="15.75" thickBot="1">
      <c r="B21" s="364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7" zoomScaleNormal="70" zoomScaleSheetLayoutView="100" workbookViewId="0">
      <selection activeCell="L27" sqref="L2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892" t="s">
        <v>1770</v>
      </c>
      <c r="D4" s="3893"/>
      <c r="E4" s="3894" t="s">
        <v>1771</v>
      </c>
      <c r="F4" s="3895"/>
      <c r="G4" s="3892" t="s">
        <v>1772</v>
      </c>
      <c r="H4" s="3893"/>
      <c r="I4" s="3892" t="s">
        <v>1773</v>
      </c>
      <c r="J4" s="3893"/>
      <c r="K4" s="537" t="s">
        <v>1774</v>
      </c>
      <c r="L4" s="2487"/>
      <c r="M4" s="2488"/>
      <c r="N4" s="2488"/>
      <c r="O4" s="2488"/>
      <c r="P4" s="3896" t="s">
        <v>1775</v>
      </c>
      <c r="Q4" s="3897"/>
      <c r="R4" s="3902" t="s">
        <v>1771</v>
      </c>
      <c r="S4" s="3903"/>
      <c r="T4" s="3902" t="s">
        <v>1772</v>
      </c>
      <c r="U4" s="3903"/>
      <c r="V4" s="3878" t="s">
        <v>1773</v>
      </c>
      <c r="W4" s="3878"/>
      <c r="X4" s="1265"/>
      <c r="Y4" s="3902" t="s">
        <v>1775</v>
      </c>
      <c r="Z4" s="3903"/>
      <c r="AA4" s="3889" t="s">
        <v>1771</v>
      </c>
      <c r="AB4" s="3890" t="s">
        <v>1772</v>
      </c>
      <c r="AC4" s="3889" t="s">
        <v>1773</v>
      </c>
    </row>
    <row r="5" spans="1:29" ht="15">
      <c r="A5" s="348"/>
      <c r="B5" s="349"/>
      <c r="C5" s="3910" t="s">
        <v>1673</v>
      </c>
      <c r="D5" s="3911"/>
      <c r="E5" s="3917" t="s">
        <v>1674</v>
      </c>
      <c r="F5" s="3918"/>
      <c r="G5" s="3910" t="s">
        <v>1675</v>
      </c>
      <c r="H5" s="3911"/>
      <c r="I5" s="3910" t="s">
        <v>1676</v>
      </c>
      <c r="J5" s="3911"/>
      <c r="K5" s="537"/>
      <c r="L5" s="2487"/>
      <c r="M5" s="2488"/>
      <c r="N5" s="2488"/>
      <c r="O5" s="2488"/>
      <c r="P5" s="3898"/>
      <c r="Q5" s="3899"/>
      <c r="R5" s="3904"/>
      <c r="S5" s="3905"/>
      <c r="T5" s="3904"/>
      <c r="U5" s="3905"/>
      <c r="V5" s="3878"/>
      <c r="W5" s="3878"/>
      <c r="X5" s="1265"/>
      <c r="Y5" s="3904"/>
      <c r="Z5" s="3905"/>
      <c r="AA5" s="3890"/>
      <c r="AB5" s="3890"/>
      <c r="AC5" s="3890"/>
    </row>
    <row r="6" spans="1:29" ht="15.75" thickBot="1">
      <c r="A6" s="350"/>
      <c r="B6" s="351"/>
      <c r="C6" s="3908" t="s">
        <v>1677</v>
      </c>
      <c r="D6" s="3909"/>
      <c r="E6" s="3915" t="s">
        <v>1677</v>
      </c>
      <c r="F6" s="3916"/>
      <c r="G6" s="3908" t="s">
        <v>1677</v>
      </c>
      <c r="H6" s="3909"/>
      <c r="I6" s="3908" t="s">
        <v>1677</v>
      </c>
      <c r="J6" s="3909"/>
      <c r="K6" s="537" t="s">
        <v>1678</v>
      </c>
      <c r="L6" s="2487"/>
      <c r="M6" s="2488"/>
      <c r="N6" s="2488"/>
      <c r="O6" s="2488"/>
      <c r="P6" s="3900"/>
      <c r="Q6" s="3901"/>
      <c r="R6" s="3904"/>
      <c r="S6" s="3905"/>
      <c r="T6" s="3906"/>
      <c r="U6" s="3907"/>
      <c r="V6" s="3878"/>
      <c r="W6" s="3878"/>
      <c r="X6" s="1265"/>
      <c r="Y6" s="3906"/>
      <c r="Z6" s="3907"/>
      <c r="AA6" s="3891"/>
      <c r="AB6" s="3891"/>
      <c r="AC6" s="3891"/>
    </row>
    <row r="7" spans="1:29" s="102" customFormat="1" ht="15.75" thickBot="1">
      <c r="A7" s="352" t="s">
        <v>1679</v>
      </c>
      <c r="B7" s="353"/>
      <c r="C7" s="354">
        <f>'数据-取费表'!B2</f>
        <v>45473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912" t="s">
        <v>1680</v>
      </c>
      <c r="Q7" s="3914"/>
      <c r="R7" s="664" t="s">
        <v>14</v>
      </c>
      <c r="S7" s="665">
        <f t="shared" ref="S7:S14" si="0">F7</f>
        <v>0</v>
      </c>
      <c r="T7" s="664" t="s">
        <v>14</v>
      </c>
      <c r="U7" s="665">
        <f t="shared" ref="U7:U14" si="1">H7</f>
        <v>0</v>
      </c>
      <c r="V7" s="664" t="s">
        <v>14</v>
      </c>
      <c r="W7" s="665">
        <f t="shared" ref="W7:W14" si="2">J7</f>
        <v>0</v>
      </c>
      <c r="X7" s="666"/>
      <c r="Y7" s="3912" t="s">
        <v>1680</v>
      </c>
      <c r="Z7" s="391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912" t="s">
        <v>1683</v>
      </c>
      <c r="Q8" s="3913"/>
      <c r="R8" s="664" t="s">
        <v>14</v>
      </c>
      <c r="S8" s="665">
        <f t="shared" si="0"/>
        <v>100</v>
      </c>
      <c r="T8" s="664" t="s">
        <v>14</v>
      </c>
      <c r="U8" s="665">
        <f t="shared" si="1"/>
        <v>100</v>
      </c>
      <c r="V8" s="664" t="s">
        <v>14</v>
      </c>
      <c r="W8" s="665">
        <f t="shared" si="2"/>
        <v>100</v>
      </c>
      <c r="X8" s="666"/>
      <c r="Y8" s="3912" t="s">
        <v>1683</v>
      </c>
      <c r="Z8" s="391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877" t="s">
        <v>1686</v>
      </c>
      <c r="Q9" s="530" t="str">
        <f t="shared" ref="Q9:Q14" si="6">B9</f>
        <v>用途</v>
      </c>
      <c r="R9" s="664" t="s">
        <v>14</v>
      </c>
      <c r="S9" s="665">
        <f t="shared" si="0"/>
        <v>100</v>
      </c>
      <c r="T9" s="664" t="s">
        <v>14</v>
      </c>
      <c r="U9" s="665">
        <f t="shared" si="1"/>
        <v>100</v>
      </c>
      <c r="V9" s="664" t="s">
        <v>14</v>
      </c>
      <c r="W9" s="665">
        <f t="shared" si="2"/>
        <v>100</v>
      </c>
      <c r="X9" s="666"/>
      <c r="Y9" s="373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877"/>
      <c r="Q10" s="530" t="str">
        <f t="shared" si="6"/>
        <v>土地使用年限（年）</v>
      </c>
      <c r="R10" s="664" t="s">
        <v>14</v>
      </c>
      <c r="S10" s="665">
        <f t="shared" si="0"/>
        <v>100</v>
      </c>
      <c r="T10" s="664" t="s">
        <v>14</v>
      </c>
      <c r="U10" s="665">
        <f t="shared" si="1"/>
        <v>100</v>
      </c>
      <c r="V10" s="664" t="s">
        <v>14</v>
      </c>
      <c r="W10" s="665">
        <f t="shared" si="2"/>
        <v>100</v>
      </c>
      <c r="X10" s="666"/>
      <c r="Y10" s="373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877"/>
      <c r="Q11" s="530">
        <f t="shared" si="6"/>
        <v>111</v>
      </c>
      <c r="R11" s="664" t="s">
        <v>14</v>
      </c>
      <c r="S11" s="665">
        <f t="shared" si="0"/>
        <v>100</v>
      </c>
      <c r="T11" s="664" t="s">
        <v>14</v>
      </c>
      <c r="U11" s="665">
        <f t="shared" si="1"/>
        <v>100</v>
      </c>
      <c r="V11" s="664" t="s">
        <v>14</v>
      </c>
      <c r="W11" s="665">
        <f t="shared" si="2"/>
        <v>100</v>
      </c>
      <c r="X11" s="666"/>
      <c r="Y11" s="373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877"/>
      <c r="Q12" s="530">
        <f t="shared" si="6"/>
        <v>111</v>
      </c>
      <c r="R12" s="664" t="s">
        <v>14</v>
      </c>
      <c r="S12" s="665">
        <f t="shared" si="0"/>
        <v>100</v>
      </c>
      <c r="T12" s="664" t="s">
        <v>14</v>
      </c>
      <c r="U12" s="665">
        <f t="shared" si="1"/>
        <v>100</v>
      </c>
      <c r="V12" s="664" t="s">
        <v>14</v>
      </c>
      <c r="W12" s="665">
        <f t="shared" si="2"/>
        <v>100</v>
      </c>
      <c r="X12" s="666"/>
      <c r="Y12" s="373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877"/>
      <c r="Q13" s="530">
        <f t="shared" si="6"/>
        <v>111</v>
      </c>
      <c r="R13" s="664" t="s">
        <v>14</v>
      </c>
      <c r="S13" s="665">
        <f t="shared" si="0"/>
        <v>100</v>
      </c>
      <c r="T13" s="664" t="s">
        <v>14</v>
      </c>
      <c r="U13" s="665">
        <f t="shared" si="1"/>
        <v>100</v>
      </c>
      <c r="V13" s="664" t="s">
        <v>14</v>
      </c>
      <c r="W13" s="665">
        <f t="shared" si="2"/>
        <v>100</v>
      </c>
      <c r="X13" s="666"/>
      <c r="Y13" s="373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879" t="s">
        <v>1691</v>
      </c>
      <c r="Q14" s="1263" t="str">
        <f t="shared" si="6"/>
        <v>交通便捷度</v>
      </c>
      <c r="R14" s="667" t="s">
        <v>14</v>
      </c>
      <c r="S14" s="668">
        <f t="shared" si="0"/>
        <v>100</v>
      </c>
      <c r="T14" s="667" t="s">
        <v>14</v>
      </c>
      <c r="U14" s="668">
        <f t="shared" si="1"/>
        <v>100</v>
      </c>
      <c r="V14" s="667" t="s">
        <v>14</v>
      </c>
      <c r="W14" s="668">
        <f t="shared" si="2"/>
        <v>100</v>
      </c>
      <c r="X14" s="1265"/>
      <c r="Y14" s="387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880"/>
      <c r="Q15" s="1263"/>
      <c r="R15" s="667"/>
      <c r="S15" s="668"/>
      <c r="T15" s="667"/>
      <c r="U15" s="668"/>
      <c r="V15" s="667"/>
      <c r="W15" s="668"/>
      <c r="X15" s="1265"/>
      <c r="Y15" s="388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880"/>
      <c r="Q16" s="1263" t="str">
        <f>B16</f>
        <v>公共配套设施</v>
      </c>
      <c r="R16" s="667" t="s">
        <v>14</v>
      </c>
      <c r="S16" s="668">
        <f>F16</f>
        <v>100</v>
      </c>
      <c r="T16" s="667" t="s">
        <v>14</v>
      </c>
      <c r="U16" s="668">
        <f>H16</f>
        <v>100</v>
      </c>
      <c r="V16" s="667" t="s">
        <v>14</v>
      </c>
      <c r="W16" s="668">
        <f>J16</f>
        <v>100</v>
      </c>
      <c r="X16" s="1265"/>
      <c r="Y16" s="388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880"/>
      <c r="Q17" s="1263"/>
      <c r="R17" s="667"/>
      <c r="S17" s="668"/>
      <c r="T17" s="667"/>
      <c r="U17" s="668"/>
      <c r="V17" s="667"/>
      <c r="W17" s="668"/>
      <c r="X17" s="1265"/>
      <c r="Y17" s="388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880"/>
      <c r="Q18" s="1263" t="str">
        <f>B18</f>
        <v>基础设施水平</v>
      </c>
      <c r="R18" s="667" t="s">
        <v>14</v>
      </c>
      <c r="S18" s="668">
        <f>F18</f>
        <v>100</v>
      </c>
      <c r="T18" s="667" t="s">
        <v>14</v>
      </c>
      <c r="U18" s="668">
        <f>H18</f>
        <v>100</v>
      </c>
      <c r="V18" s="667" t="s">
        <v>14</v>
      </c>
      <c r="W18" s="668">
        <f>J18</f>
        <v>100</v>
      </c>
      <c r="X18" s="1265"/>
      <c r="Y18" s="388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880"/>
      <c r="Q19" s="1263"/>
      <c r="R19" s="667"/>
      <c r="S19" s="668"/>
      <c r="T19" s="667"/>
      <c r="U19" s="668"/>
      <c r="V19" s="667"/>
      <c r="W19" s="668"/>
      <c r="X19" s="1265"/>
      <c r="Y19" s="388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880"/>
      <c r="Q20" s="1263" t="str">
        <f>B20</f>
        <v>自然及人文环境</v>
      </c>
      <c r="R20" s="667" t="s">
        <v>14</v>
      </c>
      <c r="S20" s="668">
        <f>F20</f>
        <v>100</v>
      </c>
      <c r="T20" s="667" t="s">
        <v>14</v>
      </c>
      <c r="U20" s="668">
        <f>H20</f>
        <v>100</v>
      </c>
      <c r="V20" s="667" t="s">
        <v>14</v>
      </c>
      <c r="W20" s="668">
        <f>J20</f>
        <v>100</v>
      </c>
      <c r="X20" s="1265"/>
      <c r="Y20" s="388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880"/>
      <c r="Q21" s="1263"/>
      <c r="R21" s="667"/>
      <c r="S21" s="668"/>
      <c r="T21" s="667"/>
      <c r="U21" s="668"/>
      <c r="V21" s="667"/>
      <c r="W21" s="668"/>
      <c r="X21" s="1265"/>
      <c r="Y21" s="388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880"/>
      <c r="Q22" s="1263" t="str">
        <f>B22</f>
        <v>楼层</v>
      </c>
      <c r="R22" s="667" t="s">
        <v>14</v>
      </c>
      <c r="S22" s="668">
        <f>F22</f>
        <v>100</v>
      </c>
      <c r="T22" s="667" t="s">
        <v>14</v>
      </c>
      <c r="U22" s="668">
        <f>H22</f>
        <v>100</v>
      </c>
      <c r="V22" s="667" t="s">
        <v>14</v>
      </c>
      <c r="W22" s="668">
        <f>J22</f>
        <v>100</v>
      </c>
      <c r="X22" s="1265"/>
      <c r="Y22" s="388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880"/>
      <c r="Q23" s="1263">
        <f>B23</f>
        <v>111</v>
      </c>
      <c r="R23" s="667" t="s">
        <v>14</v>
      </c>
      <c r="S23" s="668">
        <f>F23</f>
        <v>100</v>
      </c>
      <c r="T23" s="667" t="s">
        <v>14</v>
      </c>
      <c r="U23" s="668">
        <f>H23</f>
        <v>100</v>
      </c>
      <c r="V23" s="667" t="s">
        <v>14</v>
      </c>
      <c r="W23" s="668">
        <f>J23</f>
        <v>100</v>
      </c>
      <c r="X23" s="1265"/>
      <c r="Y23" s="388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880"/>
      <c r="Q24" s="1263">
        <f t="shared" ref="Q24:Q34" si="11">B24</f>
        <v>111</v>
      </c>
      <c r="R24" s="667" t="s">
        <v>14</v>
      </c>
      <c r="S24" s="668">
        <f>F24</f>
        <v>100</v>
      </c>
      <c r="T24" s="667" t="s">
        <v>14</v>
      </c>
      <c r="U24" s="668">
        <f>H24</f>
        <v>100</v>
      </c>
      <c r="V24" s="667" t="s">
        <v>14</v>
      </c>
      <c r="W24" s="668">
        <f>J24</f>
        <v>100</v>
      </c>
      <c r="X24" s="1265"/>
      <c r="Y24" s="388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880"/>
      <c r="Q25" s="530">
        <f t="shared" si="11"/>
        <v>111</v>
      </c>
      <c r="R25" s="664" t="s">
        <v>14</v>
      </c>
      <c r="S25" s="665">
        <f>F25</f>
        <v>100</v>
      </c>
      <c r="T25" s="664" t="s">
        <v>14</v>
      </c>
      <c r="U25" s="665">
        <f>H25</f>
        <v>100</v>
      </c>
      <c r="V25" s="664" t="s">
        <v>14</v>
      </c>
      <c r="W25" s="665">
        <f>J25</f>
        <v>100</v>
      </c>
      <c r="X25" s="666"/>
      <c r="Y25" s="388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9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88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884"/>
      <c r="Q27" s="531" t="str">
        <f t="shared" si="11"/>
        <v>成新率</v>
      </c>
      <c r="R27" s="669" t="s">
        <v>14</v>
      </c>
      <c r="S27" s="670" t="e">
        <f t="shared" si="12"/>
        <v>#N/A</v>
      </c>
      <c r="T27" s="669" t="s">
        <v>14</v>
      </c>
      <c r="U27" s="670" t="e">
        <f t="shared" si="13"/>
        <v>#N/A</v>
      </c>
      <c r="V27" s="669" t="s">
        <v>14</v>
      </c>
      <c r="W27" s="670" t="e">
        <f t="shared" si="14"/>
        <v>#N/A</v>
      </c>
      <c r="X27" s="671"/>
      <c r="Y27" s="388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884"/>
      <c r="Q28" s="1263" t="str">
        <f t="shared" si="11"/>
        <v>物业等级</v>
      </c>
      <c r="R28" s="667" t="s">
        <v>14</v>
      </c>
      <c r="S28" s="668">
        <f t="shared" si="12"/>
        <v>100</v>
      </c>
      <c r="T28" s="667" t="s">
        <v>14</v>
      </c>
      <c r="U28" s="668">
        <f t="shared" si="13"/>
        <v>100</v>
      </c>
      <c r="V28" s="667" t="s">
        <v>14</v>
      </c>
      <c r="W28" s="668">
        <f t="shared" si="14"/>
        <v>100</v>
      </c>
      <c r="X28" s="1265"/>
      <c r="Y28" s="388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884"/>
      <c r="Q29" s="1263" t="str">
        <f t="shared" si="11"/>
        <v>有无电梯</v>
      </c>
      <c r="R29" s="667" t="s">
        <v>14</v>
      </c>
      <c r="S29" s="668">
        <f t="shared" si="12"/>
        <v>100</v>
      </c>
      <c r="T29" s="667" t="s">
        <v>14</v>
      </c>
      <c r="U29" s="668">
        <f t="shared" si="13"/>
        <v>100</v>
      </c>
      <c r="V29" s="667" t="s">
        <v>14</v>
      </c>
      <c r="W29" s="668">
        <f t="shared" si="14"/>
        <v>100</v>
      </c>
      <c r="X29" s="1265"/>
      <c r="Y29" s="388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884"/>
      <c r="Q30" s="1263" t="str">
        <f t="shared" si="11"/>
        <v>建筑面积</v>
      </c>
      <c r="R30" s="667" t="s">
        <v>14</v>
      </c>
      <c r="S30" s="668" t="e">
        <f t="shared" si="12"/>
        <v>#N/A</v>
      </c>
      <c r="T30" s="667" t="s">
        <v>14</v>
      </c>
      <c r="U30" s="668" t="e">
        <f t="shared" si="13"/>
        <v>#N/A</v>
      </c>
      <c r="V30" s="667" t="s">
        <v>14</v>
      </c>
      <c r="W30" s="668" t="e">
        <f t="shared" si="14"/>
        <v>#N/A</v>
      </c>
      <c r="X30" s="1265"/>
      <c r="Y30" s="388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884"/>
      <c r="Q31" s="530" t="str">
        <f t="shared" si="11"/>
        <v>是否封闭</v>
      </c>
      <c r="R31" s="664" t="s">
        <v>14</v>
      </c>
      <c r="S31" s="665">
        <f t="shared" si="12"/>
        <v>100</v>
      </c>
      <c r="T31" s="664" t="s">
        <v>14</v>
      </c>
      <c r="U31" s="665">
        <f t="shared" si="13"/>
        <v>100</v>
      </c>
      <c r="V31" s="664" t="s">
        <v>14</v>
      </c>
      <c r="W31" s="665">
        <f t="shared" si="14"/>
        <v>100</v>
      </c>
      <c r="X31" s="666"/>
      <c r="Y31" s="388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884" t="s">
        <v>1696</v>
      </c>
      <c r="Q32" s="1263">
        <f t="shared" si="11"/>
        <v>111</v>
      </c>
      <c r="R32" s="667" t="s">
        <v>14</v>
      </c>
      <c r="S32" s="668">
        <f t="shared" si="12"/>
        <v>100</v>
      </c>
      <c r="T32" s="667" t="s">
        <v>14</v>
      </c>
      <c r="U32" s="668">
        <f t="shared" si="13"/>
        <v>100</v>
      </c>
      <c r="V32" s="667" t="s">
        <v>14</v>
      </c>
      <c r="W32" s="668">
        <f t="shared" si="14"/>
        <v>100</v>
      </c>
      <c r="X32" s="1265"/>
      <c r="Y32" s="388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884"/>
      <c r="Q33" s="1263">
        <f t="shared" si="11"/>
        <v>111</v>
      </c>
      <c r="R33" s="667" t="s">
        <v>14</v>
      </c>
      <c r="S33" s="668">
        <f t="shared" si="12"/>
        <v>100</v>
      </c>
      <c r="T33" s="667" t="s">
        <v>14</v>
      </c>
      <c r="U33" s="668">
        <f t="shared" si="13"/>
        <v>100</v>
      </c>
      <c r="V33" s="667" t="s">
        <v>14</v>
      </c>
      <c r="W33" s="668">
        <f t="shared" si="14"/>
        <v>100</v>
      </c>
      <c r="X33" s="1265"/>
      <c r="Y33" s="388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884"/>
      <c r="Q34" s="1263">
        <f t="shared" si="11"/>
        <v>111</v>
      </c>
      <c r="R34" s="667" t="s">
        <v>14</v>
      </c>
      <c r="S34" s="668">
        <f t="shared" si="12"/>
        <v>100</v>
      </c>
      <c r="T34" s="667" t="s">
        <v>14</v>
      </c>
      <c r="U34" s="668">
        <f t="shared" si="13"/>
        <v>100</v>
      </c>
      <c r="V34" s="667" t="s">
        <v>14</v>
      </c>
      <c r="W34" s="668">
        <f t="shared" si="14"/>
        <v>100</v>
      </c>
      <c r="X34" s="1265"/>
      <c r="Y34" s="3884"/>
      <c r="Z34" s="1264">
        <f t="shared" si="15"/>
        <v>111</v>
      </c>
      <c r="AA34" s="1264">
        <f t="shared" si="3"/>
        <v>1</v>
      </c>
      <c r="AB34" s="1264">
        <f t="shared" si="4"/>
        <v>1</v>
      </c>
      <c r="AC34" s="1264">
        <f t="shared" si="5"/>
        <v>1</v>
      </c>
    </row>
    <row r="35" spans="1:30" ht="15">
      <c r="A35" s="416" t="s">
        <v>1708</v>
      </c>
      <c r="B35" s="417"/>
      <c r="C35" s="1081" t="s">
        <v>0</v>
      </c>
      <c r="D35" s="418"/>
      <c r="E35" s="419">
        <v>0.11</v>
      </c>
      <c r="F35" s="420"/>
      <c r="G35" s="421">
        <v>0.16</v>
      </c>
      <c r="H35" s="422"/>
      <c r="I35" s="419"/>
      <c r="J35" s="422"/>
      <c r="K35" s="674"/>
      <c r="L35" s="2495"/>
      <c r="M35" s="2488"/>
      <c r="N35" s="2488"/>
      <c r="O35" s="2488"/>
      <c r="P35" s="3877" t="str">
        <f>A35</f>
        <v>成交单价（元/平方米）</v>
      </c>
      <c r="Q35" s="3877"/>
      <c r="R35" s="3878">
        <f>E35</f>
        <v>0.11</v>
      </c>
      <c r="S35" s="3878"/>
      <c r="T35" s="3878">
        <f>G35</f>
        <v>0.16</v>
      </c>
      <c r="U35" s="3878"/>
      <c r="V35" s="3878">
        <f>I35</f>
        <v>0</v>
      </c>
      <c r="W35" s="387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877" t="str">
        <f>A36</f>
        <v>比较价值（元/平方米）</v>
      </c>
      <c r="Q36" s="3877"/>
      <c r="R36" s="3878" t="e">
        <f>IF(F1="售价",ROUND(PRODUCT(R35,AA7:AA34),0),ROUND(PRODUCT(R35,AA7:AA34),1))</f>
        <v>#DIV/0!</v>
      </c>
      <c r="S36" s="3878"/>
      <c r="T36" s="3878" t="e">
        <f>IF(F1="售价",ROUND(PRODUCT(T35,AB7:AB34),0),ROUND(PRODUCT(T35,AB7:AB34),1))</f>
        <v>#DIV/0!</v>
      </c>
      <c r="U36" s="3878"/>
      <c r="V36" s="3878" t="e">
        <f>IF(F1="售价",ROUND(PRODUCT(V35,AC7:AC34),0),ROUND(PRODUCT(V35,AC7:AC34),1))</f>
        <v>#DIV/0!</v>
      </c>
      <c r="W36" s="387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874" t="str">
        <f>A37</f>
        <v>估价对象XX用房的比较价值（楼面单价，元/平方米）</v>
      </c>
      <c r="Q37" s="3875"/>
      <c r="R37" s="3935" t="e">
        <f>IF(F1="售价",ROUND(IF(D36="简单平均",AVERAGE(R36:W36),R36*F36+T36*H36+V36*J36),0),ROUND(IF(D36="简单平均",AVERAGE(R36:V36),R36*F36+T36*H36+V36*J36),1))</f>
        <v>#DIV/0!</v>
      </c>
      <c r="S37" s="3935"/>
      <c r="T37" s="3935"/>
      <c r="U37" s="3935"/>
      <c r="V37" s="3935"/>
      <c r="W37" s="39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f>IF(E35&lt;G35,G35/E35-1,E35/G35-1)</f>
        <v>0.45454545454545459</v>
      </c>
      <c r="F42" s="435" t="str">
        <f>IF(OR(E42&gt;=0.3,E42&lt;=-0.3),"超过30%","")</f>
        <v>超过30%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2024-6</v>
      </c>
      <c r="D46" s="1104">
        <f>EDATE(C46,-1)</f>
        <v>45413</v>
      </c>
      <c r="E46" s="1104">
        <f t="shared" ref="E46:O46" si="16">EDATE(D46,-1)</f>
        <v>45383</v>
      </c>
      <c r="F46" s="1104">
        <f t="shared" si="16"/>
        <v>45352</v>
      </c>
      <c r="G46" s="1104">
        <f t="shared" si="16"/>
        <v>45323</v>
      </c>
      <c r="H46" s="1104">
        <f t="shared" si="16"/>
        <v>45292</v>
      </c>
      <c r="I46" s="1104">
        <f t="shared" si="16"/>
        <v>45261</v>
      </c>
      <c r="J46" s="1104">
        <f t="shared" si="16"/>
        <v>45231</v>
      </c>
      <c r="K46" s="1104">
        <f t="shared" si="16"/>
        <v>45200</v>
      </c>
      <c r="L46" s="1104">
        <f t="shared" si="16"/>
        <v>45170</v>
      </c>
      <c r="M46" s="1104">
        <f t="shared" si="16"/>
        <v>45139</v>
      </c>
      <c r="N46" s="1104">
        <f t="shared" si="16"/>
        <v>45108</v>
      </c>
      <c r="O46" s="1104">
        <f t="shared" si="16"/>
        <v>45078</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3" priority="13" stopIfTrue="1">
      <formula>$F$40="超过30%"</formula>
    </cfRule>
  </conditionalFormatting>
  <conditionalFormatting sqref="E41">
    <cfRule type="expression" dxfId="42" priority="11" stopIfTrue="1">
      <formula>$F$41="超过20%"</formula>
    </cfRule>
  </conditionalFormatting>
  <conditionalFormatting sqref="E42">
    <cfRule type="expression" dxfId="41" priority="10" stopIfTrue="1">
      <formula>$F$42="超过30%"</formula>
    </cfRule>
  </conditionalFormatting>
  <conditionalFormatting sqref="F7:F34 H7:H34 J7:J34">
    <cfRule type="cellIs" dxfId="40" priority="1" operator="notEqual">
      <formula>100</formula>
    </cfRule>
  </conditionalFormatting>
  <conditionalFormatting sqref="F36">
    <cfRule type="expression" dxfId="39" priority="4">
      <formula>$D$36="简单平均"</formula>
    </cfRule>
  </conditionalFormatting>
  <conditionalFormatting sqref="F40:F42 H40:H42 J40:J42">
    <cfRule type="containsText" dxfId="38" priority="14" stopIfTrue="1" operator="containsText" text="超过">
      <formula>NOT(ISERROR(SEARCH("超过",F40)))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G42">
    <cfRule type="expression" dxfId="35" priority="12" stopIfTrue="1">
      <formula>$H$54+$H$42="超过30%"</formula>
    </cfRule>
  </conditionalFormatting>
  <conditionalFormatting sqref="H36">
    <cfRule type="expression" dxfId="34" priority="3">
      <formula>$D$36="简单平均"</formula>
    </cfRule>
  </conditionalFormatting>
  <conditionalFormatting sqref="I40">
    <cfRule type="expression" dxfId="33" priority="7" stopIfTrue="1">
      <formula>$J$40="超过30%"</formula>
    </cfRule>
  </conditionalFormatting>
  <conditionalFormatting sqref="I41">
    <cfRule type="expression" dxfId="32" priority="6" stopIfTrue="1">
      <formula>$J$41="超过20%"</formula>
    </cfRule>
  </conditionalFormatting>
  <conditionalFormatting sqref="I42">
    <cfRule type="expression" dxfId="31" priority="5" stopIfTrue="1">
      <formula>$J$42="超过30%"</formula>
    </cfRule>
  </conditionalFormatting>
  <conditionalFormatting sqref="J36">
    <cfRule type="expression" dxfId="3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8ED04-7B1B-46C0-A6CD-353797CBC0F3}">
  <sheetPr>
    <tabColor rgb="FFFFC000"/>
    <pageSetUpPr fitToPage="1"/>
  </sheetPr>
  <dimension ref="A1:AC132"/>
  <sheetViews>
    <sheetView view="pageBreakPreview" topLeftCell="A7" zoomScaleNormal="70" zoomScaleSheetLayoutView="100" workbookViewId="0">
      <selection activeCell="M26" sqref="M26"/>
    </sheetView>
  </sheetViews>
  <sheetFormatPr defaultColWidth="9" defaultRowHeight="14.25"/>
  <cols>
    <col min="1" max="1" width="10.5" style="3318" customWidth="1"/>
    <col min="2" max="2" width="15.75" style="3318" customWidth="1"/>
    <col min="3" max="3" width="15.625" style="3318" customWidth="1"/>
    <col min="4" max="4" width="12.25" style="3318" customWidth="1"/>
    <col min="5" max="5" width="14.375" style="3318" customWidth="1"/>
    <col min="6" max="6" width="12.25" style="3318" customWidth="1"/>
    <col min="7" max="7" width="14.5" style="3318" customWidth="1"/>
    <col min="8" max="8" width="12.25" style="3318" customWidth="1"/>
    <col min="9" max="9" width="14.5" style="3318" customWidth="1"/>
    <col min="10" max="10" width="12.25" style="3318" customWidth="1"/>
    <col min="11" max="11" width="12.25" style="3592" customWidth="1"/>
    <col min="12" max="12" width="12.25" style="3593" customWidth="1"/>
    <col min="13" max="15" width="12.25" style="3318" customWidth="1"/>
    <col min="16" max="16" width="4.75" style="3594" customWidth="1"/>
    <col min="17" max="17" width="19.5" style="3318" customWidth="1"/>
    <col min="18" max="22" width="6.125" style="3318" customWidth="1"/>
    <col min="23" max="23" width="5.75" style="3318" customWidth="1"/>
    <col min="24" max="24" width="4.25" style="3318" customWidth="1"/>
    <col min="25" max="25" width="3.5" style="3318" customWidth="1"/>
    <col min="26" max="26" width="19.75" style="3318" customWidth="1"/>
    <col min="27" max="28" width="9.375" style="3318" customWidth="1"/>
    <col min="29" max="16384" width="9" style="3318"/>
  </cols>
  <sheetData>
    <row r="1" spans="1:29" s="3296" customFormat="1" ht="28.5" customHeight="1" thickBot="1">
      <c r="A1" s="3284" t="s">
        <v>1660</v>
      </c>
      <c r="B1" s="3285" t="s">
        <v>3732</v>
      </c>
      <c r="C1" s="3286" t="s">
        <v>3733</v>
      </c>
      <c r="D1" s="3287" t="s">
        <v>21</v>
      </c>
      <c r="E1" s="3288"/>
      <c r="F1" s="3289"/>
      <c r="G1" s="3290" t="s">
        <v>3734</v>
      </c>
      <c r="H1" s="3291"/>
      <c r="I1" s="3291"/>
      <c r="J1" s="3291"/>
      <c r="K1" s="3292"/>
      <c r="L1" s="3293"/>
      <c r="M1" s="3294"/>
      <c r="N1" s="3294"/>
      <c r="O1" s="3294"/>
      <c r="P1" s="3286"/>
      <c r="Q1" s="3286"/>
      <c r="R1" s="3286"/>
      <c r="S1" s="3286"/>
      <c r="T1" s="3286"/>
      <c r="U1" s="3286"/>
      <c r="V1" s="3286"/>
      <c r="W1" s="3286"/>
      <c r="X1" s="3286"/>
      <c r="Y1" s="3286"/>
      <c r="Z1" s="3286"/>
      <c r="AA1" s="3286"/>
      <c r="AB1" s="3286"/>
      <c r="AC1" s="3295"/>
    </row>
    <row r="2" spans="1:29" s="3304" customFormat="1" ht="28.5" customHeight="1" thickTop="1">
      <c r="A2" s="1138" t="s">
        <v>1934</v>
      </c>
      <c r="B2" s="3297" t="b">
        <f>IF(E1="项目模式",IF(C2="——",ROUND(C50*D3/10000,0),ROUND(C50*D3/10000,0)-D2),IF(E1="单套模式",IF(C2="——",ROUND(C50*D3/10000,4),ROUND(C50*D3/10000,4)-D2)))</f>
        <v>0</v>
      </c>
      <c r="C2" s="1737" t="s">
        <v>43</v>
      </c>
      <c r="D2" s="3298" t="e">
        <f ca="1">IF(E1="项目模式",SUMIF(INDIRECT("'"&amp;F2&amp;"'"&amp;"!A:A"),"承租人权益价值",INDIRECT("'"&amp;F2&amp;"'"&amp;"!c:c")),SUMIF(INDIRECT("'"&amp;F2&amp;"'"&amp;"!A:A"),"承租人权益价值（单套）",INDIRECT("'"&amp;F2&amp;"'"&amp;"!c:c")))</f>
        <v>#REF!</v>
      </c>
      <c r="E2" s="1738" t="s">
        <v>1935</v>
      </c>
      <c r="F2" s="1739"/>
      <c r="G2" s="3299"/>
      <c r="H2" s="3299"/>
      <c r="I2" s="3299"/>
      <c r="J2" s="3299"/>
      <c r="K2" s="3299"/>
      <c r="L2" s="3300"/>
      <c r="M2" s="3301"/>
      <c r="N2" s="3301"/>
      <c r="O2" s="3301"/>
      <c r="P2" s="3302"/>
      <c r="Q2" s="3302"/>
      <c r="R2" s="3302"/>
      <c r="S2" s="3302"/>
      <c r="T2" s="3302"/>
      <c r="U2" s="3302"/>
      <c r="V2" s="3302"/>
      <c r="W2" s="3302"/>
      <c r="X2" s="3302"/>
      <c r="Y2" s="3302"/>
      <c r="Z2" s="3302"/>
      <c r="AA2" s="3302"/>
      <c r="AB2" s="3302"/>
      <c r="AC2" s="3303"/>
    </row>
    <row r="3" spans="1:29" s="3304" customFormat="1" ht="28.5" customHeight="1" thickBot="1">
      <c r="A3" s="195" t="s">
        <v>1940</v>
      </c>
      <c r="B3" s="3305">
        <f>IF(C2="——",C50,ROUND(B2*10000/D3,0))</f>
        <v>7.9</v>
      </c>
      <c r="C3" s="3306" t="s">
        <v>3735</v>
      </c>
      <c r="D3" s="3307">
        <f>IF(D1="",'[5]数据-汇总表'!E3,SUMIF('[5]数据-汇总表'!$C19:$C33,D1,'[5]数据-汇总表'!$E19:$E33))</f>
        <v>1336.34</v>
      </c>
      <c r="E3" s="3308"/>
      <c r="F3" s="3309"/>
      <c r="G3" s="3299"/>
      <c r="H3" s="3299"/>
      <c r="I3" s="3299"/>
      <c r="J3" s="3299"/>
      <c r="K3" s="3310"/>
      <c r="L3" s="3300"/>
      <c r="M3" s="3301"/>
      <c r="N3" s="3301"/>
      <c r="O3" s="3301"/>
      <c r="P3" s="3302"/>
      <c r="Q3" s="3302"/>
      <c r="R3" s="3302"/>
      <c r="S3" s="3302"/>
      <c r="T3" s="3302"/>
      <c r="U3" s="3302"/>
      <c r="V3" s="3302"/>
      <c r="W3" s="3302"/>
      <c r="X3" s="3302"/>
      <c r="Y3" s="3302"/>
      <c r="Z3" s="3302"/>
      <c r="AA3" s="3302"/>
      <c r="AB3" s="3302"/>
      <c r="AC3" s="3303"/>
    </row>
    <row r="4" spans="1:29" ht="15">
      <c r="A4" s="3311" t="s">
        <v>1666</v>
      </c>
      <c r="B4" s="3312"/>
      <c r="C4" s="3952" t="s">
        <v>1667</v>
      </c>
      <c r="D4" s="3953"/>
      <c r="E4" s="3954" t="s">
        <v>1668</v>
      </c>
      <c r="F4" s="3955"/>
      <c r="G4" s="3952" t="s">
        <v>1669</v>
      </c>
      <c r="H4" s="3953"/>
      <c r="I4" s="3952" t="s">
        <v>1670</v>
      </c>
      <c r="J4" s="3953"/>
      <c r="K4" s="3314" t="s">
        <v>1671</v>
      </c>
      <c r="L4" s="3315"/>
      <c r="M4" s="3316"/>
      <c r="N4" s="3316"/>
      <c r="O4" s="3316"/>
      <c r="P4" s="3956" t="s">
        <v>1672</v>
      </c>
      <c r="Q4" s="3957"/>
      <c r="R4" s="3962" t="s">
        <v>1668</v>
      </c>
      <c r="S4" s="3963"/>
      <c r="T4" s="3962" t="s">
        <v>1669</v>
      </c>
      <c r="U4" s="3963"/>
      <c r="V4" s="3976" t="s">
        <v>1670</v>
      </c>
      <c r="W4" s="3976"/>
      <c r="X4" s="3317"/>
      <c r="Y4" s="3962" t="s">
        <v>1672</v>
      </c>
      <c r="Z4" s="3963"/>
      <c r="AA4" s="3978" t="s">
        <v>1668</v>
      </c>
      <c r="AB4" s="3978" t="s">
        <v>1669</v>
      </c>
      <c r="AC4" s="3949" t="s">
        <v>1670</v>
      </c>
    </row>
    <row r="5" spans="1:29" ht="15">
      <c r="A5" s="3319"/>
      <c r="B5" s="3320"/>
      <c r="C5" s="3966" t="s">
        <v>3736</v>
      </c>
      <c r="D5" s="3967"/>
      <c r="E5" s="3968" t="str">
        <f>办公租金案例!AB63</f>
        <v>清华科技园</v>
      </c>
      <c r="F5" s="3969"/>
      <c r="G5" s="3968" t="str">
        <f>办公租金案例!AB64</f>
        <v>清华科技园</v>
      </c>
      <c r="H5" s="3969"/>
      <c r="I5" s="3966" t="str">
        <f>办公租金案例!AB65</f>
        <v>威盛大厦</v>
      </c>
      <c r="J5" s="3967"/>
      <c r="K5" s="3314"/>
      <c r="L5" s="3315"/>
      <c r="M5" s="3316"/>
      <c r="N5" s="3316"/>
      <c r="O5" s="3316"/>
      <c r="P5" s="3958"/>
      <c r="Q5" s="3959"/>
      <c r="R5" s="3964"/>
      <c r="S5" s="3965"/>
      <c r="T5" s="3964"/>
      <c r="U5" s="3965"/>
      <c r="V5" s="3977"/>
      <c r="W5" s="3977"/>
      <c r="X5" s="3322"/>
      <c r="Y5" s="3964"/>
      <c r="Z5" s="3965"/>
      <c r="AA5" s="3979"/>
      <c r="AB5" s="3979"/>
      <c r="AC5" s="3950"/>
    </row>
    <row r="6" spans="1:29" ht="15.75" thickBot="1">
      <c r="A6" s="3323"/>
      <c r="B6" s="3324"/>
      <c r="C6" s="3970" t="s">
        <v>1677</v>
      </c>
      <c r="D6" s="3971"/>
      <c r="E6" s="3972" t="s">
        <v>1677</v>
      </c>
      <c r="F6" s="3973"/>
      <c r="G6" s="3970" t="s">
        <v>1677</v>
      </c>
      <c r="H6" s="3971"/>
      <c r="I6" s="3970" t="s">
        <v>1677</v>
      </c>
      <c r="J6" s="3971"/>
      <c r="K6" s="3314" t="s">
        <v>1678</v>
      </c>
      <c r="L6" s="3315"/>
      <c r="M6" s="3316"/>
      <c r="N6" s="3316"/>
      <c r="O6" s="3316"/>
      <c r="P6" s="3960"/>
      <c r="Q6" s="3961"/>
      <c r="R6" s="3964"/>
      <c r="S6" s="3965"/>
      <c r="T6" s="3974"/>
      <c r="U6" s="3975"/>
      <c r="V6" s="3977"/>
      <c r="W6" s="3977"/>
      <c r="X6" s="3322"/>
      <c r="Y6" s="3974"/>
      <c r="Z6" s="3975"/>
      <c r="AA6" s="3980"/>
      <c r="AB6" s="3980"/>
      <c r="AC6" s="3951"/>
    </row>
    <row r="7" spans="1:29" s="3339" customFormat="1" ht="15.75" thickBot="1">
      <c r="A7" s="3325" t="s">
        <v>1679</v>
      </c>
      <c r="B7" s="3326"/>
      <c r="C7" s="3327">
        <f>'数据-取费表'!B2</f>
        <v>45473</v>
      </c>
      <c r="D7" s="3328">
        <v>100</v>
      </c>
      <c r="E7" s="3329">
        <f>C7</f>
        <v>45473</v>
      </c>
      <c r="F7" s="3330">
        <f>SUMIF(59:59,YEAR(E7)&amp;"-"&amp;MONTH(E7),60:60)</f>
        <v>100</v>
      </c>
      <c r="G7" s="3329">
        <f>C7</f>
        <v>45473</v>
      </c>
      <c r="H7" s="3328">
        <f>SUMIF(59:59,YEAR(G7)&amp;"-"&amp;MONTH(G7),60:60)</f>
        <v>100</v>
      </c>
      <c r="I7" s="3329">
        <f>C7</f>
        <v>45473</v>
      </c>
      <c r="J7" s="3328">
        <f>SUMIF(59:59,YEAR(I7)&amp;"-"&amp;MONTH(I7),60:60)</f>
        <v>100</v>
      </c>
      <c r="K7" s="3331"/>
      <c r="L7" s="3332"/>
      <c r="M7" s="3333"/>
      <c r="N7" s="3333"/>
      <c r="O7" s="3333"/>
      <c r="P7" s="3981" t="s">
        <v>1680</v>
      </c>
      <c r="Q7" s="3982"/>
      <c r="R7" s="3334" t="s">
        <v>14</v>
      </c>
      <c r="S7" s="3335">
        <f t="shared" ref="S7:S15" si="0">F7</f>
        <v>100</v>
      </c>
      <c r="T7" s="3334" t="s">
        <v>14</v>
      </c>
      <c r="U7" s="3335">
        <f t="shared" ref="U7:U15" si="1">H7</f>
        <v>100</v>
      </c>
      <c r="V7" s="3334" t="s">
        <v>14</v>
      </c>
      <c r="W7" s="3335">
        <f t="shared" ref="W7:W15" si="2">J7</f>
        <v>100</v>
      </c>
      <c r="X7" s="3336"/>
      <c r="Y7" s="3984" t="s">
        <v>1680</v>
      </c>
      <c r="Z7" s="3983"/>
      <c r="AA7" s="3337">
        <f>D7/F7</f>
        <v>1</v>
      </c>
      <c r="AB7" s="3337">
        <f>D7/H7</f>
        <v>1</v>
      </c>
      <c r="AC7" s="3338">
        <f>D7/J7</f>
        <v>1</v>
      </c>
    </row>
    <row r="8" spans="1:29" s="3339" customFormat="1" ht="15.75" thickBot="1">
      <c r="A8" s="3325" t="s">
        <v>1681</v>
      </c>
      <c r="B8" s="3326"/>
      <c r="C8" s="3340" t="s">
        <v>3737</v>
      </c>
      <c r="D8" s="3328">
        <v>100</v>
      </c>
      <c r="E8" s="3340" t="s">
        <v>3870</v>
      </c>
      <c r="F8" s="3330">
        <f>SUMIF(62:62,E8,63:63)-SUMIF(62:62,C8,63:63)+100</f>
        <v>105</v>
      </c>
      <c r="G8" s="3340" t="s">
        <v>3870</v>
      </c>
      <c r="H8" s="3328">
        <f>SUMIF(62:62,G8,63:63)-SUMIF(62:62,C8,63:63)+100</f>
        <v>105</v>
      </c>
      <c r="I8" s="3340" t="s">
        <v>3870</v>
      </c>
      <c r="J8" s="3328">
        <f>SUMIF(62:62,I8,63:63)-SUMIF(62:62,C8,63:63)+100</f>
        <v>105</v>
      </c>
      <c r="K8" s="3331"/>
      <c r="L8" s="3332"/>
      <c r="M8" s="3333"/>
      <c r="N8" s="3333"/>
      <c r="O8" s="3333"/>
      <c r="P8" s="3981" t="s">
        <v>1683</v>
      </c>
      <c r="Q8" s="3983"/>
      <c r="R8" s="3334" t="s">
        <v>14</v>
      </c>
      <c r="S8" s="3335">
        <f t="shared" si="0"/>
        <v>105</v>
      </c>
      <c r="T8" s="3334" t="s">
        <v>14</v>
      </c>
      <c r="U8" s="3335">
        <f t="shared" si="1"/>
        <v>105</v>
      </c>
      <c r="V8" s="3334" t="s">
        <v>14</v>
      </c>
      <c r="W8" s="3335">
        <f t="shared" si="2"/>
        <v>105</v>
      </c>
      <c r="X8" s="3336"/>
      <c r="Y8" s="3984" t="s">
        <v>1683</v>
      </c>
      <c r="Z8" s="3983"/>
      <c r="AA8" s="3337">
        <f t="shared" ref="AA8:AA47" si="3">D8/F8</f>
        <v>0.95238095238095233</v>
      </c>
      <c r="AB8" s="3337">
        <f t="shared" ref="AB8:AB47" si="4">D8/H8</f>
        <v>0.95238095238095233</v>
      </c>
      <c r="AC8" s="3338">
        <f t="shared" ref="AC8:AC47" si="5">D8/J8</f>
        <v>0.95238095238095233</v>
      </c>
    </row>
    <row r="9" spans="1:29" s="3339" customFormat="1" ht="15" thickBot="1">
      <c r="A9" s="3341" t="s">
        <v>1684</v>
      </c>
      <c r="B9" s="3342" t="s">
        <v>1685</v>
      </c>
      <c r="C9" s="3343" t="s">
        <v>460</v>
      </c>
      <c r="D9" s="3344">
        <v>100</v>
      </c>
      <c r="E9" s="3345" t="s">
        <v>21</v>
      </c>
      <c r="F9" s="3344">
        <f>SUMIF(64:64,E9,65:65)-SUMIF(64:64,C9,65:65)+100</f>
        <v>100</v>
      </c>
      <c r="G9" s="3345" t="s">
        <v>21</v>
      </c>
      <c r="H9" s="3344">
        <f>SUMIF(64:64,G9,65:65)-SUMIF(64:64,C9,65:65)+100</f>
        <v>100</v>
      </c>
      <c r="I9" s="3345" t="s">
        <v>21</v>
      </c>
      <c r="J9" s="3344">
        <f>SUMIF(64:64,I9,65:65)-SUMIF(64:64,C9,65:65)+100</f>
        <v>100</v>
      </c>
      <c r="K9" s="3331"/>
      <c r="L9" s="3332"/>
      <c r="M9" s="3333"/>
      <c r="N9" s="3333"/>
      <c r="O9" s="3333"/>
      <c r="P9" s="3985" t="s">
        <v>1686</v>
      </c>
      <c r="Q9" s="3346" t="str">
        <f t="shared" ref="Q9:Q15" si="6">B9</f>
        <v>用途</v>
      </c>
      <c r="R9" s="3334" t="s">
        <v>14</v>
      </c>
      <c r="S9" s="3335">
        <f t="shared" si="0"/>
        <v>100</v>
      </c>
      <c r="T9" s="3334" t="s">
        <v>14</v>
      </c>
      <c r="U9" s="3335">
        <f t="shared" si="1"/>
        <v>100</v>
      </c>
      <c r="V9" s="3334" t="s">
        <v>14</v>
      </c>
      <c r="W9" s="3335">
        <f t="shared" si="2"/>
        <v>100</v>
      </c>
      <c r="X9" s="3336"/>
      <c r="Y9" s="3986" t="s">
        <v>1687</v>
      </c>
      <c r="Z9" s="3337" t="str">
        <f t="shared" ref="Z9:Z15" si="7">Q9</f>
        <v>用途</v>
      </c>
      <c r="AA9" s="3337">
        <f t="shared" si="3"/>
        <v>1</v>
      </c>
      <c r="AB9" s="3337">
        <f t="shared" si="4"/>
        <v>1</v>
      </c>
      <c r="AC9" s="3338">
        <f t="shared" si="5"/>
        <v>1</v>
      </c>
    </row>
    <row r="10" spans="1:29" s="3354" customFormat="1" ht="27.75" hidden="1" thickBot="1">
      <c r="A10" s="3347"/>
      <c r="B10" s="3348" t="s">
        <v>1688</v>
      </c>
      <c r="C10" s="3349"/>
      <c r="D10" s="3350">
        <v>100</v>
      </c>
      <c r="E10" s="3349"/>
      <c r="F10" s="3350">
        <f>SUMIF(66:66,E10,67:67)-SUMIF(66:66,C10,67:67)+100</f>
        <v>100</v>
      </c>
      <c r="G10" s="3351"/>
      <c r="H10" s="3350">
        <f>SUMIF(66:66,G10,67:67)-SUMIF(66:66,C10,67:67)+100</f>
        <v>100</v>
      </c>
      <c r="I10" s="3349"/>
      <c r="J10" s="3350">
        <f>SUMIF(66:66,I10,67:67)-SUMIF(66:66,C10,67:67)+100</f>
        <v>100</v>
      </c>
      <c r="K10" s="3331"/>
      <c r="L10" s="3352"/>
      <c r="M10" s="3353"/>
      <c r="N10" s="3353"/>
      <c r="O10" s="3353"/>
      <c r="P10" s="3985"/>
      <c r="Q10" s="3346" t="str">
        <f t="shared" si="6"/>
        <v>土地使用年限（年）</v>
      </c>
      <c r="R10" s="3334" t="s">
        <v>14</v>
      </c>
      <c r="S10" s="3335">
        <f t="shared" si="0"/>
        <v>100</v>
      </c>
      <c r="T10" s="3334" t="s">
        <v>14</v>
      </c>
      <c r="U10" s="3335">
        <f t="shared" si="1"/>
        <v>100</v>
      </c>
      <c r="V10" s="3334" t="s">
        <v>14</v>
      </c>
      <c r="W10" s="3335">
        <f t="shared" si="2"/>
        <v>100</v>
      </c>
      <c r="X10" s="3336"/>
      <c r="Y10" s="3986"/>
      <c r="Z10" s="3337" t="str">
        <f t="shared" si="7"/>
        <v>土地使用年限（年）</v>
      </c>
      <c r="AA10" s="3337">
        <f t="shared" si="3"/>
        <v>1</v>
      </c>
      <c r="AB10" s="3337">
        <f t="shared" si="4"/>
        <v>1</v>
      </c>
      <c r="AC10" s="3338">
        <f t="shared" si="5"/>
        <v>1</v>
      </c>
    </row>
    <row r="11" spans="1:29" ht="15.75" hidden="1" thickBot="1">
      <c r="A11" s="3355"/>
      <c r="B11" s="3348" t="s">
        <v>1689</v>
      </c>
      <c r="C11" s="3356"/>
      <c r="D11" s="3350">
        <v>100</v>
      </c>
      <c r="E11" s="3356"/>
      <c r="F11" s="3350">
        <f>LOOKUP(E11,69:69,70:70)-LOOKUP(C11,69:69,70:70)+100</f>
        <v>100</v>
      </c>
      <c r="G11" s="3357"/>
      <c r="H11" s="3350">
        <f>LOOKUP(G11,69:69,70:70)-LOOKUP(C11,69:69,70:70)+100</f>
        <v>100</v>
      </c>
      <c r="I11" s="3356"/>
      <c r="J11" s="3350">
        <f>LOOKUP(I11,69:69,70:70)-LOOKUP(C11,69:69,70:70)+100</f>
        <v>100</v>
      </c>
      <c r="K11" s="3358"/>
      <c r="L11" s="3359"/>
      <c r="M11" s="3316"/>
      <c r="N11" s="3316"/>
      <c r="O11" s="3316"/>
      <c r="P11" s="3985"/>
      <c r="Q11" s="3346" t="str">
        <f t="shared" si="6"/>
        <v>容积率</v>
      </c>
      <c r="R11" s="3334" t="s">
        <v>14</v>
      </c>
      <c r="S11" s="3335">
        <f t="shared" si="0"/>
        <v>100</v>
      </c>
      <c r="T11" s="3334" t="s">
        <v>14</v>
      </c>
      <c r="U11" s="3335">
        <f t="shared" si="1"/>
        <v>100</v>
      </c>
      <c r="V11" s="3334" t="s">
        <v>14</v>
      </c>
      <c r="W11" s="3335">
        <f t="shared" si="2"/>
        <v>100</v>
      </c>
      <c r="X11" s="3336"/>
      <c r="Y11" s="3986"/>
      <c r="Z11" s="3337" t="str">
        <f t="shared" si="7"/>
        <v>容积率</v>
      </c>
      <c r="AA11" s="3337">
        <f t="shared" si="3"/>
        <v>1</v>
      </c>
      <c r="AB11" s="3337">
        <f t="shared" si="4"/>
        <v>1</v>
      </c>
      <c r="AC11" s="3338">
        <f t="shared" si="5"/>
        <v>1</v>
      </c>
    </row>
    <row r="12" spans="1:29" s="3339" customFormat="1" ht="15.75" hidden="1" thickBot="1">
      <c r="A12" s="3360"/>
      <c r="B12" s="3361">
        <v>111</v>
      </c>
      <c r="C12" s="3362"/>
      <c r="D12" s="3363">
        <v>100</v>
      </c>
      <c r="E12" s="3362"/>
      <c r="F12" s="3350">
        <f>SUMIF(71:71,E12,72:72)-SUMIF(71:71,C12,72:72)+100</f>
        <v>100</v>
      </c>
      <c r="G12" s="3364"/>
      <c r="H12" s="3350">
        <f>SUMIF(71:71,G12,72:72)-SUMIF(71:71,C12,72:72)+100</f>
        <v>100</v>
      </c>
      <c r="I12" s="3362"/>
      <c r="J12" s="3350">
        <f>SUMIF(71:71,I12,72:72)-SUMIF(71:71,C12,72:72)+100</f>
        <v>100</v>
      </c>
      <c r="K12" s="3365"/>
      <c r="L12" s="3332"/>
      <c r="M12" s="3333"/>
      <c r="N12" s="3333"/>
      <c r="O12" s="3333"/>
      <c r="P12" s="3985"/>
      <c r="Q12" s="3346">
        <f t="shared" si="6"/>
        <v>111</v>
      </c>
      <c r="R12" s="3334" t="s">
        <v>14</v>
      </c>
      <c r="S12" s="3335">
        <f t="shared" si="0"/>
        <v>100</v>
      </c>
      <c r="T12" s="3334" t="s">
        <v>14</v>
      </c>
      <c r="U12" s="3335">
        <f t="shared" si="1"/>
        <v>100</v>
      </c>
      <c r="V12" s="3334" t="s">
        <v>14</v>
      </c>
      <c r="W12" s="3335">
        <f t="shared" si="2"/>
        <v>100</v>
      </c>
      <c r="X12" s="3336"/>
      <c r="Y12" s="3986"/>
      <c r="Z12" s="3337">
        <f t="shared" si="7"/>
        <v>111</v>
      </c>
      <c r="AA12" s="3337">
        <f>D12/F12</f>
        <v>1</v>
      </c>
      <c r="AB12" s="3337">
        <f>D12/H12</f>
        <v>1</v>
      </c>
      <c r="AC12" s="3338">
        <f>D12/J12</f>
        <v>1</v>
      </c>
    </row>
    <row r="13" spans="1:29" ht="15.75" hidden="1" thickBot="1">
      <c r="A13" s="3355"/>
      <c r="B13" s="3361">
        <v>111</v>
      </c>
      <c r="C13" s="3366"/>
      <c r="D13" s="3367">
        <v>100</v>
      </c>
      <c r="E13" s="3362"/>
      <c r="F13" s="3350">
        <f>SUMIF(73:73,E13,74:74)-SUMIF(73:73,C13,74:74)+100</f>
        <v>100</v>
      </c>
      <c r="G13" s="3364"/>
      <c r="H13" s="3367">
        <f>SUMIF(73:73,G13,74:74)-SUMIF(73:73,C13,74:74)+100</f>
        <v>100</v>
      </c>
      <c r="I13" s="3362"/>
      <c r="J13" s="3367">
        <f>SUMIF(73:73,I13,74:74)-SUMIF(73:73,C13,74:74)+100</f>
        <v>100</v>
      </c>
      <c r="K13" s="3365"/>
      <c r="L13" s="3368"/>
      <c r="M13" s="3316"/>
      <c r="N13" s="3316"/>
      <c r="O13" s="3316"/>
      <c r="P13" s="3985"/>
      <c r="Q13" s="3346">
        <f t="shared" si="6"/>
        <v>111</v>
      </c>
      <c r="R13" s="3334" t="s">
        <v>14</v>
      </c>
      <c r="S13" s="3335">
        <f t="shared" si="0"/>
        <v>100</v>
      </c>
      <c r="T13" s="3334" t="s">
        <v>14</v>
      </c>
      <c r="U13" s="3335">
        <f t="shared" si="1"/>
        <v>100</v>
      </c>
      <c r="V13" s="3334" t="s">
        <v>14</v>
      </c>
      <c r="W13" s="3335">
        <f t="shared" si="2"/>
        <v>100</v>
      </c>
      <c r="X13" s="3336"/>
      <c r="Y13" s="3986"/>
      <c r="Z13" s="3337">
        <f t="shared" si="7"/>
        <v>111</v>
      </c>
      <c r="AA13" s="3337">
        <f t="shared" si="3"/>
        <v>1</v>
      </c>
      <c r="AB13" s="3337">
        <f t="shared" si="4"/>
        <v>1</v>
      </c>
      <c r="AC13" s="3338">
        <f t="shared" si="5"/>
        <v>1</v>
      </c>
    </row>
    <row r="14" spans="1:29" ht="15.75" hidden="1" thickBot="1">
      <c r="A14" s="3369"/>
      <c r="B14" s="3370">
        <v>111</v>
      </c>
      <c r="C14" s="3371"/>
      <c r="D14" s="3372">
        <v>100</v>
      </c>
      <c r="E14" s="3373"/>
      <c r="F14" s="3372">
        <f>SUMIF(75:75,E14,76:76)-SUMIF(75:75,C14,76:76)+100</f>
        <v>100</v>
      </c>
      <c r="G14" s="3364"/>
      <c r="H14" s="3372">
        <f>SUMIF(75:75,G14,76:76)-SUMIF(75:75,C14,76:76)+100</f>
        <v>100</v>
      </c>
      <c r="I14" s="3362"/>
      <c r="J14" s="3372">
        <f>SUMIF(75:75,I14,76:76)-SUMIF(75:75,C14,76:76)+100</f>
        <v>100</v>
      </c>
      <c r="K14" s="3365"/>
      <c r="L14" s="3368"/>
      <c r="M14" s="3316"/>
      <c r="N14" s="3316"/>
      <c r="O14" s="3316"/>
      <c r="P14" s="3985"/>
      <c r="Q14" s="3346">
        <f t="shared" si="6"/>
        <v>111</v>
      </c>
      <c r="R14" s="3334" t="s">
        <v>14</v>
      </c>
      <c r="S14" s="3335">
        <f t="shared" si="0"/>
        <v>100</v>
      </c>
      <c r="T14" s="3334" t="s">
        <v>14</v>
      </c>
      <c r="U14" s="3335">
        <f t="shared" si="1"/>
        <v>100</v>
      </c>
      <c r="V14" s="3334" t="s">
        <v>14</v>
      </c>
      <c r="W14" s="3335">
        <f t="shared" si="2"/>
        <v>100</v>
      </c>
      <c r="X14" s="3336"/>
      <c r="Y14" s="3986"/>
      <c r="Z14" s="3337">
        <f t="shared" si="7"/>
        <v>111</v>
      </c>
      <c r="AA14" s="3337">
        <f t="shared" si="3"/>
        <v>1</v>
      </c>
      <c r="AB14" s="3337">
        <f t="shared" si="4"/>
        <v>1</v>
      </c>
      <c r="AC14" s="3338">
        <f t="shared" si="5"/>
        <v>1</v>
      </c>
    </row>
    <row r="15" spans="1:29" ht="71.25">
      <c r="A15" s="3374" t="s">
        <v>1690</v>
      </c>
      <c r="B15" s="3375" t="s">
        <v>1821</v>
      </c>
      <c r="C15" s="3376" t="str">
        <f>[5]估价对象房地状况!C5</f>
        <v>估价对象位于XX商圈，周边办公楼项目较多，入驻率高，办公集聚程度较好</v>
      </c>
      <c r="D15" s="3377">
        <v>100</v>
      </c>
      <c r="E15" s="3378"/>
      <c r="F15" s="3377">
        <f>SUMIF(77:77,E16,78:78)-SUMIF(77:77,C16,78:78)+100</f>
        <v>100</v>
      </c>
      <c r="G15" s="3379"/>
      <c r="H15" s="3377">
        <f>SUMIF(77:77,G16,78:78)-SUMIF(77:77,C16,78:78)+100</f>
        <v>100</v>
      </c>
      <c r="I15" s="3379"/>
      <c r="J15" s="3377">
        <f>SUMIF(77:77,I16,78:78)-SUMIF(77:77,C16,78:78)+100</f>
        <v>100</v>
      </c>
      <c r="K15" s="3380"/>
      <c r="L15" s="3368"/>
      <c r="M15" s="3316"/>
      <c r="N15" s="3316"/>
      <c r="O15" s="3316"/>
      <c r="P15" s="3987" t="s">
        <v>1691</v>
      </c>
      <c r="Q15" s="3382" t="str">
        <f t="shared" si="6"/>
        <v>办公集聚程度</v>
      </c>
      <c r="R15" s="3383" t="s">
        <v>14</v>
      </c>
      <c r="S15" s="3384">
        <f t="shared" si="0"/>
        <v>100</v>
      </c>
      <c r="T15" s="3383" t="s">
        <v>14</v>
      </c>
      <c r="U15" s="3384">
        <f t="shared" si="1"/>
        <v>100</v>
      </c>
      <c r="V15" s="3383" t="s">
        <v>14</v>
      </c>
      <c r="W15" s="3384">
        <f t="shared" si="2"/>
        <v>100</v>
      </c>
      <c r="X15" s="3322"/>
      <c r="Y15" s="3989" t="s">
        <v>1691</v>
      </c>
      <c r="Z15" s="3321" t="str">
        <f t="shared" si="7"/>
        <v>办公集聚程度</v>
      </c>
      <c r="AA15" s="3321">
        <f t="shared" si="3"/>
        <v>1</v>
      </c>
      <c r="AB15" s="3321">
        <f t="shared" si="4"/>
        <v>1</v>
      </c>
      <c r="AC15" s="3385">
        <f t="shared" si="5"/>
        <v>1</v>
      </c>
    </row>
    <row r="16" spans="1:29" ht="15">
      <c r="A16" s="3355"/>
      <c r="B16" s="3386"/>
      <c r="C16" s="3387" t="s">
        <v>3725</v>
      </c>
      <c r="D16" s="3388"/>
      <c r="E16" s="3387" t="s">
        <v>3725</v>
      </c>
      <c r="F16" s="3388"/>
      <c r="G16" s="3387" t="s">
        <v>3725</v>
      </c>
      <c r="H16" s="3389"/>
      <c r="I16" s="3387" t="s">
        <v>3725</v>
      </c>
      <c r="J16" s="3388"/>
      <c r="K16" s="3390"/>
      <c r="L16" s="3368"/>
      <c r="M16" s="3316"/>
      <c r="N16" s="3316"/>
      <c r="O16" s="3316"/>
      <c r="P16" s="3988"/>
      <c r="Q16" s="3382"/>
      <c r="R16" s="3383"/>
      <c r="S16" s="3384"/>
      <c r="T16" s="3383"/>
      <c r="U16" s="3384"/>
      <c r="V16" s="3383"/>
      <c r="W16" s="3384"/>
      <c r="X16" s="3322"/>
      <c r="Y16" s="3990"/>
      <c r="Z16" s="3321"/>
      <c r="AA16" s="3321">
        <v>1</v>
      </c>
      <c r="AB16" s="3321">
        <v>1</v>
      </c>
      <c r="AC16" s="3385">
        <v>1</v>
      </c>
    </row>
    <row r="17" spans="1:29" ht="71.25">
      <c r="A17" s="3355"/>
      <c r="B17" s="3392" t="s">
        <v>1259</v>
      </c>
      <c r="C17" s="3393" t="str">
        <f>[5]估价对象房地状况!C6</f>
        <v>估价对象周边道路状况、公共交通通达情况、停车便捷程度，综合评价交通便捷度较好</v>
      </c>
      <c r="D17" s="3389">
        <v>100</v>
      </c>
      <c r="E17" s="3394"/>
      <c r="F17" s="3389">
        <f>SUMIF(79:79,E18,80:80)-SUMIF(79:79,C18,80:80)+100</f>
        <v>100</v>
      </c>
      <c r="G17" s="3395"/>
      <c r="H17" s="3396">
        <f>SUMIF(79:79,G18,80:80)-SUMIF(79:79,C18,80:80)+100</f>
        <v>100</v>
      </c>
      <c r="I17" s="3395"/>
      <c r="J17" s="3396">
        <f>SUMIF(79:79,I18,80:80)-SUMIF(79:79,C18,80:80)+100</f>
        <v>100</v>
      </c>
      <c r="K17" s="3380"/>
      <c r="L17" s="3368"/>
      <c r="M17" s="3316"/>
      <c r="N17" s="3316"/>
      <c r="O17" s="3316"/>
      <c r="P17" s="3988"/>
      <c r="Q17" s="3382" t="str">
        <f>B17</f>
        <v>交通便捷度</v>
      </c>
      <c r="R17" s="3383" t="s">
        <v>14</v>
      </c>
      <c r="S17" s="3384">
        <f>F17</f>
        <v>100</v>
      </c>
      <c r="T17" s="3383" t="s">
        <v>14</v>
      </c>
      <c r="U17" s="3384">
        <f>H17</f>
        <v>100</v>
      </c>
      <c r="V17" s="3383" t="s">
        <v>14</v>
      </c>
      <c r="W17" s="3384">
        <f>J17</f>
        <v>100</v>
      </c>
      <c r="X17" s="3322"/>
      <c r="Y17" s="3990"/>
      <c r="Z17" s="3321" t="str">
        <f>Q17</f>
        <v>交通便捷度</v>
      </c>
      <c r="AA17" s="3321">
        <f t="shared" si="3"/>
        <v>1</v>
      </c>
      <c r="AB17" s="3321">
        <f t="shared" si="4"/>
        <v>1</v>
      </c>
      <c r="AC17" s="3385">
        <f t="shared" si="5"/>
        <v>1</v>
      </c>
    </row>
    <row r="18" spans="1:29" ht="15">
      <c r="A18" s="3355"/>
      <c r="B18" s="3397"/>
      <c r="C18" s="3387" t="s">
        <v>3725</v>
      </c>
      <c r="D18" s="3389"/>
      <c r="E18" s="3387" t="s">
        <v>3725</v>
      </c>
      <c r="F18" s="3389"/>
      <c r="G18" s="3387" t="s">
        <v>3725</v>
      </c>
      <c r="H18" s="3388"/>
      <c r="I18" s="3387" t="s">
        <v>3725</v>
      </c>
      <c r="J18" s="3388"/>
      <c r="K18" s="3390"/>
      <c r="L18" s="3368"/>
      <c r="M18" s="3316"/>
      <c r="N18" s="3316"/>
      <c r="O18" s="3316"/>
      <c r="P18" s="3988"/>
      <c r="Q18" s="3382"/>
      <c r="R18" s="3383"/>
      <c r="S18" s="3384"/>
      <c r="T18" s="3383"/>
      <c r="U18" s="3384"/>
      <c r="V18" s="3383"/>
      <c r="W18" s="3384"/>
      <c r="X18" s="3322"/>
      <c r="Y18" s="3990"/>
      <c r="Z18" s="3321"/>
      <c r="AA18" s="3321">
        <v>1</v>
      </c>
      <c r="AB18" s="3321">
        <v>1</v>
      </c>
      <c r="AC18" s="3385">
        <v>1</v>
      </c>
    </row>
    <row r="19" spans="1:29" ht="42.75">
      <c r="A19" s="3355"/>
      <c r="B19" s="3392" t="s">
        <v>1727</v>
      </c>
      <c r="C19" s="3393" t="str">
        <f>[5]估价对象房地状况!C7</f>
        <v>估价对象所在区域公共配套设施齐备情况</v>
      </c>
      <c r="D19" s="3396">
        <v>100</v>
      </c>
      <c r="E19" s="3398"/>
      <c r="F19" s="3396">
        <f>SUMIF(81:81,E20,82:82)-SUMIF(81:81,C20,82:82)+100</f>
        <v>100</v>
      </c>
      <c r="G19" s="3399"/>
      <c r="H19" s="3389">
        <f>SUMIF(81:81,G20,82:82)-SUMIF(81:81,C20,82:82)+100</f>
        <v>100</v>
      </c>
      <c r="I19" s="3399"/>
      <c r="J19" s="3389">
        <f>SUMIF(81:81,I20,82:82)-SUMIF(81:81,C20,82:82)+100</f>
        <v>100</v>
      </c>
      <c r="K19" s="3380"/>
      <c r="L19" s="3368"/>
      <c r="M19" s="3316"/>
      <c r="N19" s="3316"/>
      <c r="O19" s="3316"/>
      <c r="P19" s="3988"/>
      <c r="Q19" s="3382" t="str">
        <f>B19</f>
        <v>公共配套设施</v>
      </c>
      <c r="R19" s="3383" t="s">
        <v>14</v>
      </c>
      <c r="S19" s="3384">
        <f>F19</f>
        <v>100</v>
      </c>
      <c r="T19" s="3383" t="s">
        <v>14</v>
      </c>
      <c r="U19" s="3384">
        <f>H19</f>
        <v>100</v>
      </c>
      <c r="V19" s="3383" t="s">
        <v>14</v>
      </c>
      <c r="W19" s="3384">
        <f>J19</f>
        <v>100</v>
      </c>
      <c r="X19" s="3322"/>
      <c r="Y19" s="3990"/>
      <c r="Z19" s="3321" t="str">
        <f>Q19</f>
        <v>公共配套设施</v>
      </c>
      <c r="AA19" s="3321">
        <f t="shared" si="3"/>
        <v>1</v>
      </c>
      <c r="AB19" s="3321">
        <f t="shared" si="4"/>
        <v>1</v>
      </c>
      <c r="AC19" s="3385">
        <f t="shared" si="5"/>
        <v>1</v>
      </c>
    </row>
    <row r="20" spans="1:29" ht="15">
      <c r="A20" s="3355"/>
      <c r="B20" s="3397"/>
      <c r="C20" s="3387" t="s">
        <v>3725</v>
      </c>
      <c r="D20" s="3388"/>
      <c r="E20" s="3387" t="s">
        <v>3725</v>
      </c>
      <c r="F20" s="3388"/>
      <c r="G20" s="3387" t="s">
        <v>3725</v>
      </c>
      <c r="H20" s="3388"/>
      <c r="I20" s="3387" t="s">
        <v>3725</v>
      </c>
      <c r="J20" s="3388"/>
      <c r="K20" s="3390"/>
      <c r="L20" s="3368"/>
      <c r="M20" s="3316"/>
      <c r="N20" s="3316"/>
      <c r="O20" s="3316"/>
      <c r="P20" s="3988"/>
      <c r="Q20" s="3382"/>
      <c r="R20" s="3383"/>
      <c r="S20" s="3384"/>
      <c r="T20" s="3383"/>
      <c r="U20" s="3384"/>
      <c r="V20" s="3383"/>
      <c r="W20" s="3384"/>
      <c r="X20" s="3322"/>
      <c r="Y20" s="3990"/>
      <c r="Z20" s="3321"/>
      <c r="AA20" s="3321">
        <v>1</v>
      </c>
      <c r="AB20" s="3321">
        <v>1</v>
      </c>
      <c r="AC20" s="3385">
        <v>1</v>
      </c>
    </row>
    <row r="21" spans="1:29" ht="28.5">
      <c r="A21" s="3355"/>
      <c r="B21" s="3400" t="s">
        <v>3738</v>
      </c>
      <c r="C21" s="3393" t="str">
        <f>[5]估价对象房地状况!C8</f>
        <v>估价对象所在区域基础设施水平</v>
      </c>
      <c r="D21" s="3389">
        <v>100</v>
      </c>
      <c r="E21" s="3398"/>
      <c r="F21" s="3396">
        <f>SUMIF(83:83,E22,84:84)-SUMIF(83:83,C22,84:84)+100</f>
        <v>100</v>
      </c>
      <c r="G21" s="3399"/>
      <c r="H21" s="3389">
        <f>SUMIF(83:83,G22,84:84)-SUMIF(83:83,C22,84:84)+100</f>
        <v>100</v>
      </c>
      <c r="I21" s="3399"/>
      <c r="J21" s="3389">
        <f>SUMIF(83:83,I22,84:84)-SUMIF(83:83,C22,84:84)+100</f>
        <v>100</v>
      </c>
      <c r="K21" s="3380"/>
      <c r="L21" s="3368"/>
      <c r="M21" s="3316"/>
      <c r="N21" s="3316"/>
      <c r="O21" s="3316"/>
      <c r="P21" s="3988"/>
      <c r="Q21" s="3382" t="str">
        <f>B21</f>
        <v>基础设施水平</v>
      </c>
      <c r="R21" s="3383" t="s">
        <v>14</v>
      </c>
      <c r="S21" s="3384">
        <f>F21</f>
        <v>100</v>
      </c>
      <c r="T21" s="3383" t="s">
        <v>14</v>
      </c>
      <c r="U21" s="3384">
        <f>H21</f>
        <v>100</v>
      </c>
      <c r="V21" s="3383" t="s">
        <v>14</v>
      </c>
      <c r="W21" s="3384">
        <f>J21</f>
        <v>100</v>
      </c>
      <c r="X21" s="3322"/>
      <c r="Y21" s="3990"/>
      <c r="Z21" s="3321" t="str">
        <f>Q21</f>
        <v>基础设施水平</v>
      </c>
      <c r="AA21" s="3321">
        <f t="shared" ref="AA21" si="8">D21/F21</f>
        <v>1</v>
      </c>
      <c r="AB21" s="3321">
        <f t="shared" ref="AB21" si="9">D21/H21</f>
        <v>1</v>
      </c>
      <c r="AC21" s="3385">
        <f t="shared" ref="AC21" si="10">D21/J21</f>
        <v>1</v>
      </c>
    </row>
    <row r="22" spans="1:29" ht="15">
      <c r="A22" s="3355"/>
      <c r="B22" s="3400"/>
      <c r="C22" s="3401" t="s">
        <v>3739</v>
      </c>
      <c r="D22" s="3388"/>
      <c r="E22" s="3401" t="s">
        <v>3739</v>
      </c>
      <c r="F22" s="3388"/>
      <c r="G22" s="3401" t="s">
        <v>3739</v>
      </c>
      <c r="H22" s="3388"/>
      <c r="I22" s="3401" t="s">
        <v>3739</v>
      </c>
      <c r="J22" s="3388"/>
      <c r="K22" s="3402"/>
      <c r="L22" s="3368"/>
      <c r="M22" s="3316"/>
      <c r="N22" s="3316"/>
      <c r="O22" s="3316"/>
      <c r="P22" s="3988"/>
      <c r="Q22" s="3382"/>
      <c r="R22" s="3383"/>
      <c r="S22" s="3384"/>
      <c r="T22" s="3383"/>
      <c r="U22" s="3384"/>
      <c r="V22" s="3383"/>
      <c r="W22" s="3384"/>
      <c r="X22" s="3322"/>
      <c r="Y22" s="3990"/>
      <c r="Z22" s="3321"/>
      <c r="AA22" s="3321">
        <v>1</v>
      </c>
      <c r="AB22" s="3321">
        <v>1</v>
      </c>
      <c r="AC22" s="3385">
        <v>1</v>
      </c>
    </row>
    <row r="23" spans="1:29" ht="42.75">
      <c r="A23" s="3355"/>
      <c r="B23" s="3392" t="s">
        <v>1822</v>
      </c>
      <c r="C23" s="3393" t="str">
        <f>[5]估价对象房地状况!C9</f>
        <v>区域自然环境：；人文环境；综合评价环境状况一般</v>
      </c>
      <c r="D23" s="3389">
        <v>100</v>
      </c>
      <c r="E23" s="3394"/>
      <c r="F23" s="3389">
        <f>SUMIF(85:85,E24,86:86)-SUMIF(85:85,C24,86:86)+100</f>
        <v>100</v>
      </c>
      <c r="G23" s="3395"/>
      <c r="H23" s="3389">
        <f>SUMIF(85:85,G24,86:86)-SUMIF(85:85,C24,86:86)+100</f>
        <v>100</v>
      </c>
      <c r="I23" s="3395"/>
      <c r="J23" s="3389">
        <f>SUMIF(85:85,I24,86:86)-SUMIF(85:85,C24,86:86)+100</f>
        <v>100</v>
      </c>
      <c r="K23" s="3380"/>
      <c r="L23" s="3368"/>
      <c r="M23" s="3316"/>
      <c r="N23" s="3316"/>
      <c r="O23" s="3316"/>
      <c r="P23" s="3988"/>
      <c r="Q23" s="3382" t="str">
        <f>B23</f>
        <v>环境质量</v>
      </c>
      <c r="R23" s="3383" t="s">
        <v>14</v>
      </c>
      <c r="S23" s="3384">
        <f>F23</f>
        <v>100</v>
      </c>
      <c r="T23" s="3383" t="s">
        <v>14</v>
      </c>
      <c r="U23" s="3384">
        <f>H23</f>
        <v>100</v>
      </c>
      <c r="V23" s="3383" t="s">
        <v>14</v>
      </c>
      <c r="W23" s="3384">
        <f>J23</f>
        <v>100</v>
      </c>
      <c r="X23" s="3322"/>
      <c r="Y23" s="3990"/>
      <c r="Z23" s="3321" t="str">
        <f>Q23</f>
        <v>环境质量</v>
      </c>
      <c r="AA23" s="3321">
        <f t="shared" si="3"/>
        <v>1</v>
      </c>
      <c r="AB23" s="3321">
        <f t="shared" si="4"/>
        <v>1</v>
      </c>
      <c r="AC23" s="3385">
        <f t="shared" si="5"/>
        <v>1</v>
      </c>
    </row>
    <row r="24" spans="1:29" ht="15">
      <c r="A24" s="3355"/>
      <c r="B24" s="3400"/>
      <c r="C24" s="3387" t="s">
        <v>3725</v>
      </c>
      <c r="D24" s="3388"/>
      <c r="E24" s="3387" t="s">
        <v>3725</v>
      </c>
      <c r="F24" s="3388"/>
      <c r="G24" s="3387" t="s">
        <v>3725</v>
      </c>
      <c r="H24" s="3388"/>
      <c r="I24" s="3387" t="s">
        <v>3725</v>
      </c>
      <c r="J24" s="3388"/>
      <c r="K24" s="3390"/>
      <c r="L24" s="3368"/>
      <c r="M24" s="3316"/>
      <c r="N24" s="3316"/>
      <c r="O24" s="3316"/>
      <c r="P24" s="3988"/>
      <c r="Q24" s="3382"/>
      <c r="R24" s="3383"/>
      <c r="S24" s="3384"/>
      <c r="T24" s="3383"/>
      <c r="U24" s="3384"/>
      <c r="V24" s="3383"/>
      <c r="W24" s="3384"/>
      <c r="X24" s="3322"/>
      <c r="Y24" s="3990"/>
      <c r="Z24" s="3321"/>
      <c r="AA24" s="3321">
        <v>1</v>
      </c>
      <c r="AB24" s="3321">
        <v>1</v>
      </c>
      <c r="AC24" s="3385">
        <v>1</v>
      </c>
    </row>
    <row r="25" spans="1:29" ht="27">
      <c r="A25" s="3319"/>
      <c r="B25" s="3392" t="s">
        <v>1823</v>
      </c>
      <c r="C25" s="3403"/>
      <c r="D25" s="3367">
        <v>100</v>
      </c>
      <c r="E25" s="3366"/>
      <c r="F25" s="3367">
        <f>SUMIF(87:87,E26,88:88)-SUMIF(87:87,C26,88:88)+100</f>
        <v>100</v>
      </c>
      <c r="G25" s="3403"/>
      <c r="H25" s="3367">
        <f>SUMIF(87:87,G26,88:88)-SUMIF(87:87,C26,88:88)+100</f>
        <v>100</v>
      </c>
      <c r="I25" s="3366"/>
      <c r="J25" s="3367">
        <f>SUMIF(87:87,I26,88:88)-SUMIF(87:87,C26,88:88)+100</f>
        <v>100</v>
      </c>
      <c r="K25" s="3380"/>
      <c r="L25" s="3368"/>
      <c r="M25" s="3316"/>
      <c r="N25" s="3316"/>
      <c r="O25" s="3316"/>
      <c r="P25" s="3988"/>
      <c r="Q25" s="3382" t="str">
        <f>B25</f>
        <v>毗邻道路的类型与等级</v>
      </c>
      <c r="R25" s="3383" t="s">
        <v>14</v>
      </c>
      <c r="S25" s="3384">
        <f>F25</f>
        <v>100</v>
      </c>
      <c r="T25" s="3383" t="s">
        <v>14</v>
      </c>
      <c r="U25" s="3384">
        <f>H25</f>
        <v>100</v>
      </c>
      <c r="V25" s="3383" t="s">
        <v>14</v>
      </c>
      <c r="W25" s="3384">
        <f>J25</f>
        <v>100</v>
      </c>
      <c r="X25" s="3322"/>
      <c r="Y25" s="3990"/>
      <c r="Z25" s="3321" t="str">
        <f>Q25</f>
        <v>毗邻道路的类型与等级</v>
      </c>
      <c r="AA25" s="3321">
        <f t="shared" si="3"/>
        <v>1</v>
      </c>
      <c r="AB25" s="3321">
        <f t="shared" si="4"/>
        <v>1</v>
      </c>
      <c r="AC25" s="3385">
        <f t="shared" si="5"/>
        <v>1</v>
      </c>
    </row>
    <row r="26" spans="1:29" ht="28.5">
      <c r="A26" s="3319"/>
      <c r="B26" s="3397"/>
      <c r="C26" s="3404" t="s">
        <v>3740</v>
      </c>
      <c r="D26" s="3367"/>
      <c r="E26" s="3405" t="s">
        <v>3740</v>
      </c>
      <c r="F26" s="3367"/>
      <c r="G26" s="3405" t="s">
        <v>3740</v>
      </c>
      <c r="H26" s="3367"/>
      <c r="I26" s="3405" t="s">
        <v>3740</v>
      </c>
      <c r="J26" s="3367"/>
      <c r="K26" s="3390"/>
      <c r="L26" s="3368"/>
      <c r="M26" s="3316"/>
      <c r="N26" s="3316"/>
      <c r="O26" s="3316"/>
      <c r="P26" s="3988"/>
      <c r="Q26" s="3382"/>
      <c r="R26" s="3383"/>
      <c r="S26" s="3384"/>
      <c r="T26" s="3383"/>
      <c r="U26" s="3384"/>
      <c r="V26" s="3383"/>
      <c r="W26" s="3384"/>
      <c r="X26" s="3322"/>
      <c r="Y26" s="3990"/>
      <c r="Z26" s="3321"/>
      <c r="AA26" s="3321">
        <v>1</v>
      </c>
      <c r="AB26" s="3321">
        <v>1</v>
      </c>
      <c r="AC26" s="3385">
        <v>1</v>
      </c>
    </row>
    <row r="27" spans="1:29" ht="15" hidden="1">
      <c r="A27" s="3355"/>
      <c r="B27" s="3397" t="s">
        <v>1852</v>
      </c>
      <c r="C27" s="3404"/>
      <c r="D27" s="3367">
        <v>100</v>
      </c>
      <c r="E27" s="3405"/>
      <c r="F27" s="3367">
        <f>SUMIF(89:89,E27,90:90)-SUMIF(89:89,C27,90:90)+100</f>
        <v>100</v>
      </c>
      <c r="G27" s="3404"/>
      <c r="H27" s="3367">
        <f>SUMIF(89:89,G27,90:90)-SUMIF(89:89,C27,90:90)+100</f>
        <v>100</v>
      </c>
      <c r="I27" s="3405"/>
      <c r="J27" s="3367">
        <f>SUMIF(89:89,I27,90:90)-SUMIF(89:89,C27,90:90)+100</f>
        <v>100</v>
      </c>
      <c r="K27" s="3358"/>
      <c r="L27" s="3368"/>
      <c r="M27" s="3316"/>
      <c r="N27" s="3316"/>
      <c r="O27" s="3316"/>
      <c r="P27" s="3988"/>
      <c r="Q27" s="3382" t="str">
        <f t="shared" ref="Q27:Q47" si="11">B27</f>
        <v>楼层</v>
      </c>
      <c r="R27" s="3383" t="s">
        <v>14</v>
      </c>
      <c r="S27" s="3384">
        <f>F27</f>
        <v>100</v>
      </c>
      <c r="T27" s="3383" t="s">
        <v>14</v>
      </c>
      <c r="U27" s="3384">
        <f>H27</f>
        <v>100</v>
      </c>
      <c r="V27" s="3383" t="s">
        <v>14</v>
      </c>
      <c r="W27" s="3384">
        <f>J27</f>
        <v>100</v>
      </c>
      <c r="X27" s="3322"/>
      <c r="Y27" s="3990"/>
      <c r="Z27" s="3321" t="str">
        <f>Q27</f>
        <v>楼层</v>
      </c>
      <c r="AA27" s="3321">
        <f t="shared" si="3"/>
        <v>1</v>
      </c>
      <c r="AB27" s="3321">
        <f t="shared" si="4"/>
        <v>1</v>
      </c>
      <c r="AC27" s="3385">
        <f t="shared" si="5"/>
        <v>1</v>
      </c>
    </row>
    <row r="28" spans="1:29" s="3339" customFormat="1" ht="15" hidden="1">
      <c r="A28" s="3360"/>
      <c r="B28" s="3392" t="s">
        <v>1735</v>
      </c>
      <c r="C28" s="3406"/>
      <c r="D28" s="3397">
        <v>100</v>
      </c>
      <c r="E28" s="3407"/>
      <c r="F28" s="3397">
        <f>SUMIF(91:91,E28,92:92)-SUMIF(91:91,C28,92:92)+100</f>
        <v>100</v>
      </c>
      <c r="G28" s="3406"/>
      <c r="H28" s="3397">
        <f>SUMIF(91:91,G28,92:92)-SUMIF(91:91,C28,92:92)+100</f>
        <v>100</v>
      </c>
      <c r="I28" s="3407"/>
      <c r="J28" s="3397">
        <f>SUMIF(91:91,I28,92:92)-SUMIF(91:91,C28,92:92)+100</f>
        <v>100</v>
      </c>
      <c r="K28" s="3358"/>
      <c r="L28" s="3332"/>
      <c r="M28" s="3333"/>
      <c r="N28" s="3333"/>
      <c r="O28" s="3333"/>
      <c r="P28" s="3988"/>
      <c r="Q28" s="3346" t="str">
        <f t="shared" si="11"/>
        <v>朝向</v>
      </c>
      <c r="R28" s="3334" t="s">
        <v>14</v>
      </c>
      <c r="S28" s="3335">
        <f>F28</f>
        <v>100</v>
      </c>
      <c r="T28" s="3334" t="s">
        <v>14</v>
      </c>
      <c r="U28" s="3335">
        <f>H28</f>
        <v>100</v>
      </c>
      <c r="V28" s="3334" t="s">
        <v>14</v>
      </c>
      <c r="W28" s="3335">
        <f>J28</f>
        <v>100</v>
      </c>
      <c r="X28" s="3336"/>
      <c r="Y28" s="3990"/>
      <c r="Z28" s="3337" t="str">
        <f>Q28</f>
        <v>朝向</v>
      </c>
      <c r="AA28" s="3321">
        <f>D28/F28</f>
        <v>1</v>
      </c>
      <c r="AB28" s="3321">
        <f>D28/H28</f>
        <v>1</v>
      </c>
      <c r="AC28" s="3385">
        <f>D28/J28</f>
        <v>1</v>
      </c>
    </row>
    <row r="29" spans="1:29" ht="15.75" thickBot="1">
      <c r="A29" s="3355"/>
      <c r="B29" s="3408" t="s">
        <v>3465</v>
      </c>
      <c r="C29" s="3638" t="s">
        <v>3819</v>
      </c>
      <c r="D29" s="3367">
        <v>100</v>
      </c>
      <c r="E29" s="3637" t="str">
        <f>办公租金案例!AE63</f>
        <v>低楼层</v>
      </c>
      <c r="F29" s="3367">
        <f>SUMIF(93:93,E29,94:94)-SUMIF(93:93,C29,94:94)+100</f>
        <v>98</v>
      </c>
      <c r="G29" s="3637" t="s">
        <v>3818</v>
      </c>
      <c r="H29" s="3367">
        <f>SUMIF(93:93,G29,94:94)-SUMIF(93:93,C29,94:94)+100</f>
        <v>100</v>
      </c>
      <c r="I29" s="3637" t="s">
        <v>3820</v>
      </c>
      <c r="J29" s="3367">
        <f>SUMIF(93:93,I29,94:94)-SUMIF(93:93,C29,94:94)+100</f>
        <v>102</v>
      </c>
      <c r="K29" s="3365"/>
      <c r="L29" s="3368"/>
      <c r="M29" s="3316"/>
      <c r="N29" s="3316"/>
      <c r="O29" s="3316"/>
      <c r="P29" s="3988"/>
      <c r="Q29" s="3382" t="str">
        <f t="shared" si="11"/>
        <v>楼层</v>
      </c>
      <c r="R29" s="3383" t="s">
        <v>14</v>
      </c>
      <c r="S29" s="3384">
        <f t="shared" ref="S29:S47" si="12">F29</f>
        <v>98</v>
      </c>
      <c r="T29" s="3383" t="s">
        <v>14</v>
      </c>
      <c r="U29" s="3384">
        <f t="shared" ref="U29:U47" si="13">H29</f>
        <v>100</v>
      </c>
      <c r="V29" s="3383" t="s">
        <v>14</v>
      </c>
      <c r="W29" s="3384">
        <f t="shared" ref="W29:W47" si="14">J29</f>
        <v>102</v>
      </c>
      <c r="X29" s="3322"/>
      <c r="Y29" s="3990"/>
      <c r="Z29" s="3321" t="str">
        <f t="shared" ref="Z29:Z47" si="15">Q29</f>
        <v>楼层</v>
      </c>
      <c r="AA29" s="3321">
        <f t="shared" si="3"/>
        <v>1.0204081632653061</v>
      </c>
      <c r="AB29" s="3321">
        <f t="shared" si="4"/>
        <v>1</v>
      </c>
      <c r="AC29" s="3385">
        <f t="shared" si="5"/>
        <v>0.98039215686274506</v>
      </c>
    </row>
    <row r="30" spans="1:29" ht="15.75" hidden="1" thickBot="1">
      <c r="A30" s="3355"/>
      <c r="B30" s="3409">
        <v>111</v>
      </c>
      <c r="C30" s="3403"/>
      <c r="D30" s="3367">
        <v>100</v>
      </c>
      <c r="E30" s="3362"/>
      <c r="F30" s="3367">
        <f>SUMIF(95:95,E30,96:96)-SUMIF(95:95,C30,96:96)+100</f>
        <v>100</v>
      </c>
      <c r="G30" s="3364"/>
      <c r="H30" s="3367">
        <f>SUMIF(95:95,G30,96:96)-SUMIF(95:95,C30,96:96)+100</f>
        <v>100</v>
      </c>
      <c r="I30" s="3362"/>
      <c r="J30" s="3367">
        <f>SUMIF(95:95,I30,96:96)-SUMIF(95:95,C30,96:96)+100</f>
        <v>100</v>
      </c>
      <c r="K30" s="3365"/>
      <c r="L30" s="3368"/>
      <c r="M30" s="3316"/>
      <c r="N30" s="3316"/>
      <c r="O30" s="3316"/>
      <c r="P30" s="3988"/>
      <c r="Q30" s="3382">
        <f t="shared" si="11"/>
        <v>111</v>
      </c>
      <c r="R30" s="3383" t="s">
        <v>14</v>
      </c>
      <c r="S30" s="3384">
        <f t="shared" si="12"/>
        <v>100</v>
      </c>
      <c r="T30" s="3383" t="s">
        <v>14</v>
      </c>
      <c r="U30" s="3384">
        <f t="shared" si="13"/>
        <v>100</v>
      </c>
      <c r="V30" s="3383" t="s">
        <v>14</v>
      </c>
      <c r="W30" s="3384">
        <f t="shared" si="14"/>
        <v>100</v>
      </c>
      <c r="X30" s="3322"/>
      <c r="Y30" s="3990"/>
      <c r="Z30" s="3321">
        <f t="shared" si="15"/>
        <v>111</v>
      </c>
      <c r="AA30" s="3321">
        <f t="shared" si="3"/>
        <v>1</v>
      </c>
      <c r="AB30" s="3321">
        <f t="shared" si="4"/>
        <v>1</v>
      </c>
      <c r="AC30" s="3385">
        <f t="shared" si="5"/>
        <v>1</v>
      </c>
    </row>
    <row r="31" spans="1:29" ht="15.75" hidden="1" thickBot="1">
      <c r="A31" s="3355"/>
      <c r="B31" s="3409">
        <v>111</v>
      </c>
      <c r="C31" s="3403"/>
      <c r="D31" s="3367">
        <v>100</v>
      </c>
      <c r="E31" s="3362"/>
      <c r="F31" s="3367">
        <f>SUMIF(97:97,E31,98:98)-SUMIF(97:97,C31,98:98)+100</f>
        <v>100</v>
      </c>
      <c r="G31" s="3364"/>
      <c r="H31" s="3367">
        <f>SUMIF(97:97,G31,98:98)-SUMIF(97:97,C31,98:98)+100</f>
        <v>100</v>
      </c>
      <c r="I31" s="3362"/>
      <c r="J31" s="3367">
        <f>SUMIF(97:97,I31,98:98)-SUMIF(97:97,C31,98:98)+100</f>
        <v>100</v>
      </c>
      <c r="K31" s="3365"/>
      <c r="L31" s="3368"/>
      <c r="M31" s="3316"/>
      <c r="N31" s="3316"/>
      <c r="O31" s="3316"/>
      <c r="P31" s="3988"/>
      <c r="Q31" s="3382">
        <f t="shared" si="11"/>
        <v>111</v>
      </c>
      <c r="R31" s="3383" t="s">
        <v>14</v>
      </c>
      <c r="S31" s="3384">
        <f t="shared" si="12"/>
        <v>100</v>
      </c>
      <c r="T31" s="3383" t="s">
        <v>14</v>
      </c>
      <c r="U31" s="3384">
        <f t="shared" si="13"/>
        <v>100</v>
      </c>
      <c r="V31" s="3383" t="s">
        <v>14</v>
      </c>
      <c r="W31" s="3384">
        <f t="shared" si="14"/>
        <v>100</v>
      </c>
      <c r="X31" s="3322"/>
      <c r="Y31" s="3990"/>
      <c r="Z31" s="3321">
        <f t="shared" si="15"/>
        <v>111</v>
      </c>
      <c r="AA31" s="3321">
        <f t="shared" si="3"/>
        <v>1</v>
      </c>
      <c r="AB31" s="3321">
        <f t="shared" si="4"/>
        <v>1</v>
      </c>
      <c r="AC31" s="3385">
        <f t="shared" si="5"/>
        <v>1</v>
      </c>
    </row>
    <row r="32" spans="1:29" ht="15.75" hidden="1" thickBot="1">
      <c r="A32" s="3369"/>
      <c r="B32" s="3410">
        <v>111</v>
      </c>
      <c r="C32" s="3411"/>
      <c r="D32" s="3372">
        <v>100</v>
      </c>
      <c r="E32" s="3373"/>
      <c r="F32" s="3372">
        <f>SUMIF(99:99,E32,100:100)-SUMIF(99:99,C32,100:100)+100</f>
        <v>100</v>
      </c>
      <c r="G32" s="3364"/>
      <c r="H32" s="3372">
        <f>SUMIF(99:99,G32,100:100)-SUMIF(99:99,C32,100:100)+100</f>
        <v>100</v>
      </c>
      <c r="I32" s="3362"/>
      <c r="J32" s="3372">
        <f>SUMIF(99:99,I32,100:100)-SUMIF(99:99,C32,100:100)+100</f>
        <v>100</v>
      </c>
      <c r="K32" s="3365"/>
      <c r="L32" s="3368"/>
      <c r="M32" s="3316"/>
      <c r="N32" s="3316"/>
      <c r="O32" s="3316"/>
      <c r="P32" s="3988"/>
      <c r="Q32" s="3382">
        <f t="shared" si="11"/>
        <v>111</v>
      </c>
      <c r="R32" s="3383" t="s">
        <v>14</v>
      </c>
      <c r="S32" s="3384">
        <f t="shared" si="12"/>
        <v>100</v>
      </c>
      <c r="T32" s="3383" t="s">
        <v>14</v>
      </c>
      <c r="U32" s="3384">
        <f t="shared" si="13"/>
        <v>100</v>
      </c>
      <c r="V32" s="3383" t="s">
        <v>14</v>
      </c>
      <c r="W32" s="3384">
        <f t="shared" si="14"/>
        <v>100</v>
      </c>
      <c r="X32" s="3322"/>
      <c r="Y32" s="3990"/>
      <c r="Z32" s="3321">
        <f t="shared" si="15"/>
        <v>111</v>
      </c>
      <c r="AA32" s="3321">
        <f t="shared" si="3"/>
        <v>1</v>
      </c>
      <c r="AB32" s="3321">
        <f t="shared" si="4"/>
        <v>1</v>
      </c>
      <c r="AC32" s="3385">
        <f t="shared" si="5"/>
        <v>1</v>
      </c>
    </row>
    <row r="33" spans="1:29" ht="15">
      <c r="A33" s="3374" t="s">
        <v>1694</v>
      </c>
      <c r="B33" s="3342" t="s">
        <v>1736</v>
      </c>
      <c r="C33" s="3412"/>
      <c r="D33" s="3313">
        <v>100</v>
      </c>
      <c r="E33" s="3412"/>
      <c r="F33" s="3413">
        <f>SUMIF(101:101,E33,102:102)-SUMIF(101:101,C33,102:102)+100</f>
        <v>100</v>
      </c>
      <c r="G33" s="3412"/>
      <c r="H33" s="3367">
        <f>SUMIF(101:101,G33,102:102)-SUMIF(101:101,C33,102:102)+100</f>
        <v>100</v>
      </c>
      <c r="I33" s="3412"/>
      <c r="J33" s="3313">
        <f>SUMIF(101:101,I33,102:102)-SUMIF(101:101,C33,102:102)+100</f>
        <v>100</v>
      </c>
      <c r="K33" s="3358"/>
      <c r="L33" s="3368"/>
      <c r="M33" s="3316"/>
      <c r="N33" s="3316"/>
      <c r="O33" s="3316"/>
      <c r="P33" s="3991" t="s">
        <v>1696</v>
      </c>
      <c r="Q33" s="3382" t="str">
        <f t="shared" si="11"/>
        <v>建筑类型</v>
      </c>
      <c r="R33" s="3383" t="s">
        <v>14</v>
      </c>
      <c r="S33" s="3384">
        <f t="shared" si="12"/>
        <v>100</v>
      </c>
      <c r="T33" s="3383" t="s">
        <v>14</v>
      </c>
      <c r="U33" s="3384">
        <f t="shared" si="13"/>
        <v>100</v>
      </c>
      <c r="V33" s="3383" t="s">
        <v>14</v>
      </c>
      <c r="W33" s="3384">
        <f t="shared" si="14"/>
        <v>100</v>
      </c>
      <c r="X33" s="3322"/>
      <c r="Y33" s="3994" t="s">
        <v>1696</v>
      </c>
      <c r="Z33" s="3321" t="str">
        <f t="shared" si="15"/>
        <v>建筑类型</v>
      </c>
      <c r="AA33" s="3321">
        <f t="shared" si="3"/>
        <v>1</v>
      </c>
      <c r="AB33" s="3321">
        <f t="shared" si="4"/>
        <v>1</v>
      </c>
      <c r="AC33" s="3385">
        <f t="shared" si="5"/>
        <v>1</v>
      </c>
    </row>
    <row r="34" spans="1:29" s="3422" customFormat="1" ht="15">
      <c r="A34" s="3414"/>
      <c r="B34" s="3348" t="s">
        <v>1697</v>
      </c>
      <c r="C34" s="3415">
        <f>'[5]售价比较法-办公 '!C34</f>
        <v>1435.93</v>
      </c>
      <c r="D34" s="3350">
        <v>100</v>
      </c>
      <c r="E34" s="3357">
        <f>办公租金案例!AC63</f>
        <v>750</v>
      </c>
      <c r="F34" s="3348">
        <f>LOOKUP(E34,104:104,105:105)-LOOKUP(C34,104:104,105:105)+100</f>
        <v>102</v>
      </c>
      <c r="G34" s="3356">
        <f>办公租金案例!AC64</f>
        <v>1498</v>
      </c>
      <c r="H34" s="3350">
        <f>LOOKUP(G34,104:104,105:105)-LOOKUP(C34,104:104,105:105)+100</f>
        <v>100</v>
      </c>
      <c r="I34" s="3356">
        <f>办公租金案例!AC65</f>
        <v>1260</v>
      </c>
      <c r="J34" s="3350">
        <f>LOOKUP(I34,104:104,105:105)-LOOKUP(C34,104:104,105:105)+100</f>
        <v>100</v>
      </c>
      <c r="K34" s="3365"/>
      <c r="L34" s="3359"/>
      <c r="M34" s="3416">
        <f>1-(2024-I51)/60</f>
        <v>0.6</v>
      </c>
      <c r="N34" s="3416"/>
      <c r="O34" s="3416"/>
      <c r="P34" s="3992"/>
      <c r="Q34" s="3417" t="str">
        <f t="shared" si="11"/>
        <v>项目建筑规模</v>
      </c>
      <c r="R34" s="3418" t="s">
        <v>14</v>
      </c>
      <c r="S34" s="3419">
        <f t="shared" si="12"/>
        <v>102</v>
      </c>
      <c r="T34" s="3418" t="s">
        <v>14</v>
      </c>
      <c r="U34" s="3419">
        <f t="shared" si="13"/>
        <v>100</v>
      </c>
      <c r="V34" s="3418" t="s">
        <v>14</v>
      </c>
      <c r="W34" s="3419">
        <f t="shared" si="14"/>
        <v>100</v>
      </c>
      <c r="X34" s="3420"/>
      <c r="Y34" s="3994"/>
      <c r="Z34" s="3421" t="str">
        <f t="shared" si="15"/>
        <v>项目建筑规模</v>
      </c>
      <c r="AA34" s="3321">
        <f t="shared" si="3"/>
        <v>0.98039215686274506</v>
      </c>
      <c r="AB34" s="3321">
        <f t="shared" si="4"/>
        <v>1</v>
      </c>
      <c r="AC34" s="3385">
        <f t="shared" si="5"/>
        <v>1</v>
      </c>
    </row>
    <row r="35" spans="1:29" ht="15">
      <c r="A35" s="3423"/>
      <c r="B35" s="3348" t="s">
        <v>1698</v>
      </c>
      <c r="C35" s="3424" t="s">
        <v>3701</v>
      </c>
      <c r="D35" s="3367">
        <v>100</v>
      </c>
      <c r="E35" s="3424" t="s">
        <v>3701</v>
      </c>
      <c r="F35" s="3413">
        <f>SUMIF(106:106,E35,107:107)-SUMIF(106:106,C35,107:107)+100</f>
        <v>100</v>
      </c>
      <c r="G35" s="3424" t="s">
        <v>3701</v>
      </c>
      <c r="H35" s="3367">
        <f>SUMIF(106:106,G35,107:107)-SUMIF(106:106,C35,107:107)+100</f>
        <v>100</v>
      </c>
      <c r="I35" s="3424" t="s">
        <v>3701</v>
      </c>
      <c r="J35" s="3367">
        <f>SUMIF(106:106,I35,107:107)-SUMIF(106:106,C35,107:107)+100</f>
        <v>100</v>
      </c>
      <c r="K35" s="3358"/>
      <c r="L35" s="3368"/>
      <c r="M35" s="3316"/>
      <c r="N35" s="3316"/>
      <c r="O35" s="3316"/>
      <c r="P35" s="3992"/>
      <c r="Q35" s="3382" t="str">
        <f t="shared" si="11"/>
        <v>建筑结构</v>
      </c>
      <c r="R35" s="3383" t="s">
        <v>14</v>
      </c>
      <c r="S35" s="3384">
        <f t="shared" si="12"/>
        <v>100</v>
      </c>
      <c r="T35" s="3383" t="s">
        <v>14</v>
      </c>
      <c r="U35" s="3384">
        <f t="shared" si="13"/>
        <v>100</v>
      </c>
      <c r="V35" s="3383" t="s">
        <v>14</v>
      </c>
      <c r="W35" s="3384">
        <f t="shared" si="14"/>
        <v>100</v>
      </c>
      <c r="X35" s="3322"/>
      <c r="Y35" s="3994"/>
      <c r="Z35" s="3321" t="str">
        <f t="shared" si="15"/>
        <v>建筑结构</v>
      </c>
      <c r="AA35" s="3321">
        <f t="shared" si="3"/>
        <v>1</v>
      </c>
      <c r="AB35" s="3321">
        <f t="shared" si="4"/>
        <v>1</v>
      </c>
      <c r="AC35" s="3385">
        <f t="shared" si="5"/>
        <v>1</v>
      </c>
    </row>
    <row r="36" spans="1:29" ht="15">
      <c r="A36" s="3423"/>
      <c r="B36" s="3348" t="s">
        <v>1740</v>
      </c>
      <c r="C36" s="3424" t="s">
        <v>3743</v>
      </c>
      <c r="D36" s="3367">
        <v>100</v>
      </c>
      <c r="E36" s="3424" t="s">
        <v>3743</v>
      </c>
      <c r="F36" s="3413">
        <f>SUMIF(108:108,E36,109:109)-SUMIF(108:108,C36,109:109)+100</f>
        <v>100</v>
      </c>
      <c r="G36" s="3424" t="s">
        <v>3743</v>
      </c>
      <c r="H36" s="3367">
        <f>SUMIF(108:108,G36,109:109)-SUMIF(108:108,C36,109:109)+100</f>
        <v>100</v>
      </c>
      <c r="I36" s="3424" t="s">
        <v>3743</v>
      </c>
      <c r="J36" s="3367">
        <f>SUMIF(108:108,I36,109:109)-SUMIF(108:108,C36,109:109)+100</f>
        <v>100</v>
      </c>
      <c r="K36" s="3358"/>
      <c r="L36" s="3368"/>
      <c r="M36" s="3316"/>
      <c r="N36" s="3316"/>
      <c r="O36" s="3316"/>
      <c r="P36" s="3992"/>
      <c r="Q36" s="3382" t="str">
        <f t="shared" si="11"/>
        <v>公共部分装修</v>
      </c>
      <c r="R36" s="3383" t="s">
        <v>14</v>
      </c>
      <c r="S36" s="3384">
        <f t="shared" si="12"/>
        <v>100</v>
      </c>
      <c r="T36" s="3383" t="s">
        <v>14</v>
      </c>
      <c r="U36" s="3384">
        <f t="shared" si="13"/>
        <v>100</v>
      </c>
      <c r="V36" s="3383" t="s">
        <v>14</v>
      </c>
      <c r="W36" s="3384">
        <f t="shared" si="14"/>
        <v>100</v>
      </c>
      <c r="X36" s="3322"/>
      <c r="Y36" s="3994"/>
      <c r="Z36" s="3321" t="str">
        <f t="shared" si="15"/>
        <v>公共部分装修</v>
      </c>
      <c r="AA36" s="3321">
        <f t="shared" si="3"/>
        <v>1</v>
      </c>
      <c r="AB36" s="3321">
        <f t="shared" si="4"/>
        <v>1</v>
      </c>
      <c r="AC36" s="3385">
        <f t="shared" si="5"/>
        <v>1</v>
      </c>
    </row>
    <row r="37" spans="1:29" ht="15">
      <c r="A37" s="3423"/>
      <c r="B37" s="3348" t="s">
        <v>1190</v>
      </c>
      <c r="C37" s="3425">
        <v>0.74</v>
      </c>
      <c r="D37" s="3367">
        <v>100</v>
      </c>
      <c r="E37" s="3425">
        <v>0.7</v>
      </c>
      <c r="F37" s="3413">
        <f>LOOKUP(E37,111:111,112:112)-LOOKUP(C37,111:111,112:112)+100</f>
        <v>100</v>
      </c>
      <c r="G37" s="3425">
        <v>0.7</v>
      </c>
      <c r="H37" s="3413">
        <f>LOOKUP(G37,111:111,112:112)-LOOKUP(C37,111:111,112:112)+100</f>
        <v>100</v>
      </c>
      <c r="I37" s="3425">
        <v>0.7</v>
      </c>
      <c r="J37" s="3367">
        <f>LOOKUP(I37,111:111,112:112)-LOOKUP(C37,111:111,112:112)+100</f>
        <v>100</v>
      </c>
      <c r="K37" s="3358"/>
      <c r="L37" s="3368"/>
      <c r="M37" s="3316"/>
      <c r="N37" s="3316"/>
      <c r="O37" s="3316"/>
      <c r="P37" s="3992"/>
      <c r="Q37" s="3382" t="str">
        <f t="shared" si="11"/>
        <v>成新度</v>
      </c>
      <c r="R37" s="3383" t="s">
        <v>14</v>
      </c>
      <c r="S37" s="3384">
        <f t="shared" si="12"/>
        <v>100</v>
      </c>
      <c r="T37" s="3383" t="s">
        <v>14</v>
      </c>
      <c r="U37" s="3384">
        <f t="shared" si="13"/>
        <v>100</v>
      </c>
      <c r="V37" s="3383" t="s">
        <v>14</v>
      </c>
      <c r="W37" s="3384">
        <f t="shared" si="14"/>
        <v>100</v>
      </c>
      <c r="X37" s="3322"/>
      <c r="Y37" s="3994"/>
      <c r="Z37" s="3321" t="str">
        <f t="shared" si="15"/>
        <v>成新度</v>
      </c>
      <c r="AA37" s="3321">
        <f t="shared" si="3"/>
        <v>1</v>
      </c>
      <c r="AB37" s="3321">
        <f t="shared" si="4"/>
        <v>1</v>
      </c>
      <c r="AC37" s="3385">
        <f t="shared" si="5"/>
        <v>1</v>
      </c>
    </row>
    <row r="38" spans="1:29" s="3339" customFormat="1" ht="15">
      <c r="A38" s="3426"/>
      <c r="B38" s="3348" t="s">
        <v>1824</v>
      </c>
      <c r="C38" s="3424" t="s">
        <v>3744</v>
      </c>
      <c r="D38" s="3350">
        <v>100</v>
      </c>
      <c r="E38" s="3424" t="s">
        <v>3744</v>
      </c>
      <c r="F38" s="3413">
        <f>SUMIF(113:113,E38,114:114)-SUMIF(113:113,C38,114:114)+100</f>
        <v>100</v>
      </c>
      <c r="G38" s="3424" t="s">
        <v>3744</v>
      </c>
      <c r="H38" s="3367">
        <f>SUMIF(113:113,G38,114:114)-SUMIF(113:113,C38,114:114)+100</f>
        <v>100</v>
      </c>
      <c r="I38" s="3424" t="s">
        <v>3744</v>
      </c>
      <c r="J38" s="3367">
        <f>SUMIF(113:113,I38,114:114)-SUMIF(113:113,C38,114:114)+100</f>
        <v>100</v>
      </c>
      <c r="K38" s="3358"/>
      <c r="L38" s="3332"/>
      <c r="M38" s="3333"/>
      <c r="N38" s="3333"/>
      <c r="O38" s="3333"/>
      <c r="P38" s="3992"/>
      <c r="Q38" s="3346" t="str">
        <f t="shared" si="11"/>
        <v>写字楼等级</v>
      </c>
      <c r="R38" s="3334" t="s">
        <v>14</v>
      </c>
      <c r="S38" s="3335">
        <f t="shared" si="12"/>
        <v>100</v>
      </c>
      <c r="T38" s="3334" t="s">
        <v>14</v>
      </c>
      <c r="U38" s="3335">
        <f t="shared" si="13"/>
        <v>100</v>
      </c>
      <c r="V38" s="3334" t="s">
        <v>14</v>
      </c>
      <c r="W38" s="3335">
        <f t="shared" si="14"/>
        <v>100</v>
      </c>
      <c r="X38" s="3336"/>
      <c r="Y38" s="3994"/>
      <c r="Z38" s="3337" t="str">
        <f t="shared" si="15"/>
        <v>写字楼等级</v>
      </c>
      <c r="AA38" s="3337">
        <f t="shared" si="3"/>
        <v>1</v>
      </c>
      <c r="AB38" s="3337">
        <f t="shared" si="4"/>
        <v>1</v>
      </c>
      <c r="AC38" s="3338">
        <f t="shared" si="5"/>
        <v>1</v>
      </c>
    </row>
    <row r="39" spans="1:29" ht="15">
      <c r="A39" s="3423"/>
      <c r="B39" s="3348" t="s">
        <v>1741</v>
      </c>
      <c r="C39" s="3424" t="s">
        <v>3745</v>
      </c>
      <c r="D39" s="3367">
        <v>100</v>
      </c>
      <c r="E39" s="3424" t="s">
        <v>3745</v>
      </c>
      <c r="F39" s="3413">
        <f>SUMIF(115:115,E39,116:116)-SUMIF(115:115,C39,116:116)+100</f>
        <v>100</v>
      </c>
      <c r="G39" s="3424" t="s">
        <v>3745</v>
      </c>
      <c r="H39" s="3367">
        <f>SUMIF(115:115,G39,116:116)-SUMIF(115:115,C39,116:116)+100</f>
        <v>100</v>
      </c>
      <c r="I39" s="3424" t="s">
        <v>3745</v>
      </c>
      <c r="J39" s="3367">
        <f>SUMIF(115:115,I39,116:116)-SUMIF(115:115,C39,116:116)+100</f>
        <v>100</v>
      </c>
      <c r="K39" s="3358"/>
      <c r="L39" s="3368"/>
      <c r="M39" s="3316"/>
      <c r="N39" s="3316"/>
      <c r="O39" s="3316"/>
      <c r="P39" s="3992" t="s">
        <v>1696</v>
      </c>
      <c r="Q39" s="3382" t="str">
        <f t="shared" si="11"/>
        <v>物业管理</v>
      </c>
      <c r="R39" s="3383" t="s">
        <v>14</v>
      </c>
      <c r="S39" s="3384">
        <f t="shared" si="12"/>
        <v>100</v>
      </c>
      <c r="T39" s="3383" t="s">
        <v>14</v>
      </c>
      <c r="U39" s="3384">
        <f t="shared" si="13"/>
        <v>100</v>
      </c>
      <c r="V39" s="3383" t="s">
        <v>14</v>
      </c>
      <c r="W39" s="3384">
        <f t="shared" si="14"/>
        <v>100</v>
      </c>
      <c r="X39" s="3322"/>
      <c r="Y39" s="3994" t="s">
        <v>1696</v>
      </c>
      <c r="Z39" s="3321" t="str">
        <f t="shared" si="15"/>
        <v>物业管理</v>
      </c>
      <c r="AA39" s="3321">
        <f t="shared" si="3"/>
        <v>1</v>
      </c>
      <c r="AB39" s="3321">
        <f t="shared" si="4"/>
        <v>1</v>
      </c>
      <c r="AC39" s="3385">
        <f t="shared" si="5"/>
        <v>1</v>
      </c>
    </row>
    <row r="40" spans="1:29" ht="15">
      <c r="A40" s="3423"/>
      <c r="B40" s="3348" t="s">
        <v>1742</v>
      </c>
      <c r="C40" s="3424"/>
      <c r="D40" s="3367">
        <v>100</v>
      </c>
      <c r="E40" s="3424"/>
      <c r="F40" s="3413">
        <f>SUMIF(117:117,E40,118:118)-SUMIF(117:117,C40,118:118)+100</f>
        <v>100</v>
      </c>
      <c r="G40" s="3424"/>
      <c r="H40" s="3367">
        <f>SUMIF(117:117,G40,118:118)-SUMIF(117:117,C40,118:118)+100</f>
        <v>100</v>
      </c>
      <c r="I40" s="3424"/>
      <c r="J40" s="3367">
        <f>SUMIF(117:117,I40,118:118)-SUMIF(117:117,C40,118:118)+100</f>
        <v>100</v>
      </c>
      <c r="K40" s="3358"/>
      <c r="L40" s="3368"/>
      <c r="M40" s="3316"/>
      <c r="N40" s="3316"/>
      <c r="O40" s="3316"/>
      <c r="P40" s="3992"/>
      <c r="Q40" s="3382" t="str">
        <f t="shared" si="11"/>
        <v>市政基础设施</v>
      </c>
      <c r="R40" s="3383" t="s">
        <v>14</v>
      </c>
      <c r="S40" s="3384">
        <f t="shared" si="12"/>
        <v>100</v>
      </c>
      <c r="T40" s="3383" t="s">
        <v>14</v>
      </c>
      <c r="U40" s="3384">
        <f t="shared" si="13"/>
        <v>100</v>
      </c>
      <c r="V40" s="3383" t="s">
        <v>14</v>
      </c>
      <c r="W40" s="3384">
        <f t="shared" si="14"/>
        <v>100</v>
      </c>
      <c r="X40" s="3322"/>
      <c r="Y40" s="3994"/>
      <c r="Z40" s="3321" t="str">
        <f t="shared" si="15"/>
        <v>市政基础设施</v>
      </c>
      <c r="AA40" s="3321">
        <f t="shared" si="3"/>
        <v>1</v>
      </c>
      <c r="AB40" s="3321">
        <f t="shared" si="4"/>
        <v>1</v>
      </c>
      <c r="AC40" s="3385">
        <f t="shared" si="5"/>
        <v>1</v>
      </c>
    </row>
    <row r="41" spans="1:29" ht="15" hidden="1">
      <c r="A41" s="3423"/>
      <c r="B41" s="3348" t="s">
        <v>1807</v>
      </c>
      <c r="C41" s="3405"/>
      <c r="D41" s="3367">
        <v>100</v>
      </c>
      <c r="E41" s="3405"/>
      <c r="F41" s="3413">
        <f>SUMIF(119:119,E41,120:120)-SUMIF(119:119,C41,120:120)+100</f>
        <v>100</v>
      </c>
      <c r="G41" s="3405"/>
      <c r="H41" s="3367">
        <f>SUMIF(119:119,G41,120:120)-SUMIF(119:119,C41,120:120)+100</f>
        <v>100</v>
      </c>
      <c r="I41" s="3405"/>
      <c r="J41" s="3367">
        <f>SUMIF(119:119,I41,120:120)-SUMIF(119:119,C41,120:120)+100</f>
        <v>100</v>
      </c>
      <c r="K41" s="3358"/>
      <c r="L41" s="3368"/>
      <c r="M41" s="3316"/>
      <c r="N41" s="3316"/>
      <c r="O41" s="3316"/>
      <c r="P41" s="3992"/>
      <c r="Q41" s="3382" t="str">
        <f t="shared" si="11"/>
        <v>层高</v>
      </c>
      <c r="R41" s="3383" t="s">
        <v>14</v>
      </c>
      <c r="S41" s="3384">
        <f t="shared" si="12"/>
        <v>100</v>
      </c>
      <c r="T41" s="3383" t="s">
        <v>14</v>
      </c>
      <c r="U41" s="3384">
        <f t="shared" si="13"/>
        <v>100</v>
      </c>
      <c r="V41" s="3383" t="s">
        <v>14</v>
      </c>
      <c r="W41" s="3384">
        <f t="shared" si="14"/>
        <v>100</v>
      </c>
      <c r="X41" s="3322"/>
      <c r="Y41" s="3994"/>
      <c r="Z41" s="3321" t="str">
        <f t="shared" si="15"/>
        <v>层高</v>
      </c>
      <c r="AA41" s="3321">
        <f t="shared" si="3"/>
        <v>1</v>
      </c>
      <c r="AB41" s="3321">
        <f t="shared" si="4"/>
        <v>1</v>
      </c>
      <c r="AC41" s="3385">
        <f t="shared" si="5"/>
        <v>1</v>
      </c>
    </row>
    <row r="42" spans="1:29" s="3422" customFormat="1" ht="15" hidden="1">
      <c r="A42" s="3414"/>
      <c r="B42" s="3413" t="s">
        <v>1820</v>
      </c>
      <c r="C42" s="3366"/>
      <c r="D42" s="3367">
        <v>100</v>
      </c>
      <c r="E42" s="3366"/>
      <c r="F42" s="3413">
        <f>SUMIF(121:121,E42,122:122)-SUMIF(121:121,C42,122:122)+100</f>
        <v>100</v>
      </c>
      <c r="G42" s="3366"/>
      <c r="H42" s="3367">
        <f>SUMIF(121:121,G42,122:122)-SUMIF(121:121,C42,122:122)+100</f>
        <v>100</v>
      </c>
      <c r="I42" s="3366"/>
      <c r="J42" s="3367">
        <f>SUMIF(121:121,I42,122:122)-SUMIF(121:121,C42,122:122)+100</f>
        <v>100</v>
      </c>
      <c r="K42" s="3365"/>
      <c r="L42" s="3359"/>
      <c r="M42" s="3416"/>
      <c r="N42" s="3416"/>
      <c r="O42" s="3416"/>
      <c r="P42" s="3992"/>
      <c r="Q42" s="3417" t="str">
        <f t="shared" si="11"/>
        <v>单套建筑面积</v>
      </c>
      <c r="R42" s="3418" t="s">
        <v>14</v>
      </c>
      <c r="S42" s="3419">
        <f t="shared" si="12"/>
        <v>100</v>
      </c>
      <c r="T42" s="3418" t="s">
        <v>14</v>
      </c>
      <c r="U42" s="3419">
        <f t="shared" si="13"/>
        <v>100</v>
      </c>
      <c r="V42" s="3418" t="s">
        <v>14</v>
      </c>
      <c r="W42" s="3419">
        <f t="shared" si="14"/>
        <v>100</v>
      </c>
      <c r="X42" s="3420"/>
      <c r="Y42" s="3994"/>
      <c r="Z42" s="3421" t="str">
        <f t="shared" si="15"/>
        <v>单套建筑面积</v>
      </c>
      <c r="AA42" s="3321">
        <f t="shared" si="3"/>
        <v>1</v>
      </c>
      <c r="AB42" s="3321">
        <f t="shared" si="4"/>
        <v>1</v>
      </c>
      <c r="AC42" s="3385">
        <f t="shared" si="5"/>
        <v>1</v>
      </c>
    </row>
    <row r="43" spans="1:29" ht="15" hidden="1">
      <c r="A43" s="3423"/>
      <c r="B43" s="3348" t="s">
        <v>1744</v>
      </c>
      <c r="C43" s="3424"/>
      <c r="D43" s="3367">
        <v>100</v>
      </c>
      <c r="E43" s="3424"/>
      <c r="F43" s="3413">
        <f>SUMIF(123:123,E43,124:124)-SUMIF(123:123,C43,124:124)+100</f>
        <v>100</v>
      </c>
      <c r="G43" s="3424"/>
      <c r="H43" s="3367">
        <f>SUMIF(123:123,G43,124:124)-SUMIF(123:123,C43,124:124)+100</f>
        <v>100</v>
      </c>
      <c r="I43" s="3424"/>
      <c r="J43" s="3367">
        <f>SUMIF(123:123,I43,124:124)-SUMIF(123:123,C43,124:124)+100</f>
        <v>100</v>
      </c>
      <c r="K43" s="3358"/>
      <c r="L43" s="3368"/>
      <c r="M43" s="3316"/>
      <c r="N43" s="3316"/>
      <c r="O43" s="3316"/>
      <c r="P43" s="3992"/>
      <c r="Q43" s="3382" t="str">
        <f t="shared" si="11"/>
        <v>内部装修</v>
      </c>
      <c r="R43" s="3383" t="s">
        <v>14</v>
      </c>
      <c r="S43" s="3384">
        <f t="shared" si="12"/>
        <v>100</v>
      </c>
      <c r="T43" s="3383" t="s">
        <v>14</v>
      </c>
      <c r="U43" s="3384">
        <f t="shared" si="13"/>
        <v>100</v>
      </c>
      <c r="V43" s="3383" t="s">
        <v>14</v>
      </c>
      <c r="W43" s="3384">
        <f t="shared" si="14"/>
        <v>100</v>
      </c>
      <c r="X43" s="3322"/>
      <c r="Y43" s="3994"/>
      <c r="Z43" s="3321" t="str">
        <f t="shared" si="15"/>
        <v>内部装修</v>
      </c>
      <c r="AA43" s="3321">
        <f t="shared" si="3"/>
        <v>1</v>
      </c>
      <c r="AB43" s="3321">
        <f t="shared" si="4"/>
        <v>1</v>
      </c>
      <c r="AC43" s="3385">
        <f t="shared" si="5"/>
        <v>1</v>
      </c>
    </row>
    <row r="44" spans="1:29" ht="15.75" thickBot="1">
      <c r="A44" s="3423"/>
      <c r="B44" s="3348" t="s">
        <v>1707</v>
      </c>
      <c r="C44" s="3424" t="s">
        <v>3725</v>
      </c>
      <c r="D44" s="3367">
        <v>100</v>
      </c>
      <c r="E44" s="3424" t="s">
        <v>3725</v>
      </c>
      <c r="F44" s="3413">
        <f>SUMIF(125:125,E44,126:126)-SUMIF(125:125,C44,126:126)+100</f>
        <v>100</v>
      </c>
      <c r="G44" s="3424" t="s">
        <v>3725</v>
      </c>
      <c r="H44" s="3367">
        <f>SUMIF(125:125,G44,126:126)-SUMIF(125:125,C44,126:126)+100</f>
        <v>100</v>
      </c>
      <c r="I44" s="3424" t="s">
        <v>3725</v>
      </c>
      <c r="J44" s="3367">
        <f>SUMIF(125:125,I44,126:126)-SUMIF(125:125,C44,126:126)+100</f>
        <v>100</v>
      </c>
      <c r="K44" s="3358"/>
      <c r="L44" s="3368"/>
      <c r="M44" s="3316"/>
      <c r="N44" s="3316"/>
      <c r="O44" s="3316"/>
      <c r="P44" s="3992"/>
      <c r="Q44" s="3382" t="str">
        <f t="shared" si="11"/>
        <v>内部装修维护情况</v>
      </c>
      <c r="R44" s="3383" t="s">
        <v>14</v>
      </c>
      <c r="S44" s="3384">
        <f t="shared" si="12"/>
        <v>100</v>
      </c>
      <c r="T44" s="3383" t="s">
        <v>14</v>
      </c>
      <c r="U44" s="3384">
        <f t="shared" si="13"/>
        <v>100</v>
      </c>
      <c r="V44" s="3383" t="s">
        <v>14</v>
      </c>
      <c r="W44" s="3384">
        <f t="shared" si="14"/>
        <v>100</v>
      </c>
      <c r="X44" s="3322"/>
      <c r="Y44" s="3994"/>
      <c r="Z44" s="3321" t="str">
        <f t="shared" si="15"/>
        <v>内部装修维护情况</v>
      </c>
      <c r="AA44" s="3321">
        <f t="shared" si="3"/>
        <v>1</v>
      </c>
      <c r="AB44" s="3321">
        <f t="shared" si="4"/>
        <v>1</v>
      </c>
      <c r="AC44" s="3385">
        <f t="shared" si="5"/>
        <v>1</v>
      </c>
    </row>
    <row r="45" spans="1:29" s="3339" customFormat="1" ht="15.75" hidden="1" thickBot="1">
      <c r="A45" s="3426"/>
      <c r="B45" s="3427">
        <v>111</v>
      </c>
      <c r="C45" s="3415"/>
      <c r="D45" s="3350">
        <v>100</v>
      </c>
      <c r="E45" s="3362"/>
      <c r="F45" s="3348">
        <f>SUMIF(127:127,E45,128:128)-SUMIF(127:127,C45,128:128)+100</f>
        <v>100</v>
      </c>
      <c r="G45" s="3362"/>
      <c r="H45" s="3350">
        <f>SUMIF(127:127,G45,128:128)-SUMIF(127:127,C45,128:128)+100</f>
        <v>100</v>
      </c>
      <c r="I45" s="3362"/>
      <c r="J45" s="3350">
        <f>SUMIF(127:127,I45,128:128)-SUMIF(127:127,C45,128:128)+100</f>
        <v>100</v>
      </c>
      <c r="K45" s="3365"/>
      <c r="L45" s="3332"/>
      <c r="M45" s="3333"/>
      <c r="N45" s="3333"/>
      <c r="O45" s="3333"/>
      <c r="P45" s="3992"/>
      <c r="Q45" s="3346">
        <f t="shared" si="11"/>
        <v>111</v>
      </c>
      <c r="R45" s="3334" t="s">
        <v>14</v>
      </c>
      <c r="S45" s="3335">
        <f t="shared" si="12"/>
        <v>100</v>
      </c>
      <c r="T45" s="3334" t="s">
        <v>14</v>
      </c>
      <c r="U45" s="3335">
        <f t="shared" si="13"/>
        <v>100</v>
      </c>
      <c r="V45" s="3334" t="s">
        <v>14</v>
      </c>
      <c r="W45" s="3335">
        <f t="shared" si="14"/>
        <v>100</v>
      </c>
      <c r="X45" s="3336"/>
      <c r="Y45" s="3994"/>
      <c r="Z45" s="3337">
        <f t="shared" si="15"/>
        <v>111</v>
      </c>
      <c r="AA45" s="3337">
        <f t="shared" si="3"/>
        <v>1</v>
      </c>
      <c r="AB45" s="3337">
        <f t="shared" si="4"/>
        <v>1</v>
      </c>
      <c r="AC45" s="3338">
        <f t="shared" si="5"/>
        <v>1</v>
      </c>
    </row>
    <row r="46" spans="1:29" ht="15.75" hidden="1" thickBot="1">
      <c r="A46" s="3423"/>
      <c r="B46" s="3427">
        <v>111</v>
      </c>
      <c r="C46" s="3366"/>
      <c r="D46" s="3367">
        <v>100</v>
      </c>
      <c r="E46" s="3362"/>
      <c r="F46" s="3413">
        <f>SUMIF(129:129,E46,130:130)-SUMIF(129:129,C46,130:130)+100</f>
        <v>100</v>
      </c>
      <c r="G46" s="3362"/>
      <c r="H46" s="3367">
        <f>SUMIF(129:129,G46,130:130)-SUMIF(129:129,C46,130:130)+100</f>
        <v>100</v>
      </c>
      <c r="I46" s="3362"/>
      <c r="J46" s="3367">
        <f>SUMIF(129:129,I46,130:130)-SUMIF(129:129,C46,130:130)+100</f>
        <v>100</v>
      </c>
      <c r="K46" s="3365"/>
      <c r="L46" s="3368"/>
      <c r="M46" s="3316"/>
      <c r="N46" s="3316"/>
      <c r="O46" s="3316"/>
      <c r="P46" s="3992"/>
      <c r="Q46" s="3382">
        <f t="shared" si="11"/>
        <v>111</v>
      </c>
      <c r="R46" s="3383" t="s">
        <v>14</v>
      </c>
      <c r="S46" s="3384">
        <f t="shared" si="12"/>
        <v>100</v>
      </c>
      <c r="T46" s="3383" t="s">
        <v>14</v>
      </c>
      <c r="U46" s="3384">
        <f t="shared" si="13"/>
        <v>100</v>
      </c>
      <c r="V46" s="3383" t="s">
        <v>14</v>
      </c>
      <c r="W46" s="3384">
        <f t="shared" si="14"/>
        <v>100</v>
      </c>
      <c r="X46" s="3322"/>
      <c r="Y46" s="3994"/>
      <c r="Z46" s="3321">
        <f t="shared" si="15"/>
        <v>111</v>
      </c>
      <c r="AA46" s="3321">
        <f t="shared" si="3"/>
        <v>1</v>
      </c>
      <c r="AB46" s="3321">
        <f t="shared" si="4"/>
        <v>1</v>
      </c>
      <c r="AC46" s="3385">
        <f t="shared" si="5"/>
        <v>1</v>
      </c>
    </row>
    <row r="47" spans="1:29" ht="15.75" hidden="1" thickBot="1">
      <c r="A47" s="3428"/>
      <c r="B47" s="3370">
        <v>111</v>
      </c>
      <c r="C47" s="3371"/>
      <c r="D47" s="3372">
        <v>100</v>
      </c>
      <c r="E47" s="3362"/>
      <c r="F47" s="3429">
        <f>SUMIF(131:131,E47,132:132)-SUMIF(131:131,C47,132:132)+100</f>
        <v>100</v>
      </c>
      <c r="G47" s="3362"/>
      <c r="H47" s="3372">
        <f>SUMIF(131:131,G47,132:132)-SUMIF(131:131,C47,132:132)+100</f>
        <v>100</v>
      </c>
      <c r="I47" s="3362"/>
      <c r="J47" s="3372">
        <f>SUMIF(131:131,I47,132:132)-SUMIF(131:131,C47,132:132)+100</f>
        <v>100</v>
      </c>
      <c r="K47" s="3365"/>
      <c r="L47" s="3368"/>
      <c r="M47" s="3316"/>
      <c r="N47" s="3316"/>
      <c r="O47" s="3316"/>
      <c r="P47" s="3993"/>
      <c r="Q47" s="3382">
        <f t="shared" si="11"/>
        <v>111</v>
      </c>
      <c r="R47" s="3383" t="s">
        <v>14</v>
      </c>
      <c r="S47" s="3384">
        <f t="shared" si="12"/>
        <v>100</v>
      </c>
      <c r="T47" s="3383" t="s">
        <v>14</v>
      </c>
      <c r="U47" s="3384">
        <f t="shared" si="13"/>
        <v>100</v>
      </c>
      <c r="V47" s="3383" t="s">
        <v>14</v>
      </c>
      <c r="W47" s="3384">
        <f t="shared" si="14"/>
        <v>100</v>
      </c>
      <c r="X47" s="3322"/>
      <c r="Y47" s="3995"/>
      <c r="Z47" s="3321">
        <f t="shared" si="15"/>
        <v>111</v>
      </c>
      <c r="AA47" s="3321">
        <f t="shared" si="3"/>
        <v>1</v>
      </c>
      <c r="AB47" s="3321">
        <f t="shared" si="4"/>
        <v>1</v>
      </c>
      <c r="AC47" s="3385">
        <f t="shared" si="5"/>
        <v>1</v>
      </c>
    </row>
    <row r="48" spans="1:29" ht="15">
      <c r="A48" s="3430" t="s">
        <v>1708</v>
      </c>
      <c r="B48" s="3431"/>
      <c r="C48" s="3432" t="s">
        <v>0</v>
      </c>
      <c r="D48" s="3433"/>
      <c r="E48" s="3434">
        <f>办公租金案例!AD63</f>
        <v>8</v>
      </c>
      <c r="F48" s="3435"/>
      <c r="G48" s="3436">
        <f>办公租金案例!AD64</f>
        <v>8</v>
      </c>
      <c r="H48" s="3437"/>
      <c r="I48" s="3434">
        <f>办公租金案例!AD65</f>
        <v>9</v>
      </c>
      <c r="J48" s="3437"/>
      <c r="K48" s="3438"/>
      <c r="L48" s="3439"/>
      <c r="M48" s="3316"/>
      <c r="N48" s="3316"/>
      <c r="O48" s="3316"/>
      <c r="P48" s="3985" t="str">
        <f>A48</f>
        <v>成交单价（元/平方米）</v>
      </c>
      <c r="Q48" s="3996"/>
      <c r="R48" s="3977">
        <f>E48</f>
        <v>8</v>
      </c>
      <c r="S48" s="3977"/>
      <c r="T48" s="3977">
        <f>G48</f>
        <v>8</v>
      </c>
      <c r="U48" s="3977"/>
      <c r="V48" s="3977">
        <f>I48</f>
        <v>9</v>
      </c>
      <c r="W48" s="3977"/>
      <c r="X48" s="3440"/>
      <c r="Y48" s="3441"/>
      <c r="Z48" s="3440"/>
      <c r="AA48" s="3440"/>
      <c r="AB48" s="3440"/>
      <c r="AC48" s="3386"/>
    </row>
    <row r="49" spans="1:29" ht="15.75" thickBot="1">
      <c r="A49" s="3442" t="s">
        <v>1709</v>
      </c>
      <c r="B49" s="3443"/>
      <c r="C49" s="3444">
        <f>R50</f>
        <v>7.9</v>
      </c>
      <c r="D49" s="3445" t="s">
        <v>2138</v>
      </c>
      <c r="E49" s="3446">
        <f>R49</f>
        <v>7.6</v>
      </c>
      <c r="F49" s="3447"/>
      <c r="G49" s="3444">
        <f>T49</f>
        <v>7.6</v>
      </c>
      <c r="H49" s="3447"/>
      <c r="I49" s="3446">
        <f>V49</f>
        <v>8.4</v>
      </c>
      <c r="J49" s="3447"/>
      <c r="K49" s="3448">
        <f>F49+H49+J49</f>
        <v>0</v>
      </c>
      <c r="L49" s="3439"/>
      <c r="M49" s="3316"/>
      <c r="N49" s="3316"/>
      <c r="O49" s="3316"/>
      <c r="P49" s="3985" t="str">
        <f>A49</f>
        <v>比较价值（元/平方米）</v>
      </c>
      <c r="Q49" s="3996"/>
      <c r="R49" s="3977">
        <f>IF(F1="售价",ROUND(PRODUCT(R48,AA7:AA47),0),ROUND(PRODUCT(R48,AA7:AA47),1))</f>
        <v>7.6</v>
      </c>
      <c r="S49" s="3977"/>
      <c r="T49" s="3977">
        <f>IF(F1="售价",ROUND(PRODUCT(T48,AB7:AB47),0),ROUND(PRODUCT(T48,AB7:AB47),1))</f>
        <v>7.6</v>
      </c>
      <c r="U49" s="3977"/>
      <c r="V49" s="3977">
        <f>IF(F1="售价",ROUND(PRODUCT(V48,AC7:AC47),0),ROUND(PRODUCT(V48,AC7:AC47),1))</f>
        <v>8.4</v>
      </c>
      <c r="W49" s="3977"/>
      <c r="X49" s="3440"/>
      <c r="Y49" s="3440"/>
      <c r="Z49" s="3440"/>
      <c r="AA49" s="3440"/>
      <c r="AB49" s="3440"/>
      <c r="AC49" s="3386"/>
    </row>
    <row r="50" spans="1:29" ht="15.75" thickBot="1">
      <c r="A50" s="3449" t="s">
        <v>1710</v>
      </c>
      <c r="B50" s="3450"/>
      <c r="C50" s="3324">
        <f>R50</f>
        <v>7.9</v>
      </c>
      <c r="D50" s="3324"/>
      <c r="E50" s="3324"/>
      <c r="F50" s="3324"/>
      <c r="G50" s="3324"/>
      <c r="H50" s="3324"/>
      <c r="I50" s="3324"/>
      <c r="J50" s="3451"/>
      <c r="K50" s="3452"/>
      <c r="L50" s="3439"/>
      <c r="M50" s="3316"/>
      <c r="N50" s="3316"/>
      <c r="O50" s="3316"/>
      <c r="P50" s="3997" t="str">
        <f>A50</f>
        <v>估价对象XX用房的比较价值（楼面单价，元/平方米）</v>
      </c>
      <c r="Q50" s="3998"/>
      <c r="R50" s="3999">
        <f>IF(F1="售价",ROUND(IF(D49="简单平均",AVERAGE(R49:V49),R49*F49+T49*H49+V49*J49),0),ROUND(IF(D49="简单平均",AVERAGE(R49:V49),R49*F49+T49*H49+V49*J49),1))</f>
        <v>7.9</v>
      </c>
      <c r="S50" s="3999"/>
      <c r="T50" s="3999"/>
      <c r="U50" s="3999"/>
      <c r="V50" s="3999"/>
      <c r="W50" s="3999"/>
      <c r="X50" s="3453"/>
      <c r="Y50" s="3453"/>
      <c r="Z50" s="3453"/>
      <c r="AA50" s="3453"/>
      <c r="AB50" s="3453"/>
      <c r="AC50" s="3454"/>
    </row>
    <row r="51" spans="1:29">
      <c r="A51" s="3316"/>
      <c r="B51" s="3316"/>
      <c r="C51" s="3316"/>
      <c r="D51" s="3316"/>
      <c r="E51" s="3316">
        <v>2005</v>
      </c>
      <c r="F51" s="3316"/>
      <c r="G51" s="3455"/>
      <c r="H51" s="3316"/>
      <c r="I51" s="3316">
        <v>2000</v>
      </c>
      <c r="J51" s="3316"/>
      <c r="K51" s="3456"/>
      <c r="L51" s="3457"/>
      <c r="M51" s="3316"/>
      <c r="N51" s="3316"/>
      <c r="O51" s="3316"/>
      <c r="P51" s="3458"/>
      <c r="Q51" s="3316"/>
      <c r="R51" s="3316"/>
      <c r="S51" s="3316"/>
      <c r="T51" s="3316"/>
      <c r="U51" s="3316"/>
      <c r="V51" s="3316"/>
      <c r="W51" s="3316"/>
      <c r="X51" s="3316"/>
      <c r="Y51" s="3316"/>
      <c r="Z51" s="3316"/>
      <c r="AA51" s="3316"/>
      <c r="AB51" s="3316"/>
      <c r="AC51" s="3316"/>
    </row>
    <row r="52" spans="1:29">
      <c r="A52" s="3316"/>
      <c r="B52" s="3316"/>
      <c r="C52" s="3316"/>
      <c r="D52" s="3316"/>
      <c r="E52" s="3316"/>
      <c r="F52" s="3316"/>
      <c r="G52" s="3316"/>
      <c r="H52" s="3316"/>
      <c r="I52" s="3316"/>
      <c r="J52" s="3316"/>
      <c r="K52" s="3456"/>
      <c r="L52" s="3457"/>
      <c r="M52" s="3316"/>
      <c r="N52" s="3316"/>
      <c r="O52" s="3316"/>
      <c r="P52" s="3458"/>
      <c r="Q52" s="3316"/>
      <c r="R52" s="3316"/>
      <c r="S52" s="3316"/>
      <c r="T52" s="3316"/>
      <c r="U52" s="3316"/>
      <c r="V52" s="3316"/>
      <c r="W52" s="3316"/>
      <c r="X52" s="3316"/>
      <c r="Y52" s="3316"/>
      <c r="Z52" s="3316"/>
      <c r="AA52" s="3316"/>
      <c r="AB52" s="3316"/>
      <c r="AC52" s="3316"/>
    </row>
    <row r="53" spans="1:29" ht="13.5" customHeight="1">
      <c r="A53" s="3316"/>
      <c r="B53" s="3316"/>
      <c r="C53" s="3459" t="s">
        <v>1711</v>
      </c>
      <c r="D53" s="3460"/>
      <c r="E53" s="3461">
        <f>IF(E48&lt;E49,E49/E48-1,E48/E49-1)</f>
        <v>5.2631578947368363E-2</v>
      </c>
      <c r="F53" s="3462" t="str">
        <f>IF(OR(E53&gt;=0.3,E53&lt;=-0.3),"超过30%","")</f>
        <v/>
      </c>
      <c r="G53" s="3461">
        <f>IF(G48&lt;G49,G49/G48-1,G48/G49-1)</f>
        <v>5.2631578947368363E-2</v>
      </c>
      <c r="H53" s="3462" t="str">
        <f>IF(OR(G53&gt;=0.3,G53&lt;=-0.3),"超过30%","")</f>
        <v/>
      </c>
      <c r="I53" s="3461">
        <f>IF(I48&lt;I49,I49/I48-1,I48/I49-1)</f>
        <v>7.1428571428571397E-2</v>
      </c>
      <c r="J53" s="3462" t="str">
        <f>IF(OR(I53&gt;=0.3,I53&lt;=-0.3),"超过30%","")</f>
        <v/>
      </c>
      <c r="K53" s="3456"/>
      <c r="L53" s="3457"/>
      <c r="M53" s="3316"/>
      <c r="N53" s="3316"/>
      <c r="O53" s="3316"/>
      <c r="P53" s="3458"/>
      <c r="Q53" s="3316"/>
      <c r="R53" s="3316"/>
      <c r="S53" s="3316"/>
      <c r="T53" s="3316"/>
      <c r="U53" s="3316"/>
      <c r="V53" s="3316"/>
      <c r="W53" s="3316"/>
      <c r="X53" s="3316"/>
      <c r="Y53" s="3316"/>
      <c r="Z53" s="3316"/>
      <c r="AA53" s="3316"/>
      <c r="AB53" s="3316"/>
      <c r="AC53" s="3316"/>
    </row>
    <row r="54" spans="1:29" ht="13.5" customHeight="1">
      <c r="A54" s="3316"/>
      <c r="B54" s="3316"/>
      <c r="C54" s="3459" t="s">
        <v>1712</v>
      </c>
      <c r="D54" s="3463"/>
      <c r="E54" s="3461">
        <f>IF(E49&lt;G49,G49/E49-1,E49/G49-1)</f>
        <v>0</v>
      </c>
      <c r="F54" s="3462" t="str">
        <f>IF(OR(E54&gt;=0.2,E54&lt;=-0.2),"超过20%","")</f>
        <v/>
      </c>
      <c r="G54" s="3461">
        <f>IF(G49&lt;I49,I49/G49-1,G49/I49-1)</f>
        <v>0.10526315789473695</v>
      </c>
      <c r="H54" s="3462" t="str">
        <f>IF(OR(G54&gt;=0.2,G54&lt;=-0.2),"超过20%","")</f>
        <v/>
      </c>
      <c r="I54" s="3461">
        <f>IF(I49&lt;E49,E49/I49-1,I49/E49-1)</f>
        <v>0.10526315789473695</v>
      </c>
      <c r="J54" s="3462" t="str">
        <f>IF(OR(I54&gt;=0.2,I54&lt;=-0.2),"超过20%","")</f>
        <v/>
      </c>
      <c r="K54" s="3456"/>
      <c r="L54" s="3457"/>
      <c r="M54" s="3316"/>
      <c r="N54" s="3316"/>
      <c r="O54" s="3316"/>
      <c r="P54" s="3458"/>
      <c r="Q54" s="3316"/>
      <c r="R54" s="3316"/>
      <c r="S54" s="3316"/>
      <c r="T54" s="3316"/>
      <c r="U54" s="3316"/>
      <c r="V54" s="3316"/>
      <c r="W54" s="3316"/>
      <c r="X54" s="3316"/>
      <c r="Y54" s="3316"/>
      <c r="Z54" s="3316"/>
      <c r="AA54" s="3316"/>
      <c r="AB54" s="3316"/>
      <c r="AC54" s="3316"/>
    </row>
    <row r="55" spans="1:29" s="3468" customFormat="1" ht="13.5" customHeight="1">
      <c r="A55" s="3464"/>
      <c r="B55" s="3464"/>
      <c r="C55" s="3459" t="s">
        <v>1713</v>
      </c>
      <c r="D55" s="3463"/>
      <c r="E55" s="3461">
        <f>IF(E48&lt;G48,G48/E48-1,E48/G48-1)</f>
        <v>0</v>
      </c>
      <c r="F55" s="3462" t="str">
        <f>IF(OR(E55&gt;=0.3,E55&lt;=-0.3),"超过30%","")</f>
        <v/>
      </c>
      <c r="G55" s="3461">
        <f>IF(G48&lt;I48,I48/G48-1,G48/I48-1)</f>
        <v>0.125</v>
      </c>
      <c r="H55" s="3462" t="str">
        <f>IF(OR(G55&gt;=0.3,G55&lt;=-0.3),"超过30%","")</f>
        <v/>
      </c>
      <c r="I55" s="3461">
        <f>IF(I48&lt;E48,E48/I48-1,I48/E48-1)</f>
        <v>0.125</v>
      </c>
      <c r="J55" s="3462" t="str">
        <f>IF(OR(I55&gt;=0.3,I55&lt;=-0.3),"超过30%","")</f>
        <v/>
      </c>
      <c r="K55" s="3465"/>
      <c r="L55" s="3466"/>
      <c r="M55" s="3464"/>
      <c r="N55" s="3464"/>
      <c r="O55" s="3464"/>
      <c r="P55" s="3467"/>
      <c r="Q55" s="3464"/>
      <c r="R55" s="3464"/>
      <c r="S55" s="3464"/>
      <c r="T55" s="3464"/>
      <c r="U55" s="3464"/>
      <c r="V55" s="3464"/>
      <c r="W55" s="3464"/>
      <c r="X55" s="3464"/>
      <c r="Y55" s="3464"/>
      <c r="Z55" s="3464"/>
      <c r="AA55" s="3464"/>
      <c r="AB55" s="3464"/>
      <c r="AC55" s="3464"/>
    </row>
    <row r="56" spans="1:29" s="3468" customFormat="1">
      <c r="A56" s="3464"/>
      <c r="B56" s="3469"/>
      <c r="C56" s="3470"/>
      <c r="D56" s="3464"/>
      <c r="E56" s="3464"/>
      <c r="F56" s="3464"/>
      <c r="G56" s="3464"/>
      <c r="H56" s="3464"/>
      <c r="I56" s="3464"/>
      <c r="J56" s="3464"/>
      <c r="K56" s="3465"/>
      <c r="L56" s="3466"/>
      <c r="M56" s="3464"/>
      <c r="N56" s="3464"/>
      <c r="O56" s="3464"/>
      <c r="P56" s="3467"/>
      <c r="Q56" s="3464"/>
      <c r="R56" s="3464"/>
      <c r="S56" s="3464"/>
      <c r="T56" s="3464"/>
      <c r="U56" s="3464"/>
      <c r="V56" s="3464"/>
      <c r="W56" s="3464"/>
      <c r="X56" s="3464"/>
      <c r="Y56" s="3464"/>
      <c r="Z56" s="3464"/>
      <c r="AA56" s="3464"/>
      <c r="AB56" s="3464"/>
      <c r="AC56" s="3464"/>
    </row>
    <row r="57" spans="1:29">
      <c r="A57" s="3316"/>
      <c r="B57" s="3469"/>
      <c r="C57" s="3470"/>
      <c r="D57" s="3316"/>
      <c r="E57" s="3316"/>
      <c r="F57" s="3316"/>
      <c r="G57" s="3316"/>
      <c r="H57" s="3316"/>
      <c r="I57" s="3316"/>
      <c r="J57" s="3316"/>
      <c r="K57" s="3456"/>
      <c r="L57" s="3457"/>
      <c r="M57" s="3316"/>
      <c r="N57" s="3316"/>
      <c r="O57" s="3316"/>
      <c r="P57" s="3458"/>
      <c r="Q57" s="3316"/>
      <c r="R57" s="3316"/>
      <c r="S57" s="3316"/>
      <c r="T57" s="3316"/>
      <c r="U57" s="3316"/>
      <c r="V57" s="3316"/>
      <c r="W57" s="3316"/>
      <c r="X57" s="3316"/>
      <c r="Y57" s="3316"/>
      <c r="Z57" s="3316"/>
      <c r="AA57" s="3316"/>
      <c r="AB57" s="3316"/>
      <c r="AC57" s="3316"/>
    </row>
    <row r="58" spans="1:29" ht="21.75" thickBot="1">
      <c r="A58" s="3471" t="s">
        <v>1714</v>
      </c>
      <c r="B58" s="3440"/>
      <c r="C58" s="3472"/>
      <c r="D58" s="3472"/>
      <c r="E58" s="3472"/>
      <c r="F58" s="3473"/>
      <c r="G58" s="3473"/>
      <c r="H58" s="3472"/>
      <c r="I58" s="3472"/>
      <c r="J58" s="3472"/>
      <c r="K58" s="3474"/>
      <c r="L58" s="3475"/>
      <c r="M58" s="3476"/>
      <c r="N58" s="3477"/>
      <c r="O58" s="3477"/>
      <c r="P58" s="3478"/>
      <c r="Q58" s="3479"/>
      <c r="R58" s="3316"/>
      <c r="S58" s="3316"/>
      <c r="T58" s="3316"/>
      <c r="U58" s="3316"/>
      <c r="V58" s="3316"/>
      <c r="W58" s="3316"/>
      <c r="X58" s="3316"/>
      <c r="Y58" s="3316"/>
      <c r="Z58" s="3316"/>
      <c r="AA58" s="3316"/>
      <c r="AB58" s="3316"/>
      <c r="AC58" s="3316"/>
    </row>
    <row r="59" spans="1:29" s="3486" customFormat="1" ht="15">
      <c r="A59" s="3480" t="s">
        <v>1679</v>
      </c>
      <c r="B59" s="3481"/>
      <c r="C59" s="3482" t="str">
        <f>YEAR(C7)&amp;"-"&amp;MONTH(C7)</f>
        <v>2024-6</v>
      </c>
      <c r="D59" s="3483">
        <f>EDATE(C59,-1)</f>
        <v>45413</v>
      </c>
      <c r="E59" s="3483">
        <f>EDATE(D59,-1)</f>
        <v>45383</v>
      </c>
      <c r="F59" s="3483">
        <f t="shared" ref="F59:O59" si="16">EDATE(E59,-1)</f>
        <v>45352</v>
      </c>
      <c r="G59" s="3483">
        <f t="shared" si="16"/>
        <v>45323</v>
      </c>
      <c r="H59" s="3483">
        <f t="shared" si="16"/>
        <v>45292</v>
      </c>
      <c r="I59" s="3483">
        <f t="shared" si="16"/>
        <v>45261</v>
      </c>
      <c r="J59" s="3483">
        <f t="shared" si="16"/>
        <v>45231</v>
      </c>
      <c r="K59" s="3483">
        <f t="shared" si="16"/>
        <v>45200</v>
      </c>
      <c r="L59" s="3483">
        <f t="shared" si="16"/>
        <v>45170</v>
      </c>
      <c r="M59" s="3483">
        <f t="shared" si="16"/>
        <v>45139</v>
      </c>
      <c r="N59" s="3483">
        <f t="shared" si="16"/>
        <v>45108</v>
      </c>
      <c r="O59" s="3483">
        <f t="shared" si="16"/>
        <v>45078</v>
      </c>
      <c r="P59" s="3484"/>
      <c r="Q59" s="3485"/>
      <c r="R59" s="3485"/>
      <c r="S59" s="3485"/>
      <c r="T59" s="3485"/>
      <c r="U59" s="3485"/>
      <c r="V59" s="3485"/>
      <c r="W59" s="3485"/>
      <c r="X59" s="3485"/>
      <c r="Y59" s="3485"/>
      <c r="Z59" s="3485"/>
      <c r="AA59" s="3485"/>
      <c r="AB59" s="3485"/>
      <c r="AC59" s="3485"/>
    </row>
    <row r="60" spans="1:29" s="3339" customFormat="1" ht="15">
      <c r="A60" s="3487"/>
      <c r="B60" s="3488"/>
      <c r="C60" s="3489">
        <v>100</v>
      </c>
      <c r="D60" s="3490"/>
      <c r="E60" s="3490"/>
      <c r="F60" s="3490"/>
      <c r="G60" s="3490"/>
      <c r="H60" s="3490"/>
      <c r="I60" s="3490"/>
      <c r="J60" s="3490"/>
      <c r="K60" s="3490"/>
      <c r="L60" s="3490"/>
      <c r="M60" s="3361"/>
      <c r="N60" s="3490"/>
      <c r="O60" s="3361"/>
      <c r="P60" s="3491"/>
      <c r="Q60" s="3333"/>
      <c r="R60" s="3333"/>
      <c r="S60" s="3333"/>
      <c r="T60" s="3333"/>
      <c r="U60" s="3333"/>
      <c r="V60" s="3333"/>
      <c r="W60" s="3333"/>
      <c r="X60" s="3333"/>
      <c r="Y60" s="3333"/>
      <c r="Z60" s="3333"/>
      <c r="AA60" s="3333"/>
      <c r="AB60" s="3333"/>
      <c r="AC60" s="3333"/>
    </row>
    <row r="61" spans="1:29" s="3339" customFormat="1" ht="15.75" thickBot="1">
      <c r="A61" s="3492" t="s">
        <v>3746</v>
      </c>
      <c r="B61" s="3493"/>
      <c r="C61" s="3494"/>
      <c r="D61" s="3495"/>
      <c r="E61" s="3495"/>
      <c r="F61" s="3495"/>
      <c r="G61" s="3495"/>
      <c r="H61" s="3495"/>
      <c r="I61" s="3495"/>
      <c r="J61" s="3495"/>
      <c r="K61" s="3495"/>
      <c r="L61" s="3495"/>
      <c r="M61" s="3496"/>
      <c r="N61" s="3495"/>
      <c r="O61" s="3496"/>
      <c r="P61" s="3491"/>
      <c r="Q61" s="3479"/>
      <c r="R61" s="3333"/>
      <c r="S61" s="3333"/>
      <c r="T61" s="3333"/>
      <c r="U61" s="3333"/>
      <c r="V61" s="3333"/>
      <c r="W61" s="3333"/>
      <c r="X61" s="3333"/>
      <c r="Y61" s="3333"/>
      <c r="Z61" s="3333"/>
      <c r="AA61" s="3333"/>
      <c r="AB61" s="3333"/>
      <c r="AC61" s="3333"/>
    </row>
    <row r="62" spans="1:29" s="3339" customFormat="1" ht="15">
      <c r="A62" s="3497" t="s">
        <v>1681</v>
      </c>
      <c r="B62" s="3488"/>
      <c r="C62" s="3498" t="s">
        <v>3747</v>
      </c>
      <c r="D62" s="3643" t="s">
        <v>3871</v>
      </c>
      <c r="E62" s="3499"/>
      <c r="F62" s="3499"/>
      <c r="G62" s="3499"/>
      <c r="H62" s="3499"/>
      <c r="I62" s="3499"/>
      <c r="J62" s="3499"/>
      <c r="K62" s="3499"/>
      <c r="L62" s="3500"/>
      <c r="M62" s="3501"/>
      <c r="N62" s="3502"/>
      <c r="O62" s="3502"/>
      <c r="P62" s="3503"/>
      <c r="Q62" s="3479"/>
      <c r="R62" s="3333"/>
      <c r="S62" s="3333"/>
      <c r="T62" s="3333"/>
      <c r="U62" s="3333"/>
      <c r="V62" s="3333"/>
      <c r="W62" s="3333"/>
      <c r="X62" s="3333"/>
      <c r="Y62" s="3333"/>
      <c r="Z62" s="3333"/>
      <c r="AA62" s="3333"/>
      <c r="AB62" s="3333"/>
      <c r="AC62" s="3333"/>
    </row>
    <row r="63" spans="1:29" s="3339" customFormat="1" ht="15.75" thickBot="1">
      <c r="A63" s="3497"/>
      <c r="B63" s="3488"/>
      <c r="C63" s="3504">
        <v>100</v>
      </c>
      <c r="D63" s="3490">
        <v>105</v>
      </c>
      <c r="E63" s="3490"/>
      <c r="F63" s="3490"/>
      <c r="G63" s="3490"/>
      <c r="H63" s="3490"/>
      <c r="I63" s="3490"/>
      <c r="J63" s="3490"/>
      <c r="K63" s="3490"/>
      <c r="L63" s="3490"/>
      <c r="M63" s="3505"/>
      <c r="N63" s="3502"/>
      <c r="O63" s="3502"/>
      <c r="P63" s="3491"/>
      <c r="Q63" s="3479"/>
      <c r="R63" s="3333"/>
      <c r="S63" s="3333"/>
      <c r="T63" s="3333"/>
      <c r="U63" s="3333"/>
      <c r="V63" s="3333"/>
      <c r="W63" s="3333"/>
      <c r="X63" s="3333"/>
      <c r="Y63" s="3333"/>
      <c r="Z63" s="3333"/>
      <c r="AA63" s="3333"/>
      <c r="AB63" s="3333"/>
      <c r="AC63" s="3333"/>
    </row>
    <row r="64" spans="1:29">
      <c r="A64" s="3374" t="s">
        <v>1719</v>
      </c>
      <c r="B64" s="3506" t="s">
        <v>1685</v>
      </c>
      <c r="C64" s="3507" t="str">
        <f>C9</f>
        <v>办公</v>
      </c>
      <c r="D64" s="3508"/>
      <c r="E64" s="3508"/>
      <c r="F64" s="3508"/>
      <c r="G64" s="3508"/>
      <c r="H64" s="3508"/>
      <c r="I64" s="3508"/>
      <c r="J64" s="3508"/>
      <c r="K64" s="3509"/>
      <c r="L64" s="3510"/>
      <c r="M64" s="3511"/>
      <c r="N64" s="3512"/>
      <c r="O64" s="3512"/>
      <c r="P64" s="3513"/>
      <c r="Q64" s="3479"/>
      <c r="R64" s="3316"/>
      <c r="S64" s="3316"/>
      <c r="T64" s="3316"/>
      <c r="U64" s="3316"/>
      <c r="V64" s="3316"/>
      <c r="W64" s="3316"/>
      <c r="X64" s="3316"/>
      <c r="Y64" s="3316"/>
      <c r="Z64" s="3316"/>
      <c r="AA64" s="3316"/>
      <c r="AB64" s="3316"/>
      <c r="AC64" s="3316"/>
    </row>
    <row r="65" spans="1:29" ht="15.75" thickBot="1">
      <c r="A65" s="3355"/>
      <c r="B65" s="3514"/>
      <c r="C65" s="3515">
        <v>100</v>
      </c>
      <c r="D65" s="3515"/>
      <c r="E65" s="3515"/>
      <c r="F65" s="3515"/>
      <c r="G65" s="3515"/>
      <c r="H65" s="3515"/>
      <c r="I65" s="3515"/>
      <c r="J65" s="3515"/>
      <c r="K65" s="3515"/>
      <c r="L65" s="3515"/>
      <c r="M65" s="3516"/>
      <c r="N65" s="3517"/>
      <c r="O65" s="3517"/>
      <c r="P65" s="3513"/>
      <c r="Q65" s="3479"/>
      <c r="R65" s="3316"/>
      <c r="S65" s="3316"/>
      <c r="T65" s="3316"/>
      <c r="U65" s="3316"/>
      <c r="V65" s="3316"/>
      <c r="W65" s="3316"/>
      <c r="X65" s="3316"/>
      <c r="Y65" s="3316"/>
      <c r="Z65" s="3316"/>
      <c r="AA65" s="3316"/>
      <c r="AB65" s="3316"/>
      <c r="AC65" s="3316"/>
    </row>
    <row r="66" spans="1:29" ht="27.75" thickTop="1">
      <c r="A66" s="3355"/>
      <c r="B66" s="3518" t="s">
        <v>1688</v>
      </c>
      <c r="C66" s="3519"/>
      <c r="D66" s="3519"/>
      <c r="E66" s="3519"/>
      <c r="F66" s="3519"/>
      <c r="G66" s="3519"/>
      <c r="H66" s="3519"/>
      <c r="I66" s="3519"/>
      <c r="J66" s="3519"/>
      <c r="K66" s="3520"/>
      <c r="L66" s="3521"/>
      <c r="M66" s="3522"/>
      <c r="N66" s="3512"/>
      <c r="O66" s="3512"/>
      <c r="P66" s="3513"/>
      <c r="Q66" s="3479"/>
      <c r="R66" s="3316"/>
      <c r="S66" s="3316"/>
      <c r="T66" s="3316"/>
      <c r="U66" s="3316"/>
      <c r="V66" s="3316"/>
      <c r="W66" s="3316"/>
      <c r="X66" s="3316"/>
      <c r="Y66" s="3316"/>
      <c r="Z66" s="3316"/>
      <c r="AA66" s="3316"/>
      <c r="AB66" s="3316"/>
      <c r="AC66" s="3316"/>
    </row>
    <row r="67" spans="1:29" ht="15.75" thickBot="1">
      <c r="A67" s="3355"/>
      <c r="B67" s="3523"/>
      <c r="C67" s="3515"/>
      <c r="D67" s="3515"/>
      <c r="E67" s="3515"/>
      <c r="F67" s="3515"/>
      <c r="G67" s="3515"/>
      <c r="H67" s="3515"/>
      <c r="I67" s="3515"/>
      <c r="J67" s="3515"/>
      <c r="K67" s="3515"/>
      <c r="L67" s="3515"/>
      <c r="M67" s="3516"/>
      <c r="N67" s="3517"/>
      <c r="O67" s="3517"/>
      <c r="P67" s="3513"/>
      <c r="Q67" s="3479"/>
      <c r="R67" s="3316"/>
      <c r="S67" s="3316"/>
      <c r="T67" s="3316"/>
      <c r="U67" s="3316"/>
      <c r="V67" s="3316"/>
      <c r="W67" s="3316"/>
      <c r="X67" s="3316"/>
      <c r="Y67" s="3316"/>
      <c r="Z67" s="3316"/>
      <c r="AA67" s="3316"/>
      <c r="AB67" s="3316"/>
      <c r="AC67" s="3316"/>
    </row>
    <row r="68" spans="1:29" ht="15.75" thickTop="1">
      <c r="A68" s="3355"/>
      <c r="B68" s="3524" t="s">
        <v>1689</v>
      </c>
      <c r="C68" s="3525" t="str">
        <f>C69&amp;"（含）"&amp;"-"&amp;D69</f>
        <v>0（含）-3</v>
      </c>
      <c r="D68" s="3525" t="str">
        <f t="shared" ref="D68:L68" si="17">D69&amp;"（含）"&amp;"-"&amp;E69</f>
        <v>3（含）-</v>
      </c>
      <c r="E68" s="3525" t="str">
        <f t="shared" si="17"/>
        <v>（含）-</v>
      </c>
      <c r="F68" s="3525" t="str">
        <f t="shared" si="17"/>
        <v>（含）-</v>
      </c>
      <c r="G68" s="3525" t="str">
        <f t="shared" si="17"/>
        <v>（含）-</v>
      </c>
      <c r="H68" s="3525" t="str">
        <f t="shared" si="17"/>
        <v>（含）-</v>
      </c>
      <c r="I68" s="3525" t="str">
        <f t="shared" si="17"/>
        <v>（含）-</v>
      </c>
      <c r="J68" s="3525" t="str">
        <f t="shared" si="17"/>
        <v>（含）-</v>
      </c>
      <c r="K68" s="3525" t="str">
        <f t="shared" si="17"/>
        <v>（含）-</v>
      </c>
      <c r="L68" s="3525" t="str">
        <f t="shared" si="17"/>
        <v>（含）-</v>
      </c>
      <c r="M68" s="3388" t="str">
        <f>M69&amp;"（含）"&amp;"-"&amp;P69</f>
        <v>（含）-</v>
      </c>
      <c r="N68" s="3517"/>
      <c r="O68" s="3517"/>
      <c r="P68" s="3513"/>
      <c r="Q68" s="3479"/>
      <c r="R68" s="3316"/>
      <c r="S68" s="3316"/>
      <c r="T68" s="3316"/>
      <c r="U68" s="3316"/>
      <c r="V68" s="3316"/>
      <c r="W68" s="3316"/>
      <c r="X68" s="3316"/>
      <c r="Y68" s="3316"/>
      <c r="Z68" s="3316"/>
      <c r="AA68" s="3316"/>
      <c r="AB68" s="3316"/>
      <c r="AC68" s="3316"/>
    </row>
    <row r="69" spans="1:29" ht="15">
      <c r="A69" s="3355"/>
      <c r="B69" s="3526"/>
      <c r="C69" s="3527">
        <v>0</v>
      </c>
      <c r="D69" s="3527">
        <v>3</v>
      </c>
      <c r="E69" s="3527"/>
      <c r="F69" s="3527"/>
      <c r="G69" s="3527"/>
      <c r="H69" s="3527"/>
      <c r="I69" s="3527"/>
      <c r="J69" s="3527"/>
      <c r="K69" s="3528"/>
      <c r="L69" s="3529"/>
      <c r="M69" s="3530"/>
      <c r="N69" s="3512"/>
      <c r="O69" s="3512"/>
      <c r="P69" s="3513"/>
      <c r="Q69" s="3479"/>
      <c r="R69" s="3316"/>
      <c r="S69" s="3316"/>
      <c r="T69" s="3316"/>
      <c r="U69" s="3316"/>
      <c r="V69" s="3316"/>
      <c r="W69" s="3316"/>
      <c r="X69" s="3316"/>
      <c r="Y69" s="3316"/>
      <c r="Z69" s="3316"/>
      <c r="AA69" s="3316"/>
      <c r="AB69" s="3316"/>
      <c r="AC69" s="3316"/>
    </row>
    <row r="70" spans="1:29" ht="15.75" thickBot="1">
      <c r="A70" s="3355"/>
      <c r="B70" s="3514"/>
      <c r="C70" s="3531">
        <v>100</v>
      </c>
      <c r="D70" s="3531">
        <f t="shared" ref="D70:M70" si="18">C70-$K11</f>
        <v>100</v>
      </c>
      <c r="E70" s="3531">
        <f t="shared" si="18"/>
        <v>100</v>
      </c>
      <c r="F70" s="3531">
        <f t="shared" si="18"/>
        <v>100</v>
      </c>
      <c r="G70" s="3531">
        <f t="shared" si="18"/>
        <v>100</v>
      </c>
      <c r="H70" s="3531">
        <f t="shared" si="18"/>
        <v>100</v>
      </c>
      <c r="I70" s="3531">
        <f t="shared" si="18"/>
        <v>100</v>
      </c>
      <c r="J70" s="3531">
        <f t="shared" si="18"/>
        <v>100</v>
      </c>
      <c r="K70" s="3531">
        <f t="shared" si="18"/>
        <v>100</v>
      </c>
      <c r="L70" s="3531">
        <f t="shared" si="18"/>
        <v>100</v>
      </c>
      <c r="M70" s="3532">
        <f t="shared" si="18"/>
        <v>100</v>
      </c>
      <c r="N70" s="3517"/>
      <c r="O70" s="3517"/>
      <c r="P70" s="3513"/>
      <c r="Q70" s="3479"/>
      <c r="R70" s="3316"/>
      <c r="S70" s="3316"/>
      <c r="T70" s="3316"/>
      <c r="U70" s="3316"/>
      <c r="V70" s="3316"/>
      <c r="W70" s="3316"/>
      <c r="X70" s="3316"/>
      <c r="Y70" s="3316"/>
      <c r="Z70" s="3316"/>
      <c r="AA70" s="3316"/>
      <c r="AB70" s="3316"/>
      <c r="AC70" s="3316"/>
    </row>
    <row r="71" spans="1:29" s="3422" customFormat="1" ht="15.75" thickTop="1">
      <c r="A71" s="3533"/>
      <c r="B71" s="3518">
        <f>B12</f>
        <v>111</v>
      </c>
      <c r="C71" s="3534"/>
      <c r="D71" s="3534"/>
      <c r="E71" s="3534"/>
      <c r="F71" s="3534"/>
      <c r="G71" s="3534"/>
      <c r="H71" s="3535"/>
      <c r="I71" s="3535"/>
      <c r="J71" s="3535"/>
      <c r="K71" s="3535"/>
      <c r="L71" s="3536"/>
      <c r="M71" s="3537"/>
      <c r="N71" s="3538"/>
      <c r="O71" s="3538"/>
      <c r="P71" s="3539"/>
      <c r="Q71" s="3540"/>
      <c r="R71" s="3416"/>
      <c r="S71" s="3416"/>
      <c r="T71" s="3416"/>
      <c r="U71" s="3416"/>
      <c r="V71" s="3416"/>
      <c r="W71" s="3416"/>
      <c r="X71" s="3416"/>
      <c r="Y71" s="3416"/>
      <c r="Z71" s="3416"/>
      <c r="AA71" s="3416"/>
      <c r="AB71" s="3416"/>
      <c r="AC71" s="3416"/>
    </row>
    <row r="72" spans="1:29" s="3422" customFormat="1" ht="15.75" thickBot="1">
      <c r="A72" s="3533"/>
      <c r="B72" s="3523"/>
      <c r="C72" s="3541"/>
      <c r="D72" s="3515"/>
      <c r="E72" s="3515"/>
      <c r="F72" s="3515"/>
      <c r="G72" s="3515"/>
      <c r="H72" s="3515"/>
      <c r="I72" s="3515"/>
      <c r="J72" s="3515"/>
      <c r="K72" s="3515"/>
      <c r="L72" s="3515"/>
      <c r="M72" s="3516"/>
      <c r="N72" s="3517"/>
      <c r="O72" s="3517"/>
      <c r="P72" s="3539"/>
      <c r="Q72" s="3540"/>
      <c r="R72" s="3416"/>
      <c r="S72" s="3416"/>
      <c r="T72" s="3416"/>
      <c r="U72" s="3416"/>
      <c r="V72" s="3416"/>
      <c r="W72" s="3416"/>
      <c r="X72" s="3416"/>
      <c r="Y72" s="3416"/>
      <c r="Z72" s="3416"/>
      <c r="AA72" s="3416"/>
      <c r="AB72" s="3416"/>
      <c r="AC72" s="3416"/>
    </row>
    <row r="73" spans="1:29" s="3422" customFormat="1" ht="15.75" thickTop="1">
      <c r="A73" s="3533"/>
      <c r="B73" s="3518">
        <f>B13</f>
        <v>111</v>
      </c>
      <c r="C73" s="3534"/>
      <c r="D73" s="3534"/>
      <c r="E73" s="3534"/>
      <c r="F73" s="3534"/>
      <c r="G73" s="3534"/>
      <c r="H73" s="3535"/>
      <c r="I73" s="3535"/>
      <c r="J73" s="3535"/>
      <c r="K73" s="3535"/>
      <c r="L73" s="3536"/>
      <c r="M73" s="3537"/>
      <c r="N73" s="3538"/>
      <c r="O73" s="3538"/>
      <c r="P73" s="3542"/>
      <c r="Q73" s="3543"/>
      <c r="R73" s="3416"/>
      <c r="S73" s="3416"/>
      <c r="T73" s="3416"/>
      <c r="U73" s="3416"/>
      <c r="V73" s="3416"/>
      <c r="W73" s="3416"/>
      <c r="X73" s="3416"/>
      <c r="Y73" s="3416"/>
      <c r="Z73" s="3416"/>
      <c r="AA73" s="3416"/>
      <c r="AB73" s="3416"/>
      <c r="AC73" s="3416"/>
    </row>
    <row r="74" spans="1:29" s="3422" customFormat="1" ht="15.75" thickBot="1">
      <c r="A74" s="3533"/>
      <c r="B74" s="3523"/>
      <c r="C74" s="3541"/>
      <c r="D74" s="3541"/>
      <c r="E74" s="3541"/>
      <c r="F74" s="3541"/>
      <c r="G74" s="3541"/>
      <c r="H74" s="3544"/>
      <c r="I74" s="3544"/>
      <c r="J74" s="3544"/>
      <c r="K74" s="3544"/>
      <c r="L74" s="3544"/>
      <c r="M74" s="3545"/>
      <c r="N74" s="3538"/>
      <c r="O74" s="3538"/>
      <c r="P74" s="3539"/>
      <c r="Q74" s="3540"/>
      <c r="R74" s="3416"/>
      <c r="S74" s="3416"/>
      <c r="T74" s="3416"/>
      <c r="U74" s="3416"/>
      <c r="V74" s="3416"/>
      <c r="W74" s="3416"/>
      <c r="X74" s="3416"/>
      <c r="Y74" s="3416"/>
      <c r="Z74" s="3416"/>
      <c r="AA74" s="3416"/>
      <c r="AB74" s="3416"/>
      <c r="AC74" s="3416"/>
    </row>
    <row r="75" spans="1:29" s="3422" customFormat="1" ht="15.75" thickTop="1">
      <c r="A75" s="3533"/>
      <c r="B75" s="3524">
        <f>B14</f>
        <v>111</v>
      </c>
      <c r="C75" s="3499"/>
      <c r="D75" s="3499"/>
      <c r="E75" s="3499"/>
      <c r="F75" s="3499"/>
      <c r="G75" s="3499"/>
      <c r="H75" s="3546"/>
      <c r="I75" s="3546"/>
      <c r="J75" s="3546"/>
      <c r="K75" s="3546"/>
      <c r="L75" s="3547"/>
      <c r="M75" s="3548"/>
      <c r="N75" s="3538"/>
      <c r="O75" s="3538"/>
      <c r="P75" s="3549"/>
      <c r="Q75" s="3540"/>
      <c r="R75" s="3416"/>
      <c r="S75" s="3416"/>
      <c r="T75" s="3416"/>
      <c r="U75" s="3416"/>
      <c r="V75" s="3416"/>
      <c r="W75" s="3416"/>
      <c r="X75" s="3416"/>
      <c r="Y75" s="3416"/>
      <c r="Z75" s="3416"/>
      <c r="AA75" s="3416"/>
      <c r="AB75" s="3416"/>
      <c r="AC75" s="3416"/>
    </row>
    <row r="76" spans="1:29" s="3422" customFormat="1" ht="15.75" thickBot="1">
      <c r="A76" s="3550"/>
      <c r="B76" s="3551"/>
      <c r="C76" s="3552"/>
      <c r="D76" s="3552"/>
      <c r="E76" s="3552"/>
      <c r="F76" s="3552"/>
      <c r="G76" s="3552"/>
      <c r="H76" s="3553"/>
      <c r="I76" s="3553"/>
      <c r="J76" s="3553"/>
      <c r="K76" s="3553"/>
      <c r="L76" s="3553"/>
      <c r="M76" s="3554"/>
      <c r="N76" s="3538"/>
      <c r="O76" s="3538"/>
      <c r="P76" s="3539"/>
      <c r="Q76" s="3540"/>
      <c r="R76" s="3416"/>
      <c r="S76" s="3416"/>
      <c r="T76" s="3416"/>
      <c r="U76" s="3416"/>
      <c r="V76" s="3416"/>
      <c r="W76" s="3416"/>
      <c r="X76" s="3416"/>
      <c r="Y76" s="3416"/>
      <c r="Z76" s="3416"/>
      <c r="AA76" s="3416"/>
      <c r="AB76" s="3416"/>
      <c r="AC76" s="3416"/>
    </row>
    <row r="77" spans="1:29">
      <c r="A77" s="3374" t="s">
        <v>1690</v>
      </c>
      <c r="B77" s="3506" t="s">
        <v>1821</v>
      </c>
      <c r="C77" s="3555" t="s">
        <v>1721</v>
      </c>
      <c r="D77" s="3555" t="s">
        <v>1722</v>
      </c>
      <c r="E77" s="3555" t="s">
        <v>1723</v>
      </c>
      <c r="F77" s="3555" t="s">
        <v>1724</v>
      </c>
      <c r="G77" s="3555" t="s">
        <v>1725</v>
      </c>
      <c r="H77" s="3507"/>
      <c r="I77" s="3507"/>
      <c r="J77" s="3507"/>
      <c r="K77" s="3556"/>
      <c r="L77" s="3557"/>
      <c r="M77" s="3558"/>
      <c r="N77" s="3512"/>
      <c r="O77" s="3512"/>
      <c r="P77" s="3559"/>
      <c r="Q77" s="3479"/>
      <c r="R77" s="3316"/>
      <c r="S77" s="3316"/>
      <c r="T77" s="3316"/>
      <c r="U77" s="3316"/>
      <c r="V77" s="3316"/>
      <c r="W77" s="3316"/>
      <c r="X77" s="3316"/>
      <c r="Y77" s="3316"/>
      <c r="Z77" s="3316"/>
      <c r="AA77" s="3316"/>
      <c r="AB77" s="3316"/>
      <c r="AC77" s="3316"/>
    </row>
    <row r="78" spans="1:29" ht="15.75" thickBot="1">
      <c r="A78" s="3355"/>
      <c r="B78" s="3523"/>
      <c r="C78" s="3531">
        <v>100</v>
      </c>
      <c r="D78" s="3531">
        <f>C78-$K15</f>
        <v>100</v>
      </c>
      <c r="E78" s="3531">
        <f>D78-$K15</f>
        <v>100</v>
      </c>
      <c r="F78" s="3531">
        <f>E78-$K15</f>
        <v>100</v>
      </c>
      <c r="G78" s="3531">
        <f>F78-$K15</f>
        <v>100</v>
      </c>
      <c r="H78" s="3531"/>
      <c r="I78" s="3531"/>
      <c r="J78" s="3531"/>
      <c r="K78" s="3531"/>
      <c r="L78" s="3531"/>
      <c r="M78" s="3532"/>
      <c r="N78" s="3517"/>
      <c r="O78" s="3517"/>
      <c r="P78" s="3513"/>
      <c r="Q78" s="3479"/>
      <c r="R78" s="3316"/>
      <c r="S78" s="3316"/>
      <c r="T78" s="3316"/>
      <c r="U78" s="3316"/>
      <c r="V78" s="3316"/>
      <c r="W78" s="3316"/>
      <c r="X78" s="3316"/>
      <c r="Y78" s="3316"/>
      <c r="Z78" s="3316"/>
      <c r="AA78" s="3316"/>
      <c r="AB78" s="3316"/>
      <c r="AC78" s="3316"/>
    </row>
    <row r="79" spans="1:29" ht="15.75" thickTop="1">
      <c r="A79" s="3355"/>
      <c r="B79" s="3518" t="s">
        <v>1726</v>
      </c>
      <c r="C79" s="3560" t="s">
        <v>1721</v>
      </c>
      <c r="D79" s="3560" t="s">
        <v>1722</v>
      </c>
      <c r="E79" s="3560" t="s">
        <v>1723</v>
      </c>
      <c r="F79" s="3560" t="s">
        <v>1724</v>
      </c>
      <c r="G79" s="3560" t="s">
        <v>1725</v>
      </c>
      <c r="H79" s="3561"/>
      <c r="I79" s="3561"/>
      <c r="J79" s="3561"/>
      <c r="K79" s="3562"/>
      <c r="L79" s="3563"/>
      <c r="M79" s="3564"/>
      <c r="N79" s="3512"/>
      <c r="O79" s="3512"/>
      <c r="P79" s="3513"/>
      <c r="Q79" s="3479"/>
      <c r="R79" s="3316"/>
      <c r="S79" s="3316"/>
      <c r="T79" s="3316"/>
      <c r="U79" s="3316"/>
      <c r="V79" s="3316"/>
      <c r="W79" s="3316"/>
      <c r="X79" s="3316"/>
      <c r="Y79" s="3316"/>
      <c r="Z79" s="3316"/>
      <c r="AA79" s="3316"/>
      <c r="AB79" s="3316"/>
      <c r="AC79" s="3316"/>
    </row>
    <row r="80" spans="1:29" ht="15.75" thickBot="1">
      <c r="A80" s="3355"/>
      <c r="B80" s="3523"/>
      <c r="C80" s="3531">
        <v>100</v>
      </c>
      <c r="D80" s="3531">
        <f>C80-$K17</f>
        <v>100</v>
      </c>
      <c r="E80" s="3531">
        <f>D80-$K17</f>
        <v>100</v>
      </c>
      <c r="F80" s="3531">
        <f>E80-$K17</f>
        <v>100</v>
      </c>
      <c r="G80" s="3531">
        <f>F80-$K17</f>
        <v>100</v>
      </c>
      <c r="H80" s="3531"/>
      <c r="I80" s="3531"/>
      <c r="J80" s="3531"/>
      <c r="K80" s="3531"/>
      <c r="L80" s="3531"/>
      <c r="M80" s="3532"/>
      <c r="N80" s="3517"/>
      <c r="O80" s="3517"/>
      <c r="P80" s="3513"/>
      <c r="Q80" s="3479"/>
      <c r="R80" s="3316"/>
      <c r="S80" s="3316"/>
      <c r="T80" s="3316"/>
      <c r="U80" s="3316"/>
      <c r="V80" s="3316"/>
      <c r="W80" s="3316"/>
      <c r="X80" s="3316"/>
      <c r="Y80" s="3316"/>
      <c r="Z80" s="3316"/>
      <c r="AA80" s="3316"/>
      <c r="AB80" s="3316"/>
      <c r="AC80" s="3316"/>
    </row>
    <row r="81" spans="1:29" ht="15.75" thickTop="1">
      <c r="A81" s="3355"/>
      <c r="B81" s="3518" t="s">
        <v>1727</v>
      </c>
      <c r="C81" s="3560" t="s">
        <v>1721</v>
      </c>
      <c r="D81" s="3560" t="s">
        <v>1722</v>
      </c>
      <c r="E81" s="3560" t="s">
        <v>1723</v>
      </c>
      <c r="F81" s="3560" t="s">
        <v>1724</v>
      </c>
      <c r="G81" s="3560" t="s">
        <v>1725</v>
      </c>
      <c r="H81" s="3561"/>
      <c r="I81" s="3561"/>
      <c r="J81" s="3561"/>
      <c r="K81" s="3562"/>
      <c r="L81" s="3563"/>
      <c r="M81" s="3564"/>
      <c r="N81" s="3512"/>
      <c r="O81" s="3512"/>
      <c r="P81" s="3513"/>
      <c r="Q81" s="3479"/>
      <c r="R81" s="3316"/>
      <c r="S81" s="3316"/>
      <c r="T81" s="3316"/>
      <c r="U81" s="3316"/>
      <c r="V81" s="3316"/>
      <c r="W81" s="3316"/>
      <c r="X81" s="3316"/>
      <c r="Y81" s="3316"/>
      <c r="Z81" s="3316"/>
      <c r="AA81" s="3316"/>
      <c r="AB81" s="3316"/>
      <c r="AC81" s="3316"/>
    </row>
    <row r="82" spans="1:29" ht="15.75" thickBot="1">
      <c r="A82" s="3355"/>
      <c r="B82" s="3523"/>
      <c r="C82" s="3531">
        <v>100</v>
      </c>
      <c r="D82" s="3531">
        <f>C82-$K19</f>
        <v>100</v>
      </c>
      <c r="E82" s="3531">
        <f>D82-$K19</f>
        <v>100</v>
      </c>
      <c r="F82" s="3531">
        <f>E82-$K19</f>
        <v>100</v>
      </c>
      <c r="G82" s="3531">
        <f>F82-$K19</f>
        <v>100</v>
      </c>
      <c r="H82" s="3531"/>
      <c r="I82" s="3531"/>
      <c r="J82" s="3531"/>
      <c r="K82" s="3531"/>
      <c r="L82" s="3531"/>
      <c r="M82" s="3532"/>
      <c r="N82" s="3517"/>
      <c r="O82" s="3517"/>
      <c r="P82" s="3513"/>
      <c r="Q82" s="3479"/>
      <c r="R82" s="3316"/>
      <c r="S82" s="3316"/>
      <c r="T82" s="3316"/>
      <c r="U82" s="3316"/>
      <c r="V82" s="3316"/>
      <c r="W82" s="3316"/>
      <c r="X82" s="3316"/>
      <c r="Y82" s="3316"/>
      <c r="Z82" s="3316"/>
      <c r="AA82" s="3316"/>
      <c r="AB82" s="3316"/>
      <c r="AC82" s="3316"/>
    </row>
    <row r="83" spans="1:29" ht="15.75" thickTop="1">
      <c r="A83" s="3355"/>
      <c r="B83" s="3524" t="s">
        <v>3738</v>
      </c>
      <c r="C83" s="3391" t="s">
        <v>3748</v>
      </c>
      <c r="D83" s="3391" t="s">
        <v>3749</v>
      </c>
      <c r="E83" s="3391" t="s">
        <v>3750</v>
      </c>
      <c r="F83" s="3391" t="s">
        <v>3751</v>
      </c>
      <c r="G83" s="3391" t="s">
        <v>3752</v>
      </c>
      <c r="H83" s="3561"/>
      <c r="I83" s="3561"/>
      <c r="J83" s="3561"/>
      <c r="K83" s="3561"/>
      <c r="L83" s="3561"/>
      <c r="M83" s="3565"/>
      <c r="N83" s="3517"/>
      <c r="O83" s="3517"/>
      <c r="P83" s="3513"/>
      <c r="Q83" s="3479"/>
      <c r="R83" s="3316"/>
      <c r="S83" s="3316"/>
      <c r="T83" s="3316"/>
      <c r="U83" s="3316"/>
      <c r="V83" s="3316"/>
      <c r="W83" s="3316"/>
      <c r="X83" s="3316"/>
      <c r="Y83" s="3316"/>
      <c r="Z83" s="3316"/>
      <c r="AA83" s="3316"/>
      <c r="AB83" s="3316"/>
      <c r="AC83" s="3316"/>
    </row>
    <row r="84" spans="1:29" ht="15.75" thickBot="1">
      <c r="A84" s="3355"/>
      <c r="B84" s="3524"/>
      <c r="C84" s="3531">
        <v>100</v>
      </c>
      <c r="D84" s="3531">
        <f>C84-$K21</f>
        <v>100</v>
      </c>
      <c r="E84" s="3531">
        <f>D84-$K21</f>
        <v>100</v>
      </c>
      <c r="F84" s="3531">
        <f>E84-$K21</f>
        <v>100</v>
      </c>
      <c r="G84" s="3531">
        <f>F84-$K21</f>
        <v>100</v>
      </c>
      <c r="H84" s="3391"/>
      <c r="I84" s="3391"/>
      <c r="J84" s="3391"/>
      <c r="K84" s="3391"/>
      <c r="L84" s="3391"/>
      <c r="M84" s="3389"/>
      <c r="N84" s="3517"/>
      <c r="O84" s="3517"/>
      <c r="P84" s="3513"/>
      <c r="Q84" s="3479"/>
      <c r="R84" s="3316"/>
      <c r="S84" s="3316"/>
      <c r="T84" s="3316"/>
      <c r="U84" s="3316"/>
      <c r="V84" s="3316"/>
      <c r="W84" s="3316"/>
      <c r="X84" s="3316"/>
      <c r="Y84" s="3316"/>
      <c r="Z84" s="3316"/>
      <c r="AA84" s="3316"/>
      <c r="AB84" s="3316"/>
      <c r="AC84" s="3316"/>
    </row>
    <row r="85" spans="1:29" ht="15.75" thickTop="1">
      <c r="A85" s="3355"/>
      <c r="B85" s="3518" t="s">
        <v>1822</v>
      </c>
      <c r="C85" s="3560" t="s">
        <v>1721</v>
      </c>
      <c r="D85" s="3560" t="s">
        <v>1722</v>
      </c>
      <c r="E85" s="3560" t="s">
        <v>1723</v>
      </c>
      <c r="F85" s="3560" t="s">
        <v>1724</v>
      </c>
      <c r="G85" s="3560" t="s">
        <v>1725</v>
      </c>
      <c r="H85" s="3561"/>
      <c r="I85" s="3561"/>
      <c r="J85" s="3561"/>
      <c r="K85" s="3562"/>
      <c r="L85" s="3563"/>
      <c r="M85" s="3564"/>
      <c r="N85" s="3512"/>
      <c r="O85" s="3512"/>
      <c r="P85" s="3513"/>
      <c r="Q85" s="3479"/>
      <c r="R85" s="3316"/>
      <c r="S85" s="3316"/>
      <c r="T85" s="3316"/>
      <c r="U85" s="3316"/>
      <c r="V85" s="3316"/>
      <c r="W85" s="3316"/>
      <c r="X85" s="3316"/>
      <c r="Y85" s="3316"/>
      <c r="Z85" s="3316"/>
      <c r="AA85" s="3316"/>
      <c r="AB85" s="3316"/>
      <c r="AC85" s="3316"/>
    </row>
    <row r="86" spans="1:29" ht="15.75" thickBot="1">
      <c r="A86" s="3355"/>
      <c r="B86" s="3523"/>
      <c r="C86" s="3531">
        <v>100</v>
      </c>
      <c r="D86" s="3531">
        <f>C86-$K23</f>
        <v>100</v>
      </c>
      <c r="E86" s="3531">
        <f>D86-$K23</f>
        <v>100</v>
      </c>
      <c r="F86" s="3531">
        <f>E86-$K23</f>
        <v>100</v>
      </c>
      <c r="G86" s="3531">
        <f>F86-$K23</f>
        <v>100</v>
      </c>
      <c r="H86" s="3531"/>
      <c r="I86" s="3531"/>
      <c r="J86" s="3531"/>
      <c r="K86" s="3531"/>
      <c r="L86" s="3531"/>
      <c r="M86" s="3532"/>
      <c r="N86" s="3517"/>
      <c r="O86" s="3517"/>
      <c r="P86" s="3513"/>
      <c r="Q86" s="3479"/>
      <c r="R86" s="3316"/>
      <c r="S86" s="3316"/>
      <c r="T86" s="3316"/>
      <c r="U86" s="3316"/>
      <c r="V86" s="3316"/>
      <c r="W86" s="3316"/>
      <c r="X86" s="3316"/>
      <c r="Y86" s="3316"/>
      <c r="Z86" s="3316"/>
      <c r="AA86" s="3316"/>
      <c r="AB86" s="3316"/>
      <c r="AC86" s="3316"/>
    </row>
    <row r="87" spans="1:29" s="3339" customFormat="1" ht="28.5" thickTop="1">
      <c r="A87" s="3360"/>
      <c r="B87" s="3518" t="s">
        <v>1823</v>
      </c>
      <c r="C87" s="3534" t="s">
        <v>3753</v>
      </c>
      <c r="D87" s="3534" t="s">
        <v>3754</v>
      </c>
      <c r="E87" s="3534"/>
      <c r="F87" s="3534"/>
      <c r="G87" s="3534"/>
      <c r="H87" s="3534"/>
      <c r="I87" s="3534"/>
      <c r="J87" s="3534"/>
      <c r="K87" s="3534"/>
      <c r="L87" s="3566"/>
      <c r="M87" s="3567"/>
      <c r="N87" s="3502"/>
      <c r="O87" s="3502"/>
      <c r="P87" s="3513"/>
      <c r="Q87" s="3479"/>
      <c r="R87" s="3333"/>
      <c r="S87" s="3333"/>
      <c r="T87" s="3333"/>
      <c r="U87" s="3333"/>
      <c r="V87" s="3333"/>
      <c r="W87" s="3333"/>
      <c r="X87" s="3333"/>
      <c r="Y87" s="3333"/>
      <c r="Z87" s="3333"/>
      <c r="AA87" s="3333"/>
      <c r="AB87" s="3333"/>
      <c r="AC87" s="3333"/>
    </row>
    <row r="88" spans="1:29" s="3339" customFormat="1" ht="15.75" thickBot="1">
      <c r="A88" s="3360"/>
      <c r="B88" s="3523"/>
      <c r="C88" s="3568">
        <v>100</v>
      </c>
      <c r="D88" s="3531">
        <f t="shared" ref="D88:M88" si="19">C88-$K25</f>
        <v>100</v>
      </c>
      <c r="E88" s="3531">
        <f t="shared" si="19"/>
        <v>100</v>
      </c>
      <c r="F88" s="3531">
        <f t="shared" si="19"/>
        <v>100</v>
      </c>
      <c r="G88" s="3531">
        <f t="shared" si="19"/>
        <v>100</v>
      </c>
      <c r="H88" s="3531">
        <f t="shared" si="19"/>
        <v>100</v>
      </c>
      <c r="I88" s="3531">
        <f t="shared" si="19"/>
        <v>100</v>
      </c>
      <c r="J88" s="3531">
        <f t="shared" si="19"/>
        <v>100</v>
      </c>
      <c r="K88" s="3531">
        <f t="shared" si="19"/>
        <v>100</v>
      </c>
      <c r="L88" s="3531">
        <f t="shared" si="19"/>
        <v>100</v>
      </c>
      <c r="M88" s="3531">
        <f t="shared" si="19"/>
        <v>100</v>
      </c>
      <c r="N88" s="3517"/>
      <c r="O88" s="3517"/>
      <c r="P88" s="3513"/>
      <c r="Q88" s="3479"/>
      <c r="R88" s="3333"/>
      <c r="S88" s="3333"/>
      <c r="T88" s="3333"/>
      <c r="U88" s="3333"/>
      <c r="V88" s="3333"/>
      <c r="W88" s="3333"/>
      <c r="X88" s="3333"/>
      <c r="Y88" s="3333"/>
      <c r="Z88" s="3333"/>
      <c r="AA88" s="3333"/>
      <c r="AB88" s="3333"/>
      <c r="AC88" s="3333"/>
    </row>
    <row r="89" spans="1:29" s="3339" customFormat="1" ht="15.75" thickTop="1">
      <c r="A89" s="3360"/>
      <c r="B89" s="3518" t="str">
        <f>B27</f>
        <v>楼层</v>
      </c>
      <c r="C89" s="3534"/>
      <c r="D89" s="3534"/>
      <c r="E89" s="3534"/>
      <c r="F89" s="3569"/>
      <c r="G89" s="3534"/>
      <c r="H89" s="3534"/>
      <c r="I89" s="3534"/>
      <c r="J89" s="3534"/>
      <c r="K89" s="3534"/>
      <c r="L89" s="3534"/>
      <c r="M89" s="3567"/>
      <c r="N89" s="3502"/>
      <c r="O89" s="3502"/>
      <c r="P89" s="3513"/>
      <c r="Q89" s="3479"/>
      <c r="R89" s="3333"/>
      <c r="S89" s="3333"/>
      <c r="T89" s="3333"/>
      <c r="U89" s="3333"/>
      <c r="V89" s="3333"/>
      <c r="W89" s="3333"/>
      <c r="X89" s="3333"/>
      <c r="Y89" s="3333"/>
      <c r="Z89" s="3333"/>
      <c r="AA89" s="3333"/>
      <c r="AB89" s="3333"/>
      <c r="AC89" s="3333"/>
    </row>
    <row r="90" spans="1:29" s="3339" customFormat="1" ht="15.75" thickBot="1">
      <c r="A90" s="3360"/>
      <c r="B90" s="3523"/>
      <c r="C90" s="3568">
        <v>100</v>
      </c>
      <c r="D90" s="3531">
        <f>C90-$K27</f>
        <v>100</v>
      </c>
      <c r="E90" s="3531">
        <f t="shared" ref="E90:M90" si="20">D90-$K27</f>
        <v>100</v>
      </c>
      <c r="F90" s="3531">
        <f t="shared" si="20"/>
        <v>100</v>
      </c>
      <c r="G90" s="3531">
        <f t="shared" si="20"/>
        <v>100</v>
      </c>
      <c r="H90" s="3531">
        <f t="shared" si="20"/>
        <v>100</v>
      </c>
      <c r="I90" s="3531">
        <f t="shared" si="20"/>
        <v>100</v>
      </c>
      <c r="J90" s="3531">
        <f t="shared" si="20"/>
        <v>100</v>
      </c>
      <c r="K90" s="3531">
        <f t="shared" si="20"/>
        <v>100</v>
      </c>
      <c r="L90" s="3531">
        <f t="shared" si="20"/>
        <v>100</v>
      </c>
      <c r="M90" s="3531">
        <f t="shared" si="20"/>
        <v>100</v>
      </c>
      <c r="N90" s="3517"/>
      <c r="O90" s="3517"/>
      <c r="P90" s="3513"/>
      <c r="Q90" s="3479"/>
      <c r="R90" s="3333"/>
      <c r="S90" s="3333"/>
      <c r="T90" s="3333"/>
      <c r="U90" s="3333"/>
      <c r="V90" s="3333"/>
      <c r="W90" s="3333"/>
      <c r="X90" s="3333"/>
      <c r="Y90" s="3333"/>
      <c r="Z90" s="3333"/>
      <c r="AA90" s="3333"/>
      <c r="AB90" s="3333"/>
      <c r="AC90" s="3333"/>
    </row>
    <row r="91" spans="1:29" s="3422" customFormat="1" ht="15.75" thickTop="1">
      <c r="A91" s="3533"/>
      <c r="B91" s="3518" t="str">
        <f>B28</f>
        <v>朝向</v>
      </c>
      <c r="C91" s="3534"/>
      <c r="D91" s="3534"/>
      <c r="E91" s="3534"/>
      <c r="F91" s="3534"/>
      <c r="G91" s="3534"/>
      <c r="H91" s="3535"/>
      <c r="I91" s="3535"/>
      <c r="J91" s="3535"/>
      <c r="K91" s="3535"/>
      <c r="L91" s="3536"/>
      <c r="M91" s="3537"/>
      <c r="N91" s="3538"/>
      <c r="O91" s="3538"/>
      <c r="P91" s="3539"/>
      <c r="Q91" s="3540"/>
      <c r="R91" s="3416"/>
      <c r="S91" s="3416"/>
      <c r="T91" s="3416"/>
      <c r="U91" s="3416"/>
      <c r="V91" s="3416"/>
      <c r="W91" s="3416"/>
      <c r="X91" s="3416"/>
      <c r="Y91" s="3416"/>
      <c r="Z91" s="3416"/>
      <c r="AA91" s="3416"/>
      <c r="AB91" s="3416"/>
      <c r="AC91" s="3416"/>
    </row>
    <row r="92" spans="1:29" s="3422" customFormat="1" ht="15.75" thickBot="1">
      <c r="A92" s="3533"/>
      <c r="B92" s="3523"/>
      <c r="C92" s="3568">
        <v>100</v>
      </c>
      <c r="D92" s="3531">
        <f t="shared" ref="D92:M92" si="21">C92-$K28</f>
        <v>100</v>
      </c>
      <c r="E92" s="3531">
        <f t="shared" si="21"/>
        <v>100</v>
      </c>
      <c r="F92" s="3531">
        <f t="shared" si="21"/>
        <v>100</v>
      </c>
      <c r="G92" s="3531">
        <f t="shared" si="21"/>
        <v>100</v>
      </c>
      <c r="H92" s="3531">
        <f t="shared" si="21"/>
        <v>100</v>
      </c>
      <c r="I92" s="3531">
        <f t="shared" si="21"/>
        <v>100</v>
      </c>
      <c r="J92" s="3531">
        <f t="shared" si="21"/>
        <v>100</v>
      </c>
      <c r="K92" s="3531">
        <f t="shared" si="21"/>
        <v>100</v>
      </c>
      <c r="L92" s="3531">
        <f t="shared" si="21"/>
        <v>100</v>
      </c>
      <c r="M92" s="3531">
        <f t="shared" si="21"/>
        <v>100</v>
      </c>
      <c r="N92" s="3538"/>
      <c r="O92" s="3538"/>
      <c r="P92" s="3539"/>
      <c r="Q92" s="3540"/>
      <c r="R92" s="3416"/>
      <c r="S92" s="3416"/>
      <c r="T92" s="3416"/>
      <c r="U92" s="3416"/>
      <c r="V92" s="3416"/>
      <c r="W92" s="3416"/>
      <c r="X92" s="3416"/>
      <c r="Y92" s="3416"/>
      <c r="Z92" s="3416"/>
      <c r="AA92" s="3416"/>
      <c r="AB92" s="3416"/>
      <c r="AC92" s="3416"/>
    </row>
    <row r="93" spans="1:29" ht="15.75" thickTop="1">
      <c r="A93" s="3355"/>
      <c r="B93" s="3518" t="str">
        <f>B29</f>
        <v>楼层</v>
      </c>
      <c r="C93" s="3582" t="s">
        <v>3820</v>
      </c>
      <c r="D93" s="3582" t="s">
        <v>3818</v>
      </c>
      <c r="E93" s="3582" t="s">
        <v>3821</v>
      </c>
      <c r="F93" s="3534"/>
      <c r="G93" s="3534"/>
      <c r="H93" s="3534"/>
      <c r="I93" s="3534"/>
      <c r="J93" s="3534"/>
      <c r="K93" s="3534"/>
      <c r="L93" s="3566"/>
      <c r="M93" s="3567"/>
      <c r="N93" s="3512"/>
      <c r="O93" s="3512"/>
      <c r="P93" s="3513"/>
      <c r="Q93" s="3479"/>
      <c r="R93" s="3316"/>
      <c r="S93" s="3316"/>
      <c r="T93" s="3316"/>
      <c r="U93" s="3316"/>
      <c r="V93" s="3316"/>
      <c r="W93" s="3316"/>
      <c r="X93" s="3316"/>
      <c r="Y93" s="3316"/>
      <c r="Z93" s="3316"/>
      <c r="AA93" s="3316"/>
      <c r="AB93" s="3316"/>
      <c r="AC93" s="3316"/>
    </row>
    <row r="94" spans="1:29" ht="15.75" thickBot="1">
      <c r="A94" s="3355"/>
      <c r="B94" s="3523"/>
      <c r="C94" s="3515">
        <v>100</v>
      </c>
      <c r="D94" s="3515">
        <v>98</v>
      </c>
      <c r="E94" s="3515">
        <v>96</v>
      </c>
      <c r="F94" s="3515"/>
      <c r="G94" s="3515"/>
      <c r="H94" s="3515"/>
      <c r="I94" s="3515"/>
      <c r="J94" s="3515"/>
      <c r="K94" s="3515"/>
      <c r="L94" s="3515"/>
      <c r="M94" s="3516"/>
      <c r="N94" s="3517"/>
      <c r="O94" s="3517"/>
      <c r="P94" s="3513"/>
      <c r="Q94" s="3479"/>
      <c r="R94" s="3316"/>
      <c r="S94" s="3316"/>
      <c r="T94" s="3316"/>
      <c r="U94" s="3316"/>
      <c r="V94" s="3316"/>
      <c r="W94" s="3316"/>
      <c r="X94" s="3316"/>
      <c r="Y94" s="3316"/>
      <c r="Z94" s="3316"/>
      <c r="AA94" s="3316"/>
      <c r="AB94" s="3316"/>
      <c r="AC94" s="3316"/>
    </row>
    <row r="95" spans="1:29" ht="15.75" thickTop="1">
      <c r="A95" s="3355"/>
      <c r="B95" s="3518">
        <f>B30</f>
        <v>111</v>
      </c>
      <c r="C95" s="3534"/>
      <c r="D95" s="3534"/>
      <c r="E95" s="3534"/>
      <c r="F95" s="3534"/>
      <c r="G95" s="3519"/>
      <c r="H95" s="3519"/>
      <c r="I95" s="3519"/>
      <c r="J95" s="3519"/>
      <c r="K95" s="3520"/>
      <c r="L95" s="3521"/>
      <c r="M95" s="3522"/>
      <c r="N95" s="3512"/>
      <c r="O95" s="3512"/>
      <c r="P95" s="3513"/>
      <c r="Q95" s="3479"/>
      <c r="R95" s="3316"/>
      <c r="S95" s="3316"/>
      <c r="T95" s="3316"/>
      <c r="U95" s="3316"/>
      <c r="V95" s="3316"/>
      <c r="W95" s="3316"/>
      <c r="X95" s="3316"/>
      <c r="Y95" s="3316"/>
      <c r="Z95" s="3316"/>
      <c r="AA95" s="3316"/>
      <c r="AB95" s="3316"/>
      <c r="AC95" s="3316"/>
    </row>
    <row r="96" spans="1:29" ht="15.75" thickBot="1">
      <c r="A96" s="3355"/>
      <c r="B96" s="3523"/>
      <c r="C96" s="3541"/>
      <c r="D96" s="3541"/>
      <c r="E96" s="3541"/>
      <c r="F96" s="3541"/>
      <c r="G96" s="3515"/>
      <c r="H96" s="3515"/>
      <c r="I96" s="3515"/>
      <c r="J96" s="3515"/>
      <c r="K96" s="3515"/>
      <c r="L96" s="3515"/>
      <c r="M96" s="3516"/>
      <c r="N96" s="3517"/>
      <c r="O96" s="3517"/>
      <c r="P96" s="3513"/>
      <c r="Q96" s="3479"/>
      <c r="R96" s="3316"/>
      <c r="S96" s="3316"/>
      <c r="T96" s="3316"/>
      <c r="U96" s="3316"/>
      <c r="V96" s="3316"/>
      <c r="W96" s="3316"/>
      <c r="X96" s="3316"/>
      <c r="Y96" s="3316"/>
      <c r="Z96" s="3316"/>
      <c r="AA96" s="3316"/>
      <c r="AB96" s="3316"/>
      <c r="AC96" s="3316"/>
    </row>
    <row r="97" spans="1:29" ht="15.75" thickTop="1">
      <c r="A97" s="3355"/>
      <c r="B97" s="3518">
        <f>B31</f>
        <v>111</v>
      </c>
      <c r="C97" s="3534"/>
      <c r="D97" s="3534"/>
      <c r="E97" s="3534"/>
      <c r="F97" s="3534"/>
      <c r="G97" s="3519"/>
      <c r="H97" s="3519"/>
      <c r="I97" s="3519"/>
      <c r="J97" s="3519"/>
      <c r="K97" s="3520"/>
      <c r="L97" s="3521"/>
      <c r="M97" s="3522"/>
      <c r="N97" s="3512"/>
      <c r="O97" s="3512"/>
      <c r="P97" s="3513"/>
      <c r="Q97" s="3479"/>
      <c r="R97" s="3316"/>
      <c r="S97" s="3316"/>
      <c r="T97" s="3316"/>
      <c r="U97" s="3316"/>
      <c r="V97" s="3316"/>
      <c r="W97" s="3316"/>
      <c r="X97" s="3316"/>
      <c r="Y97" s="3316"/>
      <c r="Z97" s="3316"/>
      <c r="AA97" s="3316"/>
      <c r="AB97" s="3316"/>
      <c r="AC97" s="3316"/>
    </row>
    <row r="98" spans="1:29" ht="15.75" thickBot="1">
      <c r="A98" s="3355"/>
      <c r="B98" s="3523"/>
      <c r="C98" s="3541"/>
      <c r="D98" s="3515"/>
      <c r="E98" s="3515"/>
      <c r="F98" s="3515"/>
      <c r="G98" s="3515"/>
      <c r="H98" s="3515"/>
      <c r="I98" s="3515"/>
      <c r="J98" s="3515"/>
      <c r="K98" s="3515"/>
      <c r="L98" s="3515"/>
      <c r="M98" s="3516"/>
      <c r="N98" s="3517"/>
      <c r="O98" s="3517"/>
      <c r="P98" s="3513"/>
      <c r="Q98" s="3479"/>
      <c r="R98" s="3316"/>
      <c r="S98" s="3316"/>
      <c r="T98" s="3316"/>
      <c r="U98" s="3316"/>
      <c r="V98" s="3316"/>
      <c r="W98" s="3316"/>
      <c r="X98" s="3316"/>
      <c r="Y98" s="3316"/>
      <c r="Z98" s="3316"/>
      <c r="AA98" s="3316"/>
      <c r="AB98" s="3316"/>
      <c r="AC98" s="3316"/>
    </row>
    <row r="99" spans="1:29" ht="15.75" thickTop="1">
      <c r="A99" s="3355"/>
      <c r="B99" s="3524">
        <f>B32</f>
        <v>111</v>
      </c>
      <c r="C99" s="3499"/>
      <c r="D99" s="3499"/>
      <c r="E99" s="3499"/>
      <c r="F99" s="3499"/>
      <c r="G99" s="3570"/>
      <c r="H99" s="3570"/>
      <c r="I99" s="3570"/>
      <c r="J99" s="3570"/>
      <c r="K99" s="3571"/>
      <c r="L99" s="3572"/>
      <c r="M99" s="3573"/>
      <c r="N99" s="3512"/>
      <c r="O99" s="3512"/>
      <c r="P99" s="3513"/>
      <c r="Q99" s="3479"/>
      <c r="R99" s="3316"/>
      <c r="S99" s="3316"/>
      <c r="T99" s="3316"/>
      <c r="U99" s="3316"/>
      <c r="V99" s="3316"/>
      <c r="W99" s="3316"/>
      <c r="X99" s="3316"/>
      <c r="Y99" s="3316"/>
      <c r="Z99" s="3316"/>
      <c r="AA99" s="3316"/>
      <c r="AB99" s="3316"/>
      <c r="AC99" s="3316"/>
    </row>
    <row r="100" spans="1:29" ht="15.75" thickBot="1">
      <c r="A100" s="3369"/>
      <c r="B100" s="3551"/>
      <c r="C100" s="3552"/>
      <c r="D100" s="3552"/>
      <c r="E100" s="3552"/>
      <c r="F100" s="3552"/>
      <c r="G100" s="3574"/>
      <c r="H100" s="3574"/>
      <c r="I100" s="3574"/>
      <c r="J100" s="3574"/>
      <c r="K100" s="3574"/>
      <c r="L100" s="3574"/>
      <c r="M100" s="3575"/>
      <c r="N100" s="3517"/>
      <c r="O100" s="3517"/>
      <c r="P100" s="3513"/>
      <c r="Q100" s="3479"/>
      <c r="R100" s="3316"/>
      <c r="S100" s="3316"/>
      <c r="T100" s="3316"/>
      <c r="U100" s="3316"/>
      <c r="V100" s="3316"/>
      <c r="W100" s="3316"/>
      <c r="X100" s="3316"/>
      <c r="Y100" s="3316"/>
      <c r="Z100" s="3316"/>
      <c r="AA100" s="3316"/>
      <c r="AB100" s="3316"/>
      <c r="AC100" s="3316"/>
    </row>
    <row r="101" spans="1:29">
      <c r="A101" s="3374" t="s">
        <v>1694</v>
      </c>
      <c r="B101" s="3506" t="s">
        <v>1736</v>
      </c>
      <c r="C101" s="3508"/>
      <c r="D101" s="3508"/>
      <c r="E101" s="3508"/>
      <c r="F101" s="3508"/>
      <c r="G101" s="3508"/>
      <c r="H101" s="3508"/>
      <c r="I101" s="3508"/>
      <c r="J101" s="3508"/>
      <c r="K101" s="3509"/>
      <c r="L101" s="3510"/>
      <c r="M101" s="3511"/>
      <c r="N101" s="3512"/>
      <c r="O101" s="3512"/>
      <c r="P101" s="3513"/>
      <c r="Q101" s="3479"/>
      <c r="R101" s="3316"/>
      <c r="S101" s="3316"/>
      <c r="T101" s="3316"/>
      <c r="U101" s="3316"/>
      <c r="V101" s="3316"/>
      <c r="W101" s="3316"/>
      <c r="X101" s="3316"/>
      <c r="Y101" s="3316"/>
      <c r="Z101" s="3316"/>
      <c r="AA101" s="3316"/>
      <c r="AB101" s="3316"/>
      <c r="AC101" s="3316"/>
    </row>
    <row r="102" spans="1:29" ht="15.75" thickBot="1">
      <c r="A102" s="3355"/>
      <c r="B102" s="3523"/>
      <c r="C102" s="3531">
        <v>100</v>
      </c>
      <c r="D102" s="3531">
        <f t="shared" ref="D102:M102" si="22">C102-$K33</f>
        <v>100</v>
      </c>
      <c r="E102" s="3531">
        <f t="shared" si="22"/>
        <v>100</v>
      </c>
      <c r="F102" s="3531">
        <f t="shared" si="22"/>
        <v>100</v>
      </c>
      <c r="G102" s="3531">
        <f t="shared" si="22"/>
        <v>100</v>
      </c>
      <c r="H102" s="3531">
        <f t="shared" si="22"/>
        <v>100</v>
      </c>
      <c r="I102" s="3531">
        <f t="shared" si="22"/>
        <v>100</v>
      </c>
      <c r="J102" s="3531">
        <f t="shared" si="22"/>
        <v>100</v>
      </c>
      <c r="K102" s="3531">
        <f t="shared" si="22"/>
        <v>100</v>
      </c>
      <c r="L102" s="3531">
        <f t="shared" si="22"/>
        <v>100</v>
      </c>
      <c r="M102" s="3532">
        <f t="shared" si="22"/>
        <v>100</v>
      </c>
      <c r="N102" s="3517"/>
      <c r="O102" s="3517"/>
      <c r="P102" s="3513"/>
      <c r="Q102" s="3479"/>
      <c r="R102" s="3316"/>
      <c r="S102" s="3316"/>
      <c r="T102" s="3316"/>
      <c r="U102" s="3316"/>
      <c r="V102" s="3316"/>
      <c r="W102" s="3316"/>
      <c r="X102" s="3316"/>
      <c r="Y102" s="3316"/>
      <c r="Z102" s="3316"/>
      <c r="AA102" s="3316"/>
      <c r="AB102" s="3316"/>
      <c r="AC102" s="3316"/>
    </row>
    <row r="103" spans="1:29" ht="29.25" thickTop="1">
      <c r="A103" s="3355"/>
      <c r="B103" s="3518" t="s">
        <v>1737</v>
      </c>
      <c r="C103" s="3560" t="str">
        <f>C104&amp;"(含)"&amp;"-"&amp;D104</f>
        <v>0(含)-1000</v>
      </c>
      <c r="D103" s="3560" t="str">
        <f t="shared" ref="D103:L103" si="23">D104&amp;"(含)"&amp;"-"&amp;E104</f>
        <v>1000(含)-2000</v>
      </c>
      <c r="E103" s="3560" t="str">
        <f t="shared" si="23"/>
        <v>2000(含)-3000</v>
      </c>
      <c r="F103" s="3560" t="str">
        <f t="shared" si="23"/>
        <v>3000(含)-4000</v>
      </c>
      <c r="G103" s="3560" t="str">
        <f t="shared" si="23"/>
        <v>4000(含)-5000</v>
      </c>
      <c r="H103" s="3560" t="str">
        <f t="shared" si="23"/>
        <v>5000(含)-</v>
      </c>
      <c r="I103" s="3560" t="str">
        <f t="shared" si="23"/>
        <v>(含)-</v>
      </c>
      <c r="J103" s="3560" t="str">
        <f t="shared" si="23"/>
        <v>(含)-</v>
      </c>
      <c r="K103" s="3560" t="str">
        <f t="shared" si="23"/>
        <v>(含)-</v>
      </c>
      <c r="L103" s="3560" t="str">
        <f t="shared" si="23"/>
        <v>(含)-</v>
      </c>
      <c r="M103" s="3576" t="str">
        <f>M104&amp;"(含)"&amp;"-"&amp;P104</f>
        <v>(含)-</v>
      </c>
      <c r="N103" s="3502"/>
      <c r="O103" s="3502"/>
      <c r="P103" s="3513"/>
      <c r="Q103" s="3479"/>
      <c r="R103" s="3316"/>
      <c r="S103" s="3316"/>
      <c r="T103" s="3316"/>
      <c r="U103" s="3316"/>
      <c r="V103" s="3316"/>
      <c r="W103" s="3316"/>
      <c r="X103" s="3316"/>
      <c r="Y103" s="3316"/>
      <c r="Z103" s="3316"/>
      <c r="AA103" s="3316"/>
      <c r="AB103" s="3316"/>
      <c r="AC103" s="3316"/>
    </row>
    <row r="104" spans="1:29" s="3422" customFormat="1">
      <c r="A104" s="3414"/>
      <c r="B104" s="3577"/>
      <c r="C104" s="3578">
        <v>0</v>
      </c>
      <c r="D104" s="3578">
        <v>1000</v>
      </c>
      <c r="E104" s="3578">
        <v>2000</v>
      </c>
      <c r="F104" s="3578">
        <v>3000</v>
      </c>
      <c r="G104" s="3578">
        <v>4000</v>
      </c>
      <c r="H104" s="3578">
        <v>5000</v>
      </c>
      <c r="I104" s="3578"/>
      <c r="J104" s="3579"/>
      <c r="K104" s="3579"/>
      <c r="L104" s="3580"/>
      <c r="M104" s="3581"/>
      <c r="N104" s="3538"/>
      <c r="O104" s="3538"/>
      <c r="P104" s="3539"/>
      <c r="Q104" s="3540"/>
      <c r="R104" s="3416"/>
      <c r="S104" s="3416"/>
      <c r="T104" s="3416"/>
      <c r="U104" s="3416"/>
      <c r="V104" s="3416"/>
      <c r="W104" s="3416"/>
      <c r="X104" s="3416"/>
      <c r="Y104" s="3416"/>
      <c r="Z104" s="3416"/>
      <c r="AA104" s="3416"/>
      <c r="AB104" s="3416"/>
      <c r="AC104" s="3416"/>
    </row>
    <row r="105" spans="1:29" s="3422" customFormat="1" ht="15.75" thickBot="1">
      <c r="A105" s="3533"/>
      <c r="B105" s="3523"/>
      <c r="C105" s="3541">
        <v>100</v>
      </c>
      <c r="D105" s="3515">
        <v>98</v>
      </c>
      <c r="E105" s="3515">
        <v>96</v>
      </c>
      <c r="F105" s="3515">
        <v>94</v>
      </c>
      <c r="G105" s="3515">
        <v>92</v>
      </c>
      <c r="H105" s="3515">
        <v>90</v>
      </c>
      <c r="I105" s="3515"/>
      <c r="J105" s="3515"/>
      <c r="K105" s="3515"/>
      <c r="L105" s="3515"/>
      <c r="M105" s="3516"/>
      <c r="N105" s="3517"/>
      <c r="O105" s="3517"/>
      <c r="P105" s="3539"/>
      <c r="Q105" s="3540"/>
      <c r="R105" s="3416"/>
      <c r="S105" s="3416"/>
      <c r="T105" s="3416"/>
      <c r="U105" s="3416"/>
      <c r="V105" s="3416"/>
      <c r="W105" s="3416"/>
      <c r="X105" s="3416"/>
      <c r="Y105" s="3416"/>
      <c r="Z105" s="3416"/>
      <c r="AA105" s="3416"/>
      <c r="AB105" s="3416"/>
      <c r="AC105" s="3416"/>
    </row>
    <row r="106" spans="1:29" ht="15" thickTop="1">
      <c r="A106" s="3423"/>
      <c r="B106" s="3518" t="s">
        <v>1738</v>
      </c>
      <c r="C106" s="3582" t="s">
        <v>3755</v>
      </c>
      <c r="D106" s="3534"/>
      <c r="E106" s="3519"/>
      <c r="F106" s="3519"/>
      <c r="G106" s="3519"/>
      <c r="H106" s="3519"/>
      <c r="I106" s="3519"/>
      <c r="J106" s="3519"/>
      <c r="K106" s="3520"/>
      <c r="L106" s="3521"/>
      <c r="M106" s="3522"/>
      <c r="N106" s="3512"/>
      <c r="O106" s="3512"/>
      <c r="P106" s="3513"/>
      <c r="Q106" s="3479"/>
      <c r="R106" s="3316"/>
      <c r="S106" s="3316"/>
      <c r="T106" s="3316"/>
      <c r="U106" s="3316"/>
      <c r="V106" s="3316"/>
      <c r="W106" s="3316"/>
      <c r="X106" s="3316"/>
      <c r="Y106" s="3316"/>
      <c r="Z106" s="3316"/>
      <c r="AA106" s="3316"/>
      <c r="AB106" s="3316"/>
      <c r="AC106" s="3316"/>
    </row>
    <row r="107" spans="1:29" ht="15.75" thickBot="1">
      <c r="A107" s="3355"/>
      <c r="B107" s="3523"/>
      <c r="C107" s="3531">
        <v>100</v>
      </c>
      <c r="D107" s="3531">
        <f t="shared" ref="D107:M107" si="24">C107-$K35</f>
        <v>100</v>
      </c>
      <c r="E107" s="3531">
        <f t="shared" si="24"/>
        <v>100</v>
      </c>
      <c r="F107" s="3531">
        <f t="shared" si="24"/>
        <v>100</v>
      </c>
      <c r="G107" s="3531">
        <f t="shared" si="24"/>
        <v>100</v>
      </c>
      <c r="H107" s="3531">
        <f t="shared" si="24"/>
        <v>100</v>
      </c>
      <c r="I107" s="3531">
        <f t="shared" si="24"/>
        <v>100</v>
      </c>
      <c r="J107" s="3531">
        <f t="shared" si="24"/>
        <v>100</v>
      </c>
      <c r="K107" s="3531">
        <f t="shared" si="24"/>
        <v>100</v>
      </c>
      <c r="L107" s="3531">
        <f t="shared" si="24"/>
        <v>100</v>
      </c>
      <c r="M107" s="3532">
        <f t="shared" si="24"/>
        <v>100</v>
      </c>
      <c r="N107" s="3517"/>
      <c r="O107" s="3517"/>
      <c r="P107" s="3513"/>
      <c r="Q107" s="3479"/>
      <c r="R107" s="3316"/>
      <c r="S107" s="3316"/>
      <c r="T107" s="3316"/>
      <c r="U107" s="3316"/>
      <c r="V107" s="3316"/>
      <c r="W107" s="3316"/>
      <c r="X107" s="3316"/>
      <c r="Y107" s="3316"/>
      <c r="Z107" s="3316"/>
      <c r="AA107" s="3316"/>
      <c r="AB107" s="3316"/>
      <c r="AC107" s="3316"/>
    </row>
    <row r="108" spans="1:29" ht="15" thickTop="1">
      <c r="A108" s="3423"/>
      <c r="B108" s="3518" t="s">
        <v>1740</v>
      </c>
      <c r="C108" s="3582" t="s">
        <v>3756</v>
      </c>
      <c r="D108" s="3534"/>
      <c r="E108" s="3534"/>
      <c r="F108" s="3519"/>
      <c r="G108" s="3519"/>
      <c r="H108" s="3519"/>
      <c r="I108" s="3519"/>
      <c r="J108" s="3519"/>
      <c r="K108" s="3520"/>
      <c r="L108" s="3521"/>
      <c r="M108" s="3522"/>
      <c r="N108" s="3512"/>
      <c r="O108" s="3512"/>
      <c r="P108" s="3513"/>
      <c r="Q108" s="3479"/>
      <c r="R108" s="3316"/>
      <c r="S108" s="3316"/>
      <c r="T108" s="3316"/>
      <c r="U108" s="3316"/>
      <c r="V108" s="3316"/>
      <c r="W108" s="3316"/>
      <c r="X108" s="3316"/>
      <c r="Y108" s="3316"/>
      <c r="Z108" s="3316"/>
      <c r="AA108" s="3316"/>
      <c r="AB108" s="3316"/>
      <c r="AC108" s="3316"/>
    </row>
    <row r="109" spans="1:29" ht="15.75" thickBot="1">
      <c r="A109" s="3355"/>
      <c r="B109" s="3523"/>
      <c r="C109" s="3531">
        <v>100</v>
      </c>
      <c r="D109" s="3531">
        <f t="shared" ref="D109:M109" si="25">C109-$K36</f>
        <v>100</v>
      </c>
      <c r="E109" s="3531">
        <f t="shared" si="25"/>
        <v>100</v>
      </c>
      <c r="F109" s="3531">
        <f t="shared" si="25"/>
        <v>100</v>
      </c>
      <c r="G109" s="3531">
        <f t="shared" si="25"/>
        <v>100</v>
      </c>
      <c r="H109" s="3531">
        <f t="shared" si="25"/>
        <v>100</v>
      </c>
      <c r="I109" s="3531">
        <f t="shared" si="25"/>
        <v>100</v>
      </c>
      <c r="J109" s="3531">
        <f t="shared" si="25"/>
        <v>100</v>
      </c>
      <c r="K109" s="3531">
        <f t="shared" si="25"/>
        <v>100</v>
      </c>
      <c r="L109" s="3531">
        <f t="shared" si="25"/>
        <v>100</v>
      </c>
      <c r="M109" s="3532">
        <f t="shared" si="25"/>
        <v>100</v>
      </c>
      <c r="N109" s="3517"/>
      <c r="O109" s="3517"/>
      <c r="P109" s="3513"/>
      <c r="Q109" s="3479"/>
      <c r="R109" s="3316"/>
      <c r="S109" s="3316"/>
      <c r="T109" s="3316"/>
      <c r="U109" s="3316"/>
      <c r="V109" s="3316"/>
      <c r="W109" s="3316"/>
      <c r="X109" s="3316"/>
      <c r="Y109" s="3316"/>
      <c r="Z109" s="3316"/>
      <c r="AA109" s="3316"/>
      <c r="AB109" s="3316"/>
      <c r="AC109" s="3316"/>
    </row>
    <row r="110" spans="1:29" ht="15" thickTop="1">
      <c r="A110" s="3423"/>
      <c r="B110" s="3518" t="s">
        <v>1190</v>
      </c>
      <c r="C110" s="3560" t="str">
        <f>C111&amp;"(含)"&amp;"-"&amp;D111</f>
        <v>0.5(含)-0.6</v>
      </c>
      <c r="D110" s="3560" t="str">
        <f>D111&amp;"(含)"&amp;"-"&amp;E111</f>
        <v>0.6(含)-0.7</v>
      </c>
      <c r="E110" s="3560" t="str">
        <f>E111&amp;"(含)"&amp;"-"&amp;F111</f>
        <v>0.7(含)-0.8</v>
      </c>
      <c r="F110" s="3560" t="str">
        <f>F111&amp;"(含)"&amp;"-"&amp;G111</f>
        <v>0.8(含)-0.9</v>
      </c>
      <c r="G110" s="3560" t="str">
        <f>G111&amp;"(含)"&amp;"-"&amp;ROUND(H111,0)&amp;"(含)"</f>
        <v>0.9(含)-1(含)</v>
      </c>
      <c r="H110" s="3560"/>
      <c r="I110" s="3519"/>
      <c r="J110" s="3519"/>
      <c r="K110" s="3520"/>
      <c r="L110" s="3521"/>
      <c r="M110" s="3522"/>
      <c r="N110" s="3512"/>
      <c r="O110" s="3512"/>
      <c r="P110" s="3513"/>
      <c r="Q110" s="3479"/>
      <c r="R110" s="3316"/>
      <c r="S110" s="3316"/>
      <c r="T110" s="3316"/>
      <c r="U110" s="3316"/>
      <c r="V110" s="3316"/>
      <c r="W110" s="3316"/>
      <c r="X110" s="3316"/>
      <c r="Y110" s="3316"/>
      <c r="Z110" s="3316"/>
      <c r="AA110" s="3316"/>
      <c r="AB110" s="3316"/>
      <c r="AC110" s="3316"/>
    </row>
    <row r="111" spans="1:29">
      <c r="A111" s="3423"/>
      <c r="B111" s="3524"/>
      <c r="C111" s="3346">
        <v>0.5</v>
      </c>
      <c r="D111" s="3346">
        <v>0.6</v>
      </c>
      <c r="E111" s="3346">
        <v>0.7</v>
      </c>
      <c r="F111" s="3346">
        <v>0.8</v>
      </c>
      <c r="G111" s="3346">
        <v>0.9</v>
      </c>
      <c r="H111" s="3346">
        <v>1.0001</v>
      </c>
      <c r="I111" s="3583"/>
      <c r="J111" s="3583"/>
      <c r="K111" s="3584"/>
      <c r="L111" s="3585"/>
      <c r="M111" s="3586"/>
      <c r="N111" s="3512"/>
      <c r="O111" s="3512"/>
      <c r="P111" s="3513"/>
      <c r="Q111" s="3479"/>
      <c r="R111" s="3316"/>
      <c r="S111" s="3316"/>
      <c r="T111" s="3316"/>
      <c r="U111" s="3316"/>
      <c r="V111" s="3316"/>
      <c r="W111" s="3316"/>
      <c r="X111" s="3316"/>
      <c r="Y111" s="3316"/>
      <c r="Z111" s="3316"/>
      <c r="AA111" s="3316"/>
      <c r="AB111" s="3316"/>
      <c r="AC111" s="3316"/>
    </row>
    <row r="112" spans="1:29" ht="15.75" thickBot="1">
      <c r="A112" s="3355"/>
      <c r="B112" s="3523"/>
      <c r="C112" s="3568">
        <v>100</v>
      </c>
      <c r="D112" s="3531">
        <f>C112+$K37</f>
        <v>100</v>
      </c>
      <c r="E112" s="3531">
        <f t="shared" ref="E112:M112" si="26">D112+$K37</f>
        <v>100</v>
      </c>
      <c r="F112" s="3531">
        <f t="shared" si="26"/>
        <v>100</v>
      </c>
      <c r="G112" s="3531">
        <f t="shared" si="26"/>
        <v>100</v>
      </c>
      <c r="H112" s="3531">
        <f t="shared" si="26"/>
        <v>100</v>
      </c>
      <c r="I112" s="3531">
        <f t="shared" si="26"/>
        <v>100</v>
      </c>
      <c r="J112" s="3531">
        <f t="shared" si="26"/>
        <v>100</v>
      </c>
      <c r="K112" s="3531">
        <f t="shared" si="26"/>
        <v>100</v>
      </c>
      <c r="L112" s="3531">
        <f t="shared" si="26"/>
        <v>100</v>
      </c>
      <c r="M112" s="3531">
        <f t="shared" si="26"/>
        <v>100</v>
      </c>
      <c r="N112" s="3517"/>
      <c r="O112" s="3517"/>
      <c r="P112" s="3513"/>
      <c r="Q112" s="3479"/>
      <c r="R112" s="3316"/>
      <c r="S112" s="3316"/>
      <c r="T112" s="3316"/>
      <c r="U112" s="3316"/>
      <c r="V112" s="3316"/>
      <c r="W112" s="3316"/>
      <c r="X112" s="3316"/>
      <c r="Y112" s="3316"/>
      <c r="Z112" s="3316"/>
      <c r="AA112" s="3316"/>
      <c r="AB112" s="3316"/>
      <c r="AC112" s="3316"/>
    </row>
    <row r="113" spans="1:29" s="3422" customFormat="1" ht="15" thickTop="1">
      <c r="A113" s="3414"/>
      <c r="B113" s="3518" t="s">
        <v>1824</v>
      </c>
      <c r="C113" s="3582" t="s">
        <v>3757</v>
      </c>
      <c r="D113" s="3534"/>
      <c r="E113" s="3534"/>
      <c r="F113" s="3534"/>
      <c r="G113" s="3534"/>
      <c r="H113" s="3519"/>
      <c r="I113" s="3519"/>
      <c r="J113" s="3519"/>
      <c r="K113" s="3520"/>
      <c r="L113" s="3521"/>
      <c r="M113" s="3522"/>
      <c r="N113" s="3538"/>
      <c r="O113" s="3538"/>
      <c r="P113" s="3539"/>
      <c r="Q113" s="3540"/>
      <c r="R113" s="3416"/>
      <c r="S113" s="3416"/>
      <c r="T113" s="3416"/>
      <c r="U113" s="3416"/>
      <c r="V113" s="3416"/>
      <c r="W113" s="3416"/>
      <c r="X113" s="3416"/>
      <c r="Y113" s="3416"/>
      <c r="Z113" s="3416"/>
      <c r="AA113" s="3416"/>
      <c r="AB113" s="3416"/>
      <c r="AC113" s="3416"/>
    </row>
    <row r="114" spans="1:29" s="3422" customFormat="1" ht="15.75" thickBot="1">
      <c r="A114" s="3533"/>
      <c r="B114" s="3523"/>
      <c r="C114" s="3531">
        <v>100</v>
      </c>
      <c r="D114" s="3531">
        <f>C114-$K38</f>
        <v>100</v>
      </c>
      <c r="E114" s="3531">
        <f t="shared" ref="E114:M114" si="27">D114-$K38</f>
        <v>100</v>
      </c>
      <c r="F114" s="3531">
        <f t="shared" si="27"/>
        <v>100</v>
      </c>
      <c r="G114" s="3531">
        <f t="shared" si="27"/>
        <v>100</v>
      </c>
      <c r="H114" s="3531">
        <f t="shared" si="27"/>
        <v>100</v>
      </c>
      <c r="I114" s="3531">
        <f t="shared" si="27"/>
        <v>100</v>
      </c>
      <c r="J114" s="3531">
        <f t="shared" si="27"/>
        <v>100</v>
      </c>
      <c r="K114" s="3531">
        <f t="shared" si="27"/>
        <v>100</v>
      </c>
      <c r="L114" s="3531">
        <f t="shared" si="27"/>
        <v>100</v>
      </c>
      <c r="M114" s="3531">
        <f t="shared" si="27"/>
        <v>100</v>
      </c>
      <c r="N114" s="3538"/>
      <c r="O114" s="3538"/>
      <c r="P114" s="3539"/>
      <c r="Q114" s="3540"/>
      <c r="R114" s="3416"/>
      <c r="S114" s="3416"/>
      <c r="T114" s="3416"/>
      <c r="U114" s="3416"/>
      <c r="V114" s="3416"/>
      <c r="W114" s="3416"/>
      <c r="X114" s="3416"/>
      <c r="Y114" s="3416"/>
      <c r="Z114" s="3416"/>
      <c r="AA114" s="3416"/>
      <c r="AB114" s="3416"/>
      <c r="AC114" s="3416"/>
    </row>
    <row r="115" spans="1:29" ht="15" thickTop="1">
      <c r="A115" s="3423"/>
      <c r="B115" s="3518" t="s">
        <v>1741</v>
      </c>
      <c r="C115" s="3582" t="s">
        <v>3758</v>
      </c>
      <c r="D115" s="3534"/>
      <c r="E115" s="3519"/>
      <c r="F115" s="3519"/>
      <c r="G115" s="3519"/>
      <c r="H115" s="3519"/>
      <c r="I115" s="3519"/>
      <c r="J115" s="3519"/>
      <c r="K115" s="3520"/>
      <c r="L115" s="3521"/>
      <c r="M115" s="3522"/>
      <c r="N115" s="3512"/>
      <c r="O115" s="3512"/>
      <c r="P115" s="3513"/>
      <c r="Q115" s="3479"/>
      <c r="R115" s="3316"/>
      <c r="S115" s="3316"/>
      <c r="T115" s="3316"/>
      <c r="U115" s="3316"/>
      <c r="V115" s="3316"/>
      <c r="W115" s="3316"/>
      <c r="X115" s="3316"/>
      <c r="Y115" s="3316"/>
      <c r="Z115" s="3316"/>
      <c r="AA115" s="3316"/>
      <c r="AB115" s="3316"/>
      <c r="AC115" s="3316"/>
    </row>
    <row r="116" spans="1:29" ht="15.75" thickBot="1">
      <c r="A116" s="3355"/>
      <c r="B116" s="3523"/>
      <c r="C116" s="3531">
        <v>100</v>
      </c>
      <c r="D116" s="3531">
        <f t="shared" ref="D116:M116" si="28">C116-$K39</f>
        <v>100</v>
      </c>
      <c r="E116" s="3531">
        <f t="shared" si="28"/>
        <v>100</v>
      </c>
      <c r="F116" s="3531">
        <f t="shared" si="28"/>
        <v>100</v>
      </c>
      <c r="G116" s="3531">
        <f t="shared" si="28"/>
        <v>100</v>
      </c>
      <c r="H116" s="3531">
        <f t="shared" si="28"/>
        <v>100</v>
      </c>
      <c r="I116" s="3531">
        <f t="shared" si="28"/>
        <v>100</v>
      </c>
      <c r="J116" s="3531">
        <f t="shared" si="28"/>
        <v>100</v>
      </c>
      <c r="K116" s="3531">
        <f t="shared" si="28"/>
        <v>100</v>
      </c>
      <c r="L116" s="3531">
        <f t="shared" si="28"/>
        <v>100</v>
      </c>
      <c r="M116" s="3532">
        <f t="shared" si="28"/>
        <v>100</v>
      </c>
      <c r="N116" s="3517"/>
      <c r="O116" s="3517"/>
      <c r="P116" s="3513"/>
      <c r="Q116" s="3479"/>
      <c r="R116" s="3316"/>
      <c r="S116" s="3316"/>
      <c r="T116" s="3316"/>
      <c r="U116" s="3316"/>
      <c r="V116" s="3316"/>
      <c r="W116" s="3316"/>
      <c r="X116" s="3316"/>
      <c r="Y116" s="3316"/>
      <c r="Z116" s="3316"/>
      <c r="AA116" s="3316"/>
      <c r="AB116" s="3316"/>
      <c r="AC116" s="3316"/>
    </row>
    <row r="117" spans="1:29" ht="15" thickTop="1">
      <c r="A117" s="3423"/>
      <c r="B117" s="3518" t="s">
        <v>1742</v>
      </c>
      <c r="C117" s="3582" t="s">
        <v>3759</v>
      </c>
      <c r="D117" s="3582" t="s">
        <v>3760</v>
      </c>
      <c r="E117" s="3582" t="s">
        <v>3761</v>
      </c>
      <c r="F117" s="3534"/>
      <c r="G117" s="3534"/>
      <c r="H117" s="3519"/>
      <c r="I117" s="3519"/>
      <c r="J117" s="3519"/>
      <c r="K117" s="3520"/>
      <c r="L117" s="3521"/>
      <c r="M117" s="3522"/>
      <c r="N117" s="3512"/>
      <c r="O117" s="3512"/>
      <c r="P117" s="3513"/>
      <c r="Q117" s="3479"/>
      <c r="R117" s="3316"/>
      <c r="S117" s="3316"/>
      <c r="T117" s="3316"/>
      <c r="U117" s="3316"/>
      <c r="V117" s="3316"/>
      <c r="W117" s="3316"/>
      <c r="X117" s="3316"/>
      <c r="Y117" s="3316"/>
      <c r="Z117" s="3316"/>
      <c r="AA117" s="3316"/>
      <c r="AB117" s="3316"/>
      <c r="AC117" s="3316"/>
    </row>
    <row r="118" spans="1:29" ht="15.75" thickBot="1">
      <c r="A118" s="3355"/>
      <c r="B118" s="3523"/>
      <c r="C118" s="3531">
        <v>100</v>
      </c>
      <c r="D118" s="3531">
        <f>C118-$K40</f>
        <v>100</v>
      </c>
      <c r="E118" s="3531">
        <f>D118-$K40</f>
        <v>100</v>
      </c>
      <c r="F118" s="3531">
        <f>E118-$K40</f>
        <v>100</v>
      </c>
      <c r="G118" s="3531">
        <f>F118-$K40</f>
        <v>100</v>
      </c>
      <c r="H118" s="3531"/>
      <c r="I118" s="3531"/>
      <c r="J118" s="3531"/>
      <c r="K118" s="3531"/>
      <c r="L118" s="3531"/>
      <c r="M118" s="3532"/>
      <c r="N118" s="3517"/>
      <c r="O118" s="3517"/>
      <c r="P118" s="3513"/>
      <c r="Q118" s="3479"/>
      <c r="R118" s="3316"/>
      <c r="S118" s="3316"/>
      <c r="T118" s="3316"/>
      <c r="U118" s="3316"/>
      <c r="V118" s="3316"/>
      <c r="W118" s="3316"/>
      <c r="X118" s="3316"/>
      <c r="Y118" s="3316"/>
      <c r="Z118" s="3316"/>
      <c r="AA118" s="3316"/>
      <c r="AB118" s="3316"/>
      <c r="AC118" s="3316"/>
    </row>
    <row r="119" spans="1:29" ht="15" thickTop="1">
      <c r="A119" s="3423"/>
      <c r="B119" s="3587" t="s">
        <v>1825</v>
      </c>
      <c r="C119" s="3519"/>
      <c r="D119" s="3519"/>
      <c r="E119" s="3519"/>
      <c r="F119" s="3519"/>
      <c r="G119" s="3519"/>
      <c r="H119" s="3519"/>
      <c r="I119" s="3519"/>
      <c r="J119" s="3519"/>
      <c r="K119" s="3519"/>
      <c r="L119" s="3588"/>
      <c r="M119" s="3589"/>
      <c r="N119" s="3517"/>
      <c r="O119" s="3517"/>
      <c r="P119" s="3590"/>
      <c r="Q119" s="3591"/>
      <c r="R119" s="3316"/>
      <c r="S119" s="3316"/>
      <c r="T119" s="3316"/>
      <c r="U119" s="3316"/>
      <c r="V119" s="3316"/>
      <c r="W119" s="3316"/>
      <c r="X119" s="3316"/>
      <c r="Y119" s="3316"/>
      <c r="Z119" s="3316"/>
      <c r="AA119" s="3316"/>
      <c r="AB119" s="3316"/>
      <c r="AC119" s="3316"/>
    </row>
    <row r="120" spans="1:29" ht="15.75" thickBot="1">
      <c r="A120" s="3355"/>
      <c r="B120" s="3523"/>
      <c r="C120" s="3568">
        <v>100</v>
      </c>
      <c r="D120" s="3531">
        <f>C120-$K41</f>
        <v>100</v>
      </c>
      <c r="E120" s="3531">
        <f t="shared" ref="E120:M120" si="29">D120-$K41</f>
        <v>100</v>
      </c>
      <c r="F120" s="3531">
        <f t="shared" si="29"/>
        <v>100</v>
      </c>
      <c r="G120" s="3531">
        <f t="shared" si="29"/>
        <v>100</v>
      </c>
      <c r="H120" s="3531">
        <f t="shared" si="29"/>
        <v>100</v>
      </c>
      <c r="I120" s="3531">
        <f t="shared" si="29"/>
        <v>100</v>
      </c>
      <c r="J120" s="3531">
        <f t="shared" si="29"/>
        <v>100</v>
      </c>
      <c r="K120" s="3531">
        <f t="shared" si="29"/>
        <v>100</v>
      </c>
      <c r="L120" s="3531">
        <f t="shared" si="29"/>
        <v>100</v>
      </c>
      <c r="M120" s="3531">
        <f t="shared" si="29"/>
        <v>100</v>
      </c>
      <c r="N120" s="3517"/>
      <c r="O120" s="3517"/>
      <c r="P120" s="3513"/>
      <c r="Q120" s="3479"/>
      <c r="R120" s="3316"/>
      <c r="S120" s="3316"/>
      <c r="T120" s="3316"/>
      <c r="U120" s="3316"/>
      <c r="V120" s="3316"/>
      <c r="W120" s="3316"/>
      <c r="X120" s="3316"/>
      <c r="Y120" s="3316"/>
      <c r="Z120" s="3316"/>
      <c r="AA120" s="3316"/>
      <c r="AB120" s="3316"/>
      <c r="AC120" s="3316"/>
    </row>
    <row r="121" spans="1:29" s="3422" customFormat="1" ht="15" thickTop="1">
      <c r="A121" s="3414"/>
      <c r="B121" s="3518" t="s">
        <v>1808</v>
      </c>
      <c r="C121" s="3534"/>
      <c r="D121" s="3534"/>
      <c r="E121" s="3534"/>
      <c r="F121" s="3519"/>
      <c r="G121" s="3535"/>
      <c r="H121" s="3535"/>
      <c r="I121" s="3535"/>
      <c r="J121" s="3535"/>
      <c r="K121" s="3535"/>
      <c r="L121" s="3536"/>
      <c r="M121" s="3537"/>
      <c r="N121" s="3538"/>
      <c r="O121" s="3538"/>
      <c r="P121" s="3539"/>
      <c r="Q121" s="3540"/>
      <c r="R121" s="3416"/>
      <c r="S121" s="3416"/>
      <c r="T121" s="3416"/>
      <c r="U121" s="3416"/>
      <c r="V121" s="3416"/>
      <c r="W121" s="3416"/>
      <c r="X121" s="3416"/>
      <c r="Y121" s="3416"/>
      <c r="Z121" s="3416"/>
      <c r="AA121" s="3416"/>
      <c r="AB121" s="3416"/>
      <c r="AC121" s="3416"/>
    </row>
    <row r="122" spans="1:29" s="3422" customFormat="1" ht="15.75" thickBot="1">
      <c r="A122" s="3533"/>
      <c r="B122" s="3514"/>
      <c r="C122" s="3541"/>
      <c r="D122" s="3541"/>
      <c r="E122" s="3541"/>
      <c r="F122" s="3541"/>
      <c r="G122" s="3541"/>
      <c r="H122" s="3541"/>
      <c r="I122" s="3541"/>
      <c r="J122" s="3541"/>
      <c r="K122" s="3541"/>
      <c r="L122" s="3541"/>
      <c r="M122" s="3541"/>
      <c r="N122" s="3538"/>
      <c r="O122" s="3538"/>
      <c r="P122" s="3539"/>
      <c r="Q122" s="3540"/>
      <c r="R122" s="3416"/>
      <c r="S122" s="3416"/>
      <c r="T122" s="3416"/>
      <c r="U122" s="3416"/>
      <c r="V122" s="3416"/>
      <c r="W122" s="3416"/>
      <c r="X122" s="3416"/>
      <c r="Y122" s="3416"/>
      <c r="Z122" s="3416"/>
      <c r="AA122" s="3416"/>
      <c r="AB122" s="3416"/>
      <c r="AC122" s="3416"/>
    </row>
    <row r="123" spans="1:29" ht="15" thickTop="1">
      <c r="A123" s="3423"/>
      <c r="B123" s="3518" t="s">
        <v>1744</v>
      </c>
      <c r="C123" s="3534"/>
      <c r="D123" s="3534"/>
      <c r="E123" s="3534"/>
      <c r="F123" s="3519"/>
      <c r="G123" s="3519"/>
      <c r="H123" s="3519"/>
      <c r="I123" s="3519"/>
      <c r="J123" s="3519"/>
      <c r="K123" s="3520"/>
      <c r="L123" s="3521"/>
      <c r="M123" s="3522"/>
      <c r="N123" s="3512"/>
      <c r="O123" s="3512"/>
      <c r="P123" s="3513"/>
      <c r="Q123" s="3479"/>
      <c r="R123" s="3316"/>
      <c r="S123" s="3316"/>
      <c r="T123" s="3316"/>
      <c r="U123" s="3316"/>
      <c r="V123" s="3316"/>
      <c r="W123" s="3316"/>
      <c r="X123" s="3316"/>
      <c r="Y123" s="3316"/>
      <c r="Z123" s="3316"/>
      <c r="AA123" s="3316"/>
      <c r="AB123" s="3316"/>
      <c r="AC123" s="3316"/>
    </row>
    <row r="124" spans="1:29" ht="15.75" thickBot="1">
      <c r="A124" s="3355"/>
      <c r="B124" s="3523"/>
      <c r="C124" s="3531">
        <v>100</v>
      </c>
      <c r="D124" s="3531">
        <f t="shared" ref="D124:M124" si="30">C124-$K43</f>
        <v>100</v>
      </c>
      <c r="E124" s="3531">
        <f t="shared" si="30"/>
        <v>100</v>
      </c>
      <c r="F124" s="3531">
        <f t="shared" si="30"/>
        <v>100</v>
      </c>
      <c r="G124" s="3531">
        <f t="shared" si="30"/>
        <v>100</v>
      </c>
      <c r="H124" s="3531">
        <f t="shared" si="30"/>
        <v>100</v>
      </c>
      <c r="I124" s="3531">
        <f t="shared" si="30"/>
        <v>100</v>
      </c>
      <c r="J124" s="3531">
        <f t="shared" si="30"/>
        <v>100</v>
      </c>
      <c r="K124" s="3531">
        <f t="shared" si="30"/>
        <v>100</v>
      </c>
      <c r="L124" s="3531">
        <f t="shared" si="30"/>
        <v>100</v>
      </c>
      <c r="M124" s="3532">
        <f t="shared" si="30"/>
        <v>100</v>
      </c>
      <c r="N124" s="3517"/>
      <c r="O124" s="3517"/>
      <c r="P124" s="3513"/>
      <c r="Q124" s="3479"/>
      <c r="R124" s="3316"/>
      <c r="S124" s="3316"/>
      <c r="T124" s="3316"/>
      <c r="U124" s="3316"/>
      <c r="V124" s="3316"/>
      <c r="W124" s="3316"/>
      <c r="X124" s="3316"/>
      <c r="Y124" s="3316"/>
      <c r="Z124" s="3316"/>
      <c r="AA124" s="3316"/>
      <c r="AB124" s="3316"/>
      <c r="AC124" s="3316"/>
    </row>
    <row r="125" spans="1:29" ht="15" thickTop="1">
      <c r="A125" s="3423"/>
      <c r="B125" s="3518" t="s">
        <v>1745</v>
      </c>
      <c r="C125" s="3560" t="s">
        <v>1721</v>
      </c>
      <c r="D125" s="3560" t="s">
        <v>1722</v>
      </c>
      <c r="E125" s="3560" t="s">
        <v>1723</v>
      </c>
      <c r="F125" s="3560" t="s">
        <v>1724</v>
      </c>
      <c r="G125" s="3560" t="s">
        <v>1725</v>
      </c>
      <c r="H125" s="3561"/>
      <c r="I125" s="3561"/>
      <c r="J125" s="3561"/>
      <c r="K125" s="3562"/>
      <c r="L125" s="3563"/>
      <c r="M125" s="3564"/>
      <c r="N125" s="3512"/>
      <c r="O125" s="3512"/>
      <c r="P125" s="3539"/>
      <c r="Q125" s="3479"/>
      <c r="R125" s="3316"/>
      <c r="S125" s="3316"/>
      <c r="T125" s="3316"/>
      <c r="U125" s="3316"/>
      <c r="V125" s="3316"/>
      <c r="W125" s="3316"/>
      <c r="X125" s="3316"/>
      <c r="Y125" s="3316"/>
      <c r="Z125" s="3316"/>
      <c r="AA125" s="3316"/>
      <c r="AB125" s="3316"/>
      <c r="AC125" s="3316"/>
    </row>
    <row r="126" spans="1:29" ht="15.75" thickBot="1">
      <c r="A126" s="3355"/>
      <c r="B126" s="3523"/>
      <c r="C126" s="3531">
        <v>100</v>
      </c>
      <c r="D126" s="3531">
        <f>C126-$K44</f>
        <v>100</v>
      </c>
      <c r="E126" s="3531">
        <f>D126-$K44</f>
        <v>100</v>
      </c>
      <c r="F126" s="3531">
        <f>E126-$K44</f>
        <v>100</v>
      </c>
      <c r="G126" s="3531">
        <f>F126-$K44</f>
        <v>100</v>
      </c>
      <c r="H126" s="3531"/>
      <c r="I126" s="3531"/>
      <c r="J126" s="3531"/>
      <c r="K126" s="3531"/>
      <c r="L126" s="3531"/>
      <c r="M126" s="3532"/>
      <c r="N126" s="3517"/>
      <c r="O126" s="3517"/>
      <c r="P126" s="3513"/>
      <c r="Q126" s="3479"/>
      <c r="R126" s="3316"/>
      <c r="S126" s="3316"/>
      <c r="T126" s="3316"/>
      <c r="U126" s="3316"/>
      <c r="V126" s="3316"/>
      <c r="W126" s="3316"/>
      <c r="X126" s="3316"/>
      <c r="Y126" s="3316"/>
      <c r="Z126" s="3316"/>
      <c r="AA126" s="3316"/>
      <c r="AB126" s="3316"/>
      <c r="AC126" s="3316"/>
    </row>
    <row r="127" spans="1:29" s="3422" customFormat="1" ht="15" thickTop="1">
      <c r="A127" s="3414"/>
      <c r="B127" s="3518">
        <f>B45</f>
        <v>111</v>
      </c>
      <c r="C127" s="3534"/>
      <c r="D127" s="3534"/>
      <c r="E127" s="3534"/>
      <c r="F127" s="3534"/>
      <c r="G127" s="3534"/>
      <c r="H127" s="3535"/>
      <c r="I127" s="3535"/>
      <c r="J127" s="3535"/>
      <c r="K127" s="3535"/>
      <c r="L127" s="3536"/>
      <c r="M127" s="3537"/>
      <c r="N127" s="3538"/>
      <c r="O127" s="3538"/>
      <c r="P127" s="3539"/>
      <c r="Q127" s="3540"/>
      <c r="R127" s="3416"/>
      <c r="S127" s="3416"/>
      <c r="T127" s="3416"/>
      <c r="U127" s="3416"/>
      <c r="V127" s="3416"/>
      <c r="W127" s="3416"/>
      <c r="X127" s="3416"/>
      <c r="Y127" s="3416"/>
      <c r="Z127" s="3416"/>
      <c r="AA127" s="3416"/>
      <c r="AB127" s="3416"/>
      <c r="AC127" s="3416"/>
    </row>
    <row r="128" spans="1:29" s="3422" customFormat="1" ht="15.75" thickBot="1">
      <c r="A128" s="3533"/>
      <c r="B128" s="3523"/>
      <c r="C128" s="3541"/>
      <c r="D128" s="3515"/>
      <c r="E128" s="3515"/>
      <c r="F128" s="3515"/>
      <c r="G128" s="3541"/>
      <c r="H128" s="3544"/>
      <c r="I128" s="3544"/>
      <c r="J128" s="3544"/>
      <c r="K128" s="3544"/>
      <c r="L128" s="3544"/>
      <c r="M128" s="3545"/>
      <c r="N128" s="3538"/>
      <c r="O128" s="3538"/>
      <c r="P128" s="3539"/>
      <c r="Q128" s="3540"/>
      <c r="R128" s="3416"/>
      <c r="S128" s="3416"/>
      <c r="T128" s="3416"/>
      <c r="U128" s="3416"/>
      <c r="V128" s="3416"/>
      <c r="W128" s="3416"/>
      <c r="X128" s="3416"/>
      <c r="Y128" s="3416"/>
      <c r="Z128" s="3416"/>
      <c r="AA128" s="3416"/>
      <c r="AB128" s="3416"/>
      <c r="AC128" s="3416"/>
    </row>
    <row r="129" spans="1:29" ht="15" thickTop="1">
      <c r="A129" s="3423"/>
      <c r="B129" s="3518">
        <f>B46</f>
        <v>111</v>
      </c>
      <c r="C129" s="3534"/>
      <c r="D129" s="3534"/>
      <c r="E129" s="3534"/>
      <c r="F129" s="3534"/>
      <c r="G129" s="3519"/>
      <c r="H129" s="3519"/>
      <c r="I129" s="3519"/>
      <c r="J129" s="3519"/>
      <c r="K129" s="3520"/>
      <c r="L129" s="3521"/>
      <c r="M129" s="3522"/>
      <c r="N129" s="3512"/>
      <c r="O129" s="3512"/>
      <c r="P129" s="3513"/>
      <c r="Q129" s="3479"/>
      <c r="R129" s="3316"/>
      <c r="S129" s="3316"/>
      <c r="T129" s="3316"/>
      <c r="U129" s="3316"/>
      <c r="V129" s="3316"/>
      <c r="W129" s="3316"/>
      <c r="X129" s="3316"/>
      <c r="Y129" s="3316"/>
      <c r="Z129" s="3316"/>
      <c r="AA129" s="3316"/>
      <c r="AB129" s="3316"/>
      <c r="AC129" s="3316"/>
    </row>
    <row r="130" spans="1:29" ht="15.75" thickBot="1">
      <c r="A130" s="3355"/>
      <c r="B130" s="3523"/>
      <c r="C130" s="3541"/>
      <c r="D130" s="3541"/>
      <c r="E130" s="3541"/>
      <c r="F130" s="3541"/>
      <c r="G130" s="3515"/>
      <c r="H130" s="3515"/>
      <c r="I130" s="3515"/>
      <c r="J130" s="3515"/>
      <c r="K130" s="3515"/>
      <c r="L130" s="3515"/>
      <c r="M130" s="3516"/>
      <c r="N130" s="3517"/>
      <c r="O130" s="3517"/>
      <c r="P130" s="3513"/>
      <c r="Q130" s="3479"/>
      <c r="R130" s="3316"/>
      <c r="S130" s="3316"/>
      <c r="T130" s="3316"/>
      <c r="U130" s="3316"/>
      <c r="V130" s="3316"/>
      <c r="W130" s="3316"/>
      <c r="X130" s="3316"/>
      <c r="Y130" s="3316"/>
      <c r="Z130" s="3316"/>
      <c r="AA130" s="3316"/>
      <c r="AB130" s="3316"/>
      <c r="AC130" s="3316"/>
    </row>
    <row r="131" spans="1:29" ht="15" thickTop="1">
      <c r="A131" s="3423"/>
      <c r="B131" s="3524">
        <f>B47</f>
        <v>111</v>
      </c>
      <c r="C131" s="3499"/>
      <c r="D131" s="3499"/>
      <c r="E131" s="3499"/>
      <c r="F131" s="3499"/>
      <c r="G131" s="3570"/>
      <c r="H131" s="3570"/>
      <c r="I131" s="3570"/>
      <c r="J131" s="3570"/>
      <c r="K131" s="3499"/>
      <c r="L131" s="3500"/>
      <c r="M131" s="3573"/>
      <c r="N131" s="3512"/>
      <c r="O131" s="3512"/>
      <c r="P131" s="3513"/>
      <c r="Q131" s="3479"/>
      <c r="R131" s="3316"/>
      <c r="S131" s="3316"/>
      <c r="T131" s="3316"/>
      <c r="U131" s="3316"/>
      <c r="V131" s="3316"/>
      <c r="W131" s="3316"/>
      <c r="X131" s="3316"/>
      <c r="Y131" s="3316"/>
      <c r="Z131" s="3316"/>
      <c r="AA131" s="3316"/>
      <c r="AB131" s="3316"/>
      <c r="AC131" s="3316"/>
    </row>
    <row r="132" spans="1:29" ht="15.75" thickBot="1">
      <c r="A132" s="3369"/>
      <c r="B132" s="3551"/>
      <c r="C132" s="3552"/>
      <c r="D132" s="3552"/>
      <c r="E132" s="3552"/>
      <c r="F132" s="3552"/>
      <c r="G132" s="3574"/>
      <c r="H132" s="3574"/>
      <c r="I132" s="3574"/>
      <c r="J132" s="3574"/>
      <c r="K132" s="3574"/>
      <c r="L132" s="3574"/>
      <c r="M132" s="3575"/>
      <c r="N132" s="3517"/>
      <c r="O132" s="3517"/>
      <c r="P132" s="3513"/>
      <c r="Q132" s="3479"/>
      <c r="R132" s="3316"/>
      <c r="S132" s="3316"/>
      <c r="T132" s="3316"/>
      <c r="U132" s="3316"/>
      <c r="V132" s="3316"/>
      <c r="W132" s="3316"/>
      <c r="X132" s="3316"/>
      <c r="Y132" s="3316"/>
      <c r="Z132" s="3316"/>
      <c r="AA132" s="3316"/>
      <c r="AB132" s="3316"/>
      <c r="AC132" s="3316"/>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29" priority="14" stopIfTrue="1">
      <formula>$F$53="超过30%"</formula>
    </cfRule>
  </conditionalFormatting>
  <conditionalFormatting sqref="E54">
    <cfRule type="expression" dxfId="28" priority="13" stopIfTrue="1">
      <formula>$F$54="超过20%"</formula>
    </cfRule>
  </conditionalFormatting>
  <conditionalFormatting sqref="E55">
    <cfRule type="expression" dxfId="27" priority="12" stopIfTrue="1">
      <formula>$F$55="超过30%"</formula>
    </cfRule>
  </conditionalFormatting>
  <conditionalFormatting sqref="F7:F47 H7:H47 J7:J47">
    <cfRule type="cellIs" dxfId="26" priority="1" operator="notEqual">
      <formula>100</formula>
    </cfRule>
  </conditionalFormatting>
  <conditionalFormatting sqref="F49">
    <cfRule type="expression" dxfId="25" priority="4">
      <formula>$D$49="简单平均"</formula>
    </cfRule>
  </conditionalFormatting>
  <conditionalFormatting sqref="F53:F55 H53:H55">
    <cfRule type="containsText" dxfId="24" priority="15" stopIfTrue="1" operator="containsText" text="超过">
      <formula>NOT(ISERROR(SEARCH("超过",F53)))</formula>
    </cfRule>
  </conditionalFormatting>
  <conditionalFormatting sqref="G53">
    <cfRule type="expression" dxfId="23" priority="10" stopIfTrue="1">
      <formula>$H$53="超过30%"</formula>
    </cfRule>
  </conditionalFormatting>
  <conditionalFormatting sqref="G54">
    <cfRule type="expression" dxfId="22" priority="9" stopIfTrue="1">
      <formula>$H$54="超过20%"</formula>
    </cfRule>
  </conditionalFormatting>
  <conditionalFormatting sqref="G55">
    <cfRule type="expression" dxfId="21" priority="11" stopIfTrue="1">
      <formula>$H$55="超过30%"</formula>
    </cfRule>
  </conditionalFormatting>
  <conditionalFormatting sqref="H49">
    <cfRule type="expression" dxfId="20" priority="3">
      <formula>$D$49="简单平均"</formula>
    </cfRule>
  </conditionalFormatting>
  <conditionalFormatting sqref="I53">
    <cfRule type="expression" dxfId="19" priority="7" stopIfTrue="1">
      <formula>$J$53="超过30%"</formula>
    </cfRule>
  </conditionalFormatting>
  <conditionalFormatting sqref="I54">
    <cfRule type="expression" dxfId="18" priority="6" stopIfTrue="1">
      <formula>$J$53+$J$54="超过20%"</formula>
    </cfRule>
  </conditionalFormatting>
  <conditionalFormatting sqref="I55">
    <cfRule type="expression" dxfId="17" priority="5" stopIfTrue="1">
      <formula>$J$55="超过30%"</formula>
    </cfRule>
  </conditionalFormatting>
  <conditionalFormatting sqref="J49">
    <cfRule type="expression" dxfId="16" priority="2">
      <formula>$D$49="简单平均"</formula>
    </cfRule>
  </conditionalFormatting>
  <conditionalFormatting sqref="J53:J55">
    <cfRule type="containsText" dxfId="15" priority="8" stopIfTrue="1" operator="containsText" text="超过">
      <formula>NOT(ISERROR(SEARCH("超过",J53)))</formula>
    </cfRule>
  </conditionalFormatting>
  <dataValidations count="25">
    <dataValidation type="list" allowBlank="1" showInputMessage="1" showErrorMessage="1" sqref="E1" xr:uid="{F325DAF0-E6DA-459D-92C0-9CA336F5747D}">
      <formula1>"项目模式,单套模式"</formula1>
    </dataValidation>
    <dataValidation type="list" allowBlank="1" showInputMessage="1" showErrorMessage="1" sqref="D49" xr:uid="{7A8DDBDB-5A61-48F4-8D7A-082BDB895ABE}">
      <formula1>"简单平均,加权平均"</formula1>
    </dataValidation>
    <dataValidation type="list" allowBlank="1" showInputMessage="1" showErrorMessage="1" sqref="F2" xr:uid="{2B994CD0-6041-4A43-A744-CF9032792DDF}">
      <formula1>估价方法</formula1>
    </dataValidation>
    <dataValidation type="list" allowBlank="1" showInputMessage="1" showErrorMessage="1" sqref="C2" xr:uid="{6E8447E0-04F2-4F30-BF7F-9679A9E57931}">
      <formula1>"需扣减承租人权益,——"</formula1>
    </dataValidation>
    <dataValidation type="list" allowBlank="1" showInputMessage="1" showErrorMessage="1" sqref="F1" xr:uid="{ED99B992-161A-4FAE-AD5E-E9328179B2E2}">
      <formula1>"售价,租金"</formula1>
    </dataValidation>
    <dataValidation type="list" allowBlank="1" showInputMessage="1" showErrorMessage="1" sqref="C22 E22 G22 I22" xr:uid="{1D107982-4647-47EF-993C-9702CBAEC24E}">
      <formula1>基础设施水平</formula1>
    </dataValidation>
    <dataValidation type="list" allowBlank="1" showInputMessage="1" showErrorMessage="1" sqref="C8 E8 G8 I8" xr:uid="{32B52158-954E-4046-A8DB-CB7C694754BE}">
      <formula1>办公交易情况</formula1>
    </dataValidation>
    <dataValidation type="list" allowBlank="1" showInputMessage="1" showErrorMessage="1" sqref="C43 E43 G43 I43" xr:uid="{2DCDFE47-DBF3-45FE-AC49-D022662904E7}">
      <formula1>办公内部装修</formula1>
    </dataValidation>
    <dataValidation type="list" allowBlank="1" showInputMessage="1" showErrorMessage="1" sqref="C41 E41 G41 I41" xr:uid="{E62CC234-43FC-4FCA-BBD8-06148F688EC2}">
      <formula1>办公层高</formula1>
    </dataValidation>
    <dataValidation type="list" allowBlank="1" showInputMessage="1" showErrorMessage="1" sqref="C40 E40 G40 I40" xr:uid="{8EFC8122-52F6-44F2-889B-18103BCA833A}">
      <formula1>办公基础设施水平</formula1>
    </dataValidation>
    <dataValidation type="list" allowBlank="1" showInputMessage="1" showErrorMessage="1" sqref="C39 E39 G39 I39" xr:uid="{64011AFC-47BB-428E-8C66-34F2BC9AA266}">
      <formula1>办公物业管理</formula1>
    </dataValidation>
    <dataValidation type="list" allowBlank="1" showInputMessage="1" showErrorMessage="1" sqref="C38 E38 G38 I38" xr:uid="{0050DB9B-715C-4456-8FD5-DA5C5AEC5B32}">
      <formula1>写字楼等级</formula1>
    </dataValidation>
    <dataValidation type="list" allowBlank="1" showInputMessage="1" showErrorMessage="1" sqref="C36 E36 G36 I36" xr:uid="{0CC71A5E-F08D-446E-BEE7-CC2E494D3524}">
      <formula1>办公公共部分装修</formula1>
    </dataValidation>
    <dataValidation type="list" allowBlank="1" showInputMessage="1" showErrorMessage="1" sqref="C33 E33 G33 I33" xr:uid="{70DA816A-AC1F-4B20-83BA-B6CF94D2C685}">
      <formula1>办公建筑类型</formula1>
    </dataValidation>
    <dataValidation type="list" allowBlank="1" showInputMessage="1" showErrorMessage="1" sqref="C27 E27 G27 I27" xr:uid="{94B098E9-0640-4FF2-8B68-A7E74A7A639B}">
      <formula1>办公楼层</formula1>
    </dataValidation>
    <dataValidation type="list" allowBlank="1" showInputMessage="1" showErrorMessage="1" sqref="C28 E28 G28 I28" xr:uid="{F1166044-FF2D-4CFB-AF07-61A176FB0BD6}">
      <formula1>办公朝向</formula1>
    </dataValidation>
    <dataValidation type="list" allowBlank="1" showInputMessage="1" showErrorMessage="1" sqref="G26 C26 E26 I26" xr:uid="{36BE17E7-A422-4DFB-BA37-F06F548DC7C1}">
      <formula1>办公道路级别</formula1>
    </dataValidation>
    <dataValidation type="list" allowBlank="1" showInputMessage="1" showErrorMessage="1" sqref="C16 E16 G16 I16" xr:uid="{9C6CB901-395C-44D0-8BF5-9869703E0BBD}">
      <formula1>办公集聚程度</formula1>
    </dataValidation>
    <dataValidation type="list" allowBlank="1" showInputMessage="1" showErrorMessage="1" sqref="E9 G9 I9" xr:uid="{E0AF95E8-608F-47D2-B72C-A049889DA0DB}">
      <formula1>办公用途</formula1>
    </dataValidation>
    <dataValidation type="list" allowBlank="1" showInputMessage="1" showErrorMessage="1" sqref="D1" xr:uid="{60F54D5A-0C51-4C27-94F1-34039C2A01F3}">
      <formula1>项目类型</formula1>
    </dataValidation>
    <dataValidation type="list" allowBlank="1" showInputMessage="1" showErrorMessage="1" sqref="C44 E44 G44 I44" xr:uid="{A7CA1BC0-62E7-4C23-9149-36A620E6D5EB}">
      <formula1>内部装修维护情况</formula1>
    </dataValidation>
    <dataValidation type="list" allowBlank="1" showInputMessage="1" showErrorMessage="1" sqref="E20 I20 G20 C20" xr:uid="{7BFECC60-CE22-4227-8CCE-E8B05D88FF6B}">
      <formula1>公共配套设施</formula1>
    </dataValidation>
    <dataValidation type="list" allowBlank="1" showInputMessage="1" showErrorMessage="1" sqref="E18 G18 I18 C18" xr:uid="{D72988B2-1D73-4E1F-A80C-F0C49A1EEE36}">
      <formula1>交通便捷度</formula1>
    </dataValidation>
    <dataValidation type="list" allowBlank="1" showInputMessage="1" showErrorMessage="1" sqref="E24 G24 I24 C24" xr:uid="{E3F69E34-1AA6-4CC8-9BDA-1955D80E9DFC}">
      <formula1>环境</formula1>
    </dataValidation>
    <dataValidation type="list" allowBlank="1" showInputMessage="1" showErrorMessage="1" sqref="C35 E35 G35 I35" xr:uid="{E0F7072E-FEE4-4519-BF10-C7B05CD77DC6}">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9D543-BE1E-4CF2-A917-62B7DFAD39A7}">
  <sheetPr>
    <tabColor theme="6" tint="0.79998168889431442"/>
  </sheetPr>
  <dimension ref="A1:AE169"/>
  <sheetViews>
    <sheetView topLeftCell="A52" workbookViewId="0">
      <selection activeCell="AE72" sqref="AE72"/>
    </sheetView>
  </sheetViews>
  <sheetFormatPr defaultRowHeight="13.5"/>
  <cols>
    <col min="1" max="1" width="17.375" style="3167" customWidth="1"/>
    <col min="2" max="2" width="14.125" style="3167" customWidth="1"/>
    <col min="3" max="16384" width="9" style="3167"/>
  </cols>
  <sheetData>
    <row r="1" spans="1:4">
      <c r="A1" s="3167" t="s">
        <v>3762</v>
      </c>
    </row>
    <row r="2" spans="1:4">
      <c r="A2" s="3167" t="s">
        <v>3763</v>
      </c>
    </row>
    <row r="3" spans="1:4">
      <c r="A3" s="3167" t="s">
        <v>3764</v>
      </c>
    </row>
    <row r="4" spans="1:4">
      <c r="A4" s="3167" t="s">
        <v>3765</v>
      </c>
    </row>
    <row r="5" spans="1:4">
      <c r="A5" s="3167" t="s">
        <v>3766</v>
      </c>
      <c r="B5" s="3167" t="s">
        <v>3767</v>
      </c>
      <c r="C5" s="3167" t="s">
        <v>3768</v>
      </c>
    </row>
    <row r="7" spans="1:4">
      <c r="A7" s="3167" t="s">
        <v>3769</v>
      </c>
    </row>
    <row r="8" spans="1:4">
      <c r="A8" s="3167" t="s">
        <v>3770</v>
      </c>
      <c r="B8" s="3167" t="s">
        <v>3771</v>
      </c>
      <c r="C8" s="3167" t="s">
        <v>3772</v>
      </c>
      <c r="D8" s="3167" t="s">
        <v>3773</v>
      </c>
    </row>
    <row r="9" spans="1:4">
      <c r="A9" s="3167" t="s">
        <v>3774</v>
      </c>
      <c r="B9" s="3167" t="s">
        <v>3771</v>
      </c>
      <c r="C9" s="3167" t="s">
        <v>3772</v>
      </c>
    </row>
    <row r="63" spans="28:31">
      <c r="AB63" s="3167" t="s">
        <v>3865</v>
      </c>
      <c r="AC63" s="3167">
        <v>750</v>
      </c>
      <c r="AD63" s="3167">
        <v>8</v>
      </c>
      <c r="AE63" s="3167" t="s">
        <v>3867</v>
      </c>
    </row>
    <row r="64" spans="28:31">
      <c r="AB64" s="3167" t="s">
        <v>3865</v>
      </c>
      <c r="AC64" s="3167">
        <v>1498</v>
      </c>
      <c r="AD64" s="3167">
        <v>8</v>
      </c>
      <c r="AE64" s="3167" t="s">
        <v>3868</v>
      </c>
    </row>
    <row r="65" spans="28:31">
      <c r="AB65" s="3167" t="s">
        <v>3866</v>
      </c>
      <c r="AC65" s="3167">
        <v>1260</v>
      </c>
      <c r="AD65" s="3167">
        <v>9</v>
      </c>
      <c r="AE65" s="3167" t="s">
        <v>3869</v>
      </c>
    </row>
    <row r="167" spans="16:19">
      <c r="P167" s="3167" t="s">
        <v>3803</v>
      </c>
      <c r="Q167" s="3167">
        <v>9</v>
      </c>
      <c r="R167" s="3167">
        <v>800</v>
      </c>
      <c r="S167" s="3167" t="s">
        <v>3806</v>
      </c>
    </row>
    <row r="168" spans="16:19">
      <c r="P168" s="3167" t="s">
        <v>3770</v>
      </c>
      <c r="Q168" s="3167">
        <v>9</v>
      </c>
      <c r="R168" s="3167">
        <v>844</v>
      </c>
      <c r="S168" s="3167" t="s">
        <v>3804</v>
      </c>
    </row>
    <row r="169" spans="16:19">
      <c r="P169" s="3167" t="s">
        <v>3775</v>
      </c>
      <c r="Q169" s="3167">
        <v>9</v>
      </c>
      <c r="R169" s="3167">
        <v>1260</v>
      </c>
      <c r="S169" s="3167" t="s">
        <v>3805</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D4756-1929-4C6E-8827-4F4AB408B2FD}">
  <sheetPr>
    <tabColor rgb="FFFFC000"/>
    <pageSetUpPr fitToPage="1"/>
  </sheetPr>
  <dimension ref="A1:AC131"/>
  <sheetViews>
    <sheetView view="pageBreakPreview" topLeftCell="A15" zoomScale="90" zoomScaleNormal="70" zoomScaleSheetLayoutView="90" workbookViewId="0">
      <selection activeCell="N39" sqref="N39"/>
    </sheetView>
  </sheetViews>
  <sheetFormatPr defaultColWidth="9" defaultRowHeight="14.25"/>
  <cols>
    <col min="1" max="1" width="10.5" style="3318" customWidth="1"/>
    <col min="2" max="2" width="15.75" style="3318" customWidth="1"/>
    <col min="3" max="3" width="15.125" style="3318" customWidth="1"/>
    <col min="4" max="4" width="12.25" style="3318" customWidth="1"/>
    <col min="5" max="5" width="14.375" style="3318" customWidth="1"/>
    <col min="6" max="6" width="12.25" style="3318" customWidth="1"/>
    <col min="7" max="7" width="14.5" style="3318" customWidth="1"/>
    <col min="8" max="8" width="12.25" style="3318" customWidth="1"/>
    <col min="9" max="9" width="14.5" style="3318" customWidth="1"/>
    <col min="10" max="10" width="12.25" style="3318" customWidth="1"/>
    <col min="11" max="11" width="12.25" style="3592" customWidth="1"/>
    <col min="12" max="12" width="12.25" style="3593" customWidth="1"/>
    <col min="13" max="15" width="12.25" style="3318" customWidth="1"/>
    <col min="16" max="16" width="4.75" style="3635" customWidth="1"/>
    <col min="17" max="17" width="19.5" style="3318" customWidth="1"/>
    <col min="18" max="22" width="6.125" style="3318" customWidth="1"/>
    <col min="23" max="23" width="5.75" style="3318" customWidth="1"/>
    <col min="24" max="24" width="4.25" style="3318" customWidth="1"/>
    <col min="25" max="25" width="3.5" style="3318" customWidth="1"/>
    <col min="26" max="26" width="19.75" style="3318" customWidth="1"/>
    <col min="27" max="28" width="9.375" style="3318" customWidth="1"/>
    <col min="29" max="16384" width="9" style="3318"/>
  </cols>
  <sheetData>
    <row r="1" spans="1:29" s="3296" customFormat="1" ht="28.5" customHeight="1" thickBot="1">
      <c r="A1" s="3284" t="s">
        <v>1660</v>
      </c>
      <c r="B1" s="3595" t="s">
        <v>1766</v>
      </c>
      <c r="C1" s="3294" t="s">
        <v>3733</v>
      </c>
      <c r="D1" s="3287"/>
      <c r="E1" s="3596"/>
      <c r="F1" s="3289"/>
      <c r="G1" s="3290" t="s">
        <v>3734</v>
      </c>
      <c r="H1" s="3291"/>
      <c r="I1" s="3291"/>
      <c r="J1" s="3291"/>
      <c r="K1" s="3292"/>
      <c r="L1" s="3293"/>
      <c r="M1" s="3294"/>
      <c r="N1" s="3294"/>
      <c r="O1" s="3294"/>
      <c r="P1" s="3597"/>
      <c r="Q1" s="3598"/>
      <c r="R1" s="3598"/>
      <c r="S1" s="3598"/>
      <c r="T1" s="3598"/>
      <c r="U1" s="3598"/>
      <c r="V1" s="3598"/>
      <c r="W1" s="3598"/>
      <c r="X1" s="3598"/>
      <c r="Y1" s="3598"/>
      <c r="Z1" s="3598"/>
      <c r="AA1" s="3598"/>
      <c r="AB1" s="3598"/>
      <c r="AC1" s="3599"/>
    </row>
    <row r="2" spans="1:29" s="3304" customFormat="1" ht="28.5" customHeight="1" thickTop="1">
      <c r="A2" s="1138" t="s">
        <v>1934</v>
      </c>
      <c r="B2" s="3297" t="b">
        <f>IF(E1="项目模式",IF(C2="——",ROUND(C49*D3/10000,0),ROUND(C49*D3/10000,0)-D2),IF(E1="单套模式",IF(C2="——",ROUND(C49*D3/10000,4),ROUND(C49*D3/10000,4)-D2)))</f>
        <v>0</v>
      </c>
      <c r="C2" s="1737"/>
      <c r="D2" s="3298" t="e">
        <f ca="1">IF(E1="项目模式",SUMIF(INDIRECT("'"&amp;F2&amp;"'"&amp;"!A:A"),"承租人权益价值",INDIRECT("'"&amp;F2&amp;"'"&amp;"!c:c")),SUMIF(INDIRECT("'"&amp;F2&amp;"'"&amp;"!A:A"),"承租人权益价值（单套）",INDIRECT("'"&amp;F2&amp;"'"&amp;"!c:c")))</f>
        <v>#REF!</v>
      </c>
      <c r="E2" s="1738" t="s">
        <v>1935</v>
      </c>
      <c r="F2" s="1739"/>
      <c r="G2" s="3299"/>
      <c r="H2" s="3299"/>
      <c r="I2" s="3299"/>
      <c r="J2" s="3299"/>
      <c r="K2" s="3299"/>
      <c r="L2" s="3300"/>
      <c r="M2" s="3301"/>
      <c r="N2" s="3301"/>
      <c r="O2" s="3301"/>
      <c r="P2" s="3600"/>
      <c r="Q2" s="3601"/>
      <c r="R2" s="3601"/>
      <c r="S2" s="3601"/>
      <c r="T2" s="3601"/>
      <c r="U2" s="3601"/>
      <c r="V2" s="3601"/>
      <c r="W2" s="3601"/>
      <c r="X2" s="3601"/>
      <c r="Y2" s="3601"/>
      <c r="Z2" s="3601"/>
      <c r="AA2" s="3601"/>
      <c r="AB2" s="3601"/>
      <c r="AC2" s="3308"/>
    </row>
    <row r="3" spans="1:29" s="3304" customFormat="1" ht="28.5" customHeight="1" thickBot="1">
      <c r="A3" s="195" t="s">
        <v>1940</v>
      </c>
      <c r="B3" s="3305">
        <f>IF(C2="——",C49,ROUND(B2*10000/D3,0))</f>
        <v>0</v>
      </c>
      <c r="C3" s="3306" t="s">
        <v>3735</v>
      </c>
      <c r="D3" s="3307">
        <f>IF(D1="",'[5]数据-汇总表'!E3,SUMIF('[5]数据-汇总表'!$C19:$C33,D1,'[5]数据-汇总表'!$E19:$E33))</f>
        <v>2414.4300000000003</v>
      </c>
      <c r="E3" s="3308"/>
      <c r="F3" s="3309"/>
      <c r="G3" s="3299"/>
      <c r="H3" s="3299"/>
      <c r="I3" s="3299"/>
      <c r="J3" s="3299"/>
      <c r="K3" s="3310"/>
      <c r="L3" s="3300"/>
      <c r="M3" s="3301"/>
      <c r="N3" s="3301"/>
      <c r="O3" s="3301"/>
      <c r="P3" s="3600"/>
      <c r="Q3" s="3601"/>
      <c r="R3" s="3601"/>
      <c r="S3" s="3601"/>
      <c r="T3" s="3601"/>
      <c r="U3" s="3601"/>
      <c r="V3" s="3601"/>
      <c r="W3" s="3601"/>
      <c r="X3" s="3601"/>
      <c r="Y3" s="3601"/>
      <c r="Z3" s="3601"/>
      <c r="AA3" s="3601"/>
      <c r="AB3" s="3601"/>
      <c r="AC3" s="3308"/>
    </row>
    <row r="4" spans="1:29" ht="15">
      <c r="A4" s="3311" t="s">
        <v>1666</v>
      </c>
      <c r="B4" s="3312"/>
      <c r="C4" s="3952" t="s">
        <v>1667</v>
      </c>
      <c r="D4" s="3953"/>
      <c r="E4" s="3954" t="s">
        <v>1668</v>
      </c>
      <c r="F4" s="3955"/>
      <c r="G4" s="3952" t="s">
        <v>1669</v>
      </c>
      <c r="H4" s="3953"/>
      <c r="I4" s="3952" t="s">
        <v>1670</v>
      </c>
      <c r="J4" s="3953"/>
      <c r="K4" s="3314" t="s">
        <v>1671</v>
      </c>
      <c r="L4" s="3315"/>
      <c r="M4" s="3316"/>
      <c r="N4" s="3316"/>
      <c r="O4" s="3316"/>
      <c r="P4" s="4001" t="s">
        <v>1672</v>
      </c>
      <c r="Q4" s="4002"/>
      <c r="R4" s="4005" t="s">
        <v>1668</v>
      </c>
      <c r="S4" s="4006"/>
      <c r="T4" s="4005" t="s">
        <v>1669</v>
      </c>
      <c r="U4" s="4006"/>
      <c r="V4" s="3977" t="s">
        <v>1670</v>
      </c>
      <c r="W4" s="3977"/>
      <c r="X4" s="3322"/>
      <c r="Y4" s="4005" t="s">
        <v>1672</v>
      </c>
      <c r="Z4" s="4006"/>
      <c r="AA4" s="4000" t="s">
        <v>1668</v>
      </c>
      <c r="AB4" s="3977" t="s">
        <v>1669</v>
      </c>
      <c r="AC4" s="4000" t="s">
        <v>1670</v>
      </c>
    </row>
    <row r="5" spans="1:29" ht="15">
      <c r="A5" s="3319"/>
      <c r="B5" s="3320"/>
      <c r="C5" s="4007" t="str">
        <f>'[5]售价比较法-商业'!C5:D5</f>
        <v>启迪科技大厦</v>
      </c>
      <c r="D5" s="3967"/>
      <c r="E5" s="4008" t="s">
        <v>3860</v>
      </c>
      <c r="F5" s="3969"/>
      <c r="G5" s="3966" t="s">
        <v>3776</v>
      </c>
      <c r="H5" s="3967"/>
      <c r="I5" s="3966" t="s">
        <v>3777</v>
      </c>
      <c r="J5" s="3967"/>
      <c r="K5" s="3314"/>
      <c r="L5" s="3315"/>
      <c r="M5" s="3316"/>
      <c r="N5" s="3316"/>
      <c r="O5" s="3316"/>
      <c r="P5" s="4003"/>
      <c r="Q5" s="3959"/>
      <c r="R5" s="3964"/>
      <c r="S5" s="3965"/>
      <c r="T5" s="3964"/>
      <c r="U5" s="3965"/>
      <c r="V5" s="3977"/>
      <c r="W5" s="3977"/>
      <c r="X5" s="3322"/>
      <c r="Y5" s="3964"/>
      <c r="Z5" s="3965"/>
      <c r="AA5" s="3979"/>
      <c r="AB5" s="3977"/>
      <c r="AC5" s="3979"/>
    </row>
    <row r="6" spans="1:29" ht="15.75" thickBot="1">
      <c r="A6" s="3323"/>
      <c r="B6" s="3324"/>
      <c r="C6" s="3970" t="s">
        <v>1677</v>
      </c>
      <c r="D6" s="3971"/>
      <c r="E6" s="3972" t="s">
        <v>1677</v>
      </c>
      <c r="F6" s="3973"/>
      <c r="G6" s="3970" t="s">
        <v>1677</v>
      </c>
      <c r="H6" s="3971"/>
      <c r="I6" s="3970" t="s">
        <v>1677</v>
      </c>
      <c r="J6" s="3971"/>
      <c r="K6" s="3314" t="s">
        <v>1678</v>
      </c>
      <c r="L6" s="3315"/>
      <c r="M6" s="3316"/>
      <c r="N6" s="3316"/>
      <c r="O6" s="3316"/>
      <c r="P6" s="4004"/>
      <c r="Q6" s="3961"/>
      <c r="R6" s="3964"/>
      <c r="S6" s="3965"/>
      <c r="T6" s="3974"/>
      <c r="U6" s="3975"/>
      <c r="V6" s="3977"/>
      <c r="W6" s="3977"/>
      <c r="X6" s="3322"/>
      <c r="Y6" s="3974"/>
      <c r="Z6" s="3975"/>
      <c r="AA6" s="3980"/>
      <c r="AB6" s="3977"/>
      <c r="AC6" s="3980"/>
    </row>
    <row r="7" spans="1:29" s="3339" customFormat="1" ht="15.75" thickBot="1">
      <c r="A7" s="3325" t="s">
        <v>1679</v>
      </c>
      <c r="B7" s="3326"/>
      <c r="C7" s="3327">
        <f>'数据-取费表'!B2</f>
        <v>45473</v>
      </c>
      <c r="D7" s="3328">
        <v>100</v>
      </c>
      <c r="E7" s="3329">
        <f>C7</f>
        <v>45473</v>
      </c>
      <c r="F7" s="3330">
        <f>SUMIF(58:58,YEAR(E7)&amp;"-"&amp;MONTH(E7),59:59)</f>
        <v>100</v>
      </c>
      <c r="G7" s="3329">
        <f>C7</f>
        <v>45473</v>
      </c>
      <c r="H7" s="3328">
        <f>SUMIF(58:58,YEAR(G7)&amp;"-"&amp;MONTH(G7),59:59)</f>
        <v>100</v>
      </c>
      <c r="I7" s="3329">
        <f>C7</f>
        <v>45473</v>
      </c>
      <c r="J7" s="3328">
        <f>SUMIF(58:58,YEAR(I7)&amp;"-"&amp;MONTH(I7),59:59)</f>
        <v>100</v>
      </c>
      <c r="K7" s="3331"/>
      <c r="L7" s="3332"/>
      <c r="M7" s="3333"/>
      <c r="N7" s="3333"/>
      <c r="O7" s="3333"/>
      <c r="P7" s="3984" t="s">
        <v>1680</v>
      </c>
      <c r="Q7" s="3982"/>
      <c r="R7" s="3334" t="s">
        <v>14</v>
      </c>
      <c r="S7" s="3335">
        <f t="shared" ref="S7:S15" si="0">F7</f>
        <v>100</v>
      </c>
      <c r="T7" s="3334" t="s">
        <v>14</v>
      </c>
      <c r="U7" s="3335">
        <f t="shared" ref="U7:U15" si="1">H7</f>
        <v>100</v>
      </c>
      <c r="V7" s="3334" t="s">
        <v>14</v>
      </c>
      <c r="W7" s="3335">
        <f t="shared" ref="W7:W15" si="2">J7</f>
        <v>100</v>
      </c>
      <c r="X7" s="3336"/>
      <c r="Y7" s="3984" t="s">
        <v>1680</v>
      </c>
      <c r="Z7" s="3983"/>
      <c r="AA7" s="3337">
        <f>D7/F7</f>
        <v>1</v>
      </c>
      <c r="AB7" s="3337">
        <f>D7/H7</f>
        <v>1</v>
      </c>
      <c r="AC7" s="3337">
        <f>D7/J7</f>
        <v>1</v>
      </c>
    </row>
    <row r="8" spans="1:29" s="3339" customFormat="1" ht="15.75" thickBot="1">
      <c r="A8" s="3325" t="s">
        <v>1681</v>
      </c>
      <c r="B8" s="3326"/>
      <c r="C8" s="3340" t="s">
        <v>3737</v>
      </c>
      <c r="D8" s="3328">
        <v>100</v>
      </c>
      <c r="E8" s="3340" t="s">
        <v>3872</v>
      </c>
      <c r="F8" s="3330">
        <f>SUMIF(61:61,E8,62:62)-SUMIF(61:61,C8,62:62)+100</f>
        <v>105</v>
      </c>
      <c r="G8" s="3340" t="s">
        <v>3872</v>
      </c>
      <c r="H8" s="3328">
        <f>SUMIF(61:61,G8,62:62)-SUMIF(61:61,C8,62:62)+100</f>
        <v>105</v>
      </c>
      <c r="I8" s="3340" t="s">
        <v>3872</v>
      </c>
      <c r="J8" s="3328">
        <f>SUMIF(61:61,I8,62:62)-SUMIF(61:61,C8,62:62)+100</f>
        <v>105</v>
      </c>
      <c r="K8" s="3331"/>
      <c r="L8" s="3332"/>
      <c r="M8" s="3333"/>
      <c r="N8" s="3333"/>
      <c r="O8" s="3333"/>
      <c r="P8" s="3984" t="s">
        <v>1683</v>
      </c>
      <c r="Q8" s="3983"/>
      <c r="R8" s="3334" t="s">
        <v>14</v>
      </c>
      <c r="S8" s="3335">
        <f t="shared" si="0"/>
        <v>105</v>
      </c>
      <c r="T8" s="3334" t="s">
        <v>14</v>
      </c>
      <c r="U8" s="3335">
        <f t="shared" si="1"/>
        <v>105</v>
      </c>
      <c r="V8" s="3334" t="s">
        <v>14</v>
      </c>
      <c r="W8" s="3335">
        <f t="shared" si="2"/>
        <v>105</v>
      </c>
      <c r="X8" s="3336"/>
      <c r="Y8" s="3984" t="s">
        <v>1683</v>
      </c>
      <c r="Z8" s="3983"/>
      <c r="AA8" s="3337">
        <f t="shared" ref="AA8:AA46" si="3">D8/F8</f>
        <v>0.95238095238095233</v>
      </c>
      <c r="AB8" s="3337">
        <f t="shared" ref="AB8:AB46" si="4">D8/H8</f>
        <v>0.95238095238095233</v>
      </c>
      <c r="AC8" s="3337">
        <f t="shared" ref="AC8:AC46" si="5">D8/J8</f>
        <v>0.95238095238095233</v>
      </c>
    </row>
    <row r="9" spans="1:29" s="3339" customFormat="1" ht="15" thickBot="1">
      <c r="A9" s="3341" t="s">
        <v>1684</v>
      </c>
      <c r="B9" s="3342" t="s">
        <v>1685</v>
      </c>
      <c r="C9" s="3343" t="s">
        <v>2609</v>
      </c>
      <c r="D9" s="3344">
        <v>100</v>
      </c>
      <c r="E9" s="3605" t="s">
        <v>673</v>
      </c>
      <c r="F9" s="3342">
        <f>SUMIF(63:63,E9,64:64)-SUMIF(63:63,C9,64:64)+100</f>
        <v>100</v>
      </c>
      <c r="G9" s="3605" t="s">
        <v>673</v>
      </c>
      <c r="H9" s="3344">
        <f>SUMIF(63:63,G9,64:64)-SUMIF(63:63,C9,64:64)+100</f>
        <v>100</v>
      </c>
      <c r="I9" s="3605" t="s">
        <v>673</v>
      </c>
      <c r="J9" s="3344">
        <f>SUMIF(63:63,I9,64:64)-SUMIF(63:63,C9,64:64)+100</f>
        <v>100</v>
      </c>
      <c r="K9" s="3331"/>
      <c r="L9" s="3332"/>
      <c r="M9" s="3333"/>
      <c r="N9" s="3333"/>
      <c r="O9" s="3333"/>
      <c r="P9" s="3985" t="s">
        <v>1686</v>
      </c>
      <c r="Q9" s="3346" t="str">
        <f t="shared" ref="Q9:Q15" si="6">B9</f>
        <v>用途</v>
      </c>
      <c r="R9" s="3334" t="s">
        <v>14</v>
      </c>
      <c r="S9" s="3335">
        <f t="shared" si="0"/>
        <v>100</v>
      </c>
      <c r="T9" s="3334" t="s">
        <v>14</v>
      </c>
      <c r="U9" s="3335">
        <f t="shared" si="1"/>
        <v>100</v>
      </c>
      <c r="V9" s="3334" t="s">
        <v>14</v>
      </c>
      <c r="W9" s="3335">
        <f t="shared" si="2"/>
        <v>100</v>
      </c>
      <c r="X9" s="3336"/>
      <c r="Y9" s="3986" t="s">
        <v>1687</v>
      </c>
      <c r="Z9" s="3337" t="str">
        <f t="shared" ref="Z9:Z15" si="7">Q9</f>
        <v>用途</v>
      </c>
      <c r="AA9" s="3337">
        <f t="shared" si="3"/>
        <v>1</v>
      </c>
      <c r="AB9" s="3337">
        <f t="shared" si="4"/>
        <v>1</v>
      </c>
      <c r="AC9" s="3337">
        <f t="shared" si="5"/>
        <v>1</v>
      </c>
    </row>
    <row r="10" spans="1:29" s="3354" customFormat="1" ht="27.75" hidden="1" thickBot="1">
      <c r="A10" s="3347"/>
      <c r="B10" s="3348" t="s">
        <v>1688</v>
      </c>
      <c r="C10" s="3349"/>
      <c r="D10" s="3350">
        <v>100</v>
      </c>
      <c r="E10" s="3351"/>
      <c r="F10" s="3348">
        <f>SUMIF(65:65,E10,66:66)-SUMIF(65:65,C10,66:66)+100</f>
        <v>100</v>
      </c>
      <c r="G10" s="3349"/>
      <c r="H10" s="3350">
        <f>SUMIF(65:65,G10,66:66)-SUMIF(65:65,C10,66:66)+100</f>
        <v>100</v>
      </c>
      <c r="I10" s="3349"/>
      <c r="J10" s="3350">
        <f>SUMIF(65:65,I10,66:66)-SUMIF(65:65,C10,66:66)+100</f>
        <v>100</v>
      </c>
      <c r="K10" s="3331"/>
      <c r="L10" s="3352"/>
      <c r="M10" s="3353"/>
      <c r="N10" s="3353"/>
      <c r="O10" s="3353"/>
      <c r="P10" s="3985"/>
      <c r="Q10" s="3346" t="str">
        <f t="shared" si="6"/>
        <v>土地使用年限（年）</v>
      </c>
      <c r="R10" s="3334" t="s">
        <v>14</v>
      </c>
      <c r="S10" s="3335">
        <f t="shared" si="0"/>
        <v>100</v>
      </c>
      <c r="T10" s="3334" t="s">
        <v>14</v>
      </c>
      <c r="U10" s="3335">
        <f t="shared" si="1"/>
        <v>100</v>
      </c>
      <c r="V10" s="3334" t="s">
        <v>14</v>
      </c>
      <c r="W10" s="3335">
        <f t="shared" si="2"/>
        <v>100</v>
      </c>
      <c r="X10" s="3336"/>
      <c r="Y10" s="3986"/>
      <c r="Z10" s="3337" t="str">
        <f t="shared" si="7"/>
        <v>土地使用年限（年）</v>
      </c>
      <c r="AA10" s="3337">
        <f t="shared" si="3"/>
        <v>1</v>
      </c>
      <c r="AB10" s="3337">
        <f t="shared" si="4"/>
        <v>1</v>
      </c>
      <c r="AC10" s="3337">
        <f t="shared" si="5"/>
        <v>1</v>
      </c>
    </row>
    <row r="11" spans="1:29" ht="15.75" hidden="1" thickBot="1">
      <c r="A11" s="3355"/>
      <c r="B11" s="3348" t="s">
        <v>1689</v>
      </c>
      <c r="C11" s="3356">
        <v>2</v>
      </c>
      <c r="D11" s="3350">
        <v>100</v>
      </c>
      <c r="E11" s="3357">
        <v>2</v>
      </c>
      <c r="F11" s="3348">
        <f>LOOKUP(E11,68:68,69:69)-LOOKUP(C11,68:68,69:69)+100</f>
        <v>100</v>
      </c>
      <c r="G11" s="3356">
        <v>2</v>
      </c>
      <c r="H11" s="3350">
        <f>LOOKUP(G11,68:68,69:69)-LOOKUP(C11,68:68,69:69)+100</f>
        <v>100</v>
      </c>
      <c r="I11" s="3356">
        <v>2</v>
      </c>
      <c r="J11" s="3350">
        <f>LOOKUP(I11,68:68,69:69)-LOOKUP(C11,68:68,69:69)+100</f>
        <v>100</v>
      </c>
      <c r="K11" s="3358">
        <v>1</v>
      </c>
      <c r="L11" s="3359"/>
      <c r="M11" s="3316"/>
      <c r="N11" s="3316"/>
      <c r="O11" s="3316"/>
      <c r="P11" s="3985"/>
      <c r="Q11" s="3346" t="str">
        <f t="shared" si="6"/>
        <v>容积率</v>
      </c>
      <c r="R11" s="3334" t="s">
        <v>14</v>
      </c>
      <c r="S11" s="3335">
        <f t="shared" si="0"/>
        <v>100</v>
      </c>
      <c r="T11" s="3334" t="s">
        <v>14</v>
      </c>
      <c r="U11" s="3335">
        <f t="shared" si="1"/>
        <v>100</v>
      </c>
      <c r="V11" s="3334" t="s">
        <v>14</v>
      </c>
      <c r="W11" s="3335">
        <f t="shared" si="2"/>
        <v>100</v>
      </c>
      <c r="X11" s="3336"/>
      <c r="Y11" s="3986"/>
      <c r="Z11" s="3337" t="str">
        <f t="shared" si="7"/>
        <v>容积率</v>
      </c>
      <c r="AA11" s="3337">
        <f t="shared" si="3"/>
        <v>1</v>
      </c>
      <c r="AB11" s="3337">
        <f t="shared" si="4"/>
        <v>1</v>
      </c>
      <c r="AC11" s="3337">
        <f t="shared" si="5"/>
        <v>1</v>
      </c>
    </row>
    <row r="12" spans="1:29" s="3339" customFormat="1" ht="15.75" hidden="1" thickBot="1">
      <c r="A12" s="3360"/>
      <c r="B12" s="3361">
        <v>111</v>
      </c>
      <c r="C12" s="3362"/>
      <c r="D12" s="3363">
        <v>100</v>
      </c>
      <c r="E12" s="3366"/>
      <c r="F12" s="3348">
        <f>SUMIF(70:70,E12,71:71)-SUMIF(70:70,C12,71:71)+100</f>
        <v>100</v>
      </c>
      <c r="G12" s="3366"/>
      <c r="H12" s="3350">
        <f>SUMIF(70:70,G12,71:71)-SUMIF(70:70,C12,71:71)+100</f>
        <v>100</v>
      </c>
      <c r="I12" s="3366"/>
      <c r="J12" s="3350">
        <f>SUMIF(70:70,I12,71:71)-SUMIF(70:70,C12,71:71)+100</f>
        <v>100</v>
      </c>
      <c r="K12" s="3365"/>
      <c r="L12" s="3332"/>
      <c r="M12" s="3333"/>
      <c r="N12" s="3333"/>
      <c r="O12" s="3333"/>
      <c r="P12" s="3985"/>
      <c r="Q12" s="3346">
        <f t="shared" si="6"/>
        <v>111</v>
      </c>
      <c r="R12" s="3334" t="s">
        <v>14</v>
      </c>
      <c r="S12" s="3335">
        <f t="shared" si="0"/>
        <v>100</v>
      </c>
      <c r="T12" s="3334" t="s">
        <v>14</v>
      </c>
      <c r="U12" s="3335">
        <f t="shared" si="1"/>
        <v>100</v>
      </c>
      <c r="V12" s="3334" t="s">
        <v>14</v>
      </c>
      <c r="W12" s="3335">
        <f t="shared" si="2"/>
        <v>100</v>
      </c>
      <c r="X12" s="3336"/>
      <c r="Y12" s="3986"/>
      <c r="Z12" s="3337">
        <f t="shared" si="7"/>
        <v>111</v>
      </c>
      <c r="AA12" s="3337">
        <f>D12/F12</f>
        <v>1</v>
      </c>
      <c r="AB12" s="3337">
        <f>D12/H12</f>
        <v>1</v>
      </c>
      <c r="AC12" s="3337">
        <f>D12/J12</f>
        <v>1</v>
      </c>
    </row>
    <row r="13" spans="1:29" ht="15.75" hidden="1" thickBot="1">
      <c r="A13" s="3355"/>
      <c r="B13" s="3361">
        <v>111</v>
      </c>
      <c r="C13" s="3366"/>
      <c r="D13" s="3367">
        <v>100</v>
      </c>
      <c r="E13" s="3366"/>
      <c r="F13" s="3348">
        <f>SUMIF(72:72,E13,73:73)-SUMIF(72:72,C13,73:73)+100</f>
        <v>100</v>
      </c>
      <c r="G13" s="3366"/>
      <c r="H13" s="3367">
        <f>SUMIF(72:72,G13,73:73)-SUMIF(72:72,C13,73:73)+100</f>
        <v>100</v>
      </c>
      <c r="I13" s="3366"/>
      <c r="J13" s="3367">
        <f>SUMIF(72:72,I13,73:73)-SUMIF(72:72,C13,73:73)+100</f>
        <v>100</v>
      </c>
      <c r="K13" s="3365"/>
      <c r="L13" s="3368"/>
      <c r="M13" s="3316"/>
      <c r="N13" s="3316"/>
      <c r="O13" s="3316"/>
      <c r="P13" s="3985"/>
      <c r="Q13" s="3346">
        <f t="shared" si="6"/>
        <v>111</v>
      </c>
      <c r="R13" s="3334" t="s">
        <v>14</v>
      </c>
      <c r="S13" s="3335">
        <f t="shared" si="0"/>
        <v>100</v>
      </c>
      <c r="T13" s="3334" t="s">
        <v>14</v>
      </c>
      <c r="U13" s="3335">
        <f t="shared" si="1"/>
        <v>100</v>
      </c>
      <c r="V13" s="3334" t="s">
        <v>14</v>
      </c>
      <c r="W13" s="3335">
        <f t="shared" si="2"/>
        <v>100</v>
      </c>
      <c r="X13" s="3336"/>
      <c r="Y13" s="3986"/>
      <c r="Z13" s="3337">
        <f t="shared" si="7"/>
        <v>111</v>
      </c>
      <c r="AA13" s="3337">
        <f t="shared" si="3"/>
        <v>1</v>
      </c>
      <c r="AB13" s="3337">
        <f t="shared" si="4"/>
        <v>1</v>
      </c>
      <c r="AC13" s="3337">
        <f t="shared" si="5"/>
        <v>1</v>
      </c>
    </row>
    <row r="14" spans="1:29" ht="15.75" hidden="1" thickBot="1">
      <c r="A14" s="3369"/>
      <c r="B14" s="3370">
        <v>111</v>
      </c>
      <c r="C14" s="3371"/>
      <c r="D14" s="3372">
        <v>100</v>
      </c>
      <c r="E14" s="3366"/>
      <c r="F14" s="3429">
        <f>SUMIF(74:74,E14,75:75)-SUMIF(74:74,C14,75:75)+100</f>
        <v>100</v>
      </c>
      <c r="G14" s="3366"/>
      <c r="H14" s="3372">
        <f>SUMIF(74:74,G14,75:75)-SUMIF(74:74,C14,75:75)+100</f>
        <v>100</v>
      </c>
      <c r="I14" s="3366"/>
      <c r="J14" s="3372">
        <f>SUMIF(74:74,I14,75:75)-SUMIF(74:74,C14,75:75)+100</f>
        <v>100</v>
      </c>
      <c r="K14" s="3365"/>
      <c r="L14" s="3368"/>
      <c r="M14" s="3316"/>
      <c r="N14" s="3316"/>
      <c r="O14" s="3316"/>
      <c r="P14" s="3985"/>
      <c r="Q14" s="3346">
        <f t="shared" si="6"/>
        <v>111</v>
      </c>
      <c r="R14" s="3334" t="s">
        <v>14</v>
      </c>
      <c r="S14" s="3335">
        <f t="shared" si="0"/>
        <v>100</v>
      </c>
      <c r="T14" s="3334" t="s">
        <v>14</v>
      </c>
      <c r="U14" s="3335">
        <f t="shared" si="1"/>
        <v>100</v>
      </c>
      <c r="V14" s="3334" t="s">
        <v>14</v>
      </c>
      <c r="W14" s="3335">
        <f t="shared" si="2"/>
        <v>100</v>
      </c>
      <c r="X14" s="3336"/>
      <c r="Y14" s="3986"/>
      <c r="Z14" s="3337">
        <f t="shared" si="7"/>
        <v>111</v>
      </c>
      <c r="AA14" s="3337">
        <f t="shared" si="3"/>
        <v>1</v>
      </c>
      <c r="AB14" s="3337">
        <f t="shared" si="4"/>
        <v>1</v>
      </c>
      <c r="AC14" s="3337">
        <f t="shared" si="5"/>
        <v>1</v>
      </c>
    </row>
    <row r="15" spans="1:29" ht="71.25">
      <c r="A15" s="3374" t="s">
        <v>1690</v>
      </c>
      <c r="B15" s="3606" t="s">
        <v>1906</v>
      </c>
      <c r="C15" s="3607" t="str">
        <f>[5]估价对象房地状况!C4</f>
        <v>估价对象位于XX商圈，周边商业氛围成熟，人流量大，商业繁华度好</v>
      </c>
      <c r="D15" s="3377">
        <v>100</v>
      </c>
      <c r="E15" s="3379"/>
      <c r="F15" s="3608">
        <f>SUMIF(76:76,E16,77:77)-SUMIF(76:76,C16,77:77)+100</f>
        <v>100</v>
      </c>
      <c r="G15" s="3378"/>
      <c r="H15" s="3377">
        <f>SUMIF(76:76,G16,77:77)-SUMIF(76:76,C16,77:77)+100</f>
        <v>100</v>
      </c>
      <c r="I15" s="3379"/>
      <c r="J15" s="3377">
        <f>SUMIF(76:76,I16,77:77)-SUMIF(76:76,C16,77:77)+100</f>
        <v>100</v>
      </c>
      <c r="K15" s="3380">
        <v>2</v>
      </c>
      <c r="L15" s="3368"/>
      <c r="M15" s="3316"/>
      <c r="N15" s="3316"/>
      <c r="O15" s="3316"/>
      <c r="P15" s="3987" t="s">
        <v>1691</v>
      </c>
      <c r="Q15" s="3382" t="str">
        <f t="shared" si="6"/>
        <v>商业繁华度</v>
      </c>
      <c r="R15" s="3383" t="s">
        <v>14</v>
      </c>
      <c r="S15" s="3384">
        <f t="shared" si="0"/>
        <v>100</v>
      </c>
      <c r="T15" s="3383" t="s">
        <v>14</v>
      </c>
      <c r="U15" s="3384">
        <f t="shared" si="1"/>
        <v>100</v>
      </c>
      <c r="V15" s="3383" t="s">
        <v>14</v>
      </c>
      <c r="W15" s="3384">
        <f t="shared" si="2"/>
        <v>100</v>
      </c>
      <c r="X15" s="3322"/>
      <c r="Y15" s="3989" t="s">
        <v>1691</v>
      </c>
      <c r="Z15" s="3321" t="str">
        <f t="shared" si="7"/>
        <v>商业繁华度</v>
      </c>
      <c r="AA15" s="3321">
        <f t="shared" si="3"/>
        <v>1</v>
      </c>
      <c r="AB15" s="3321">
        <f t="shared" si="4"/>
        <v>1</v>
      </c>
      <c r="AC15" s="3321">
        <f t="shared" si="5"/>
        <v>1</v>
      </c>
    </row>
    <row r="16" spans="1:29" ht="15">
      <c r="A16" s="3355"/>
      <c r="B16" s="3440"/>
      <c r="C16" s="3609" t="s">
        <v>3725</v>
      </c>
      <c r="D16" s="3388"/>
      <c r="E16" s="3609" t="s">
        <v>3725</v>
      </c>
      <c r="F16" s="3604"/>
      <c r="G16" s="3609" t="s">
        <v>3725</v>
      </c>
      <c r="H16" s="3389"/>
      <c r="I16" s="3609" t="s">
        <v>3725</v>
      </c>
      <c r="J16" s="3388"/>
      <c r="K16" s="3390"/>
      <c r="L16" s="3368"/>
      <c r="M16" s="3316"/>
      <c r="N16" s="3316"/>
      <c r="O16" s="3316"/>
      <c r="P16" s="3988"/>
      <c r="Q16" s="3382"/>
      <c r="R16" s="3383"/>
      <c r="S16" s="3384"/>
      <c r="T16" s="3383"/>
      <c r="U16" s="3384"/>
      <c r="V16" s="3383"/>
      <c r="W16" s="3384"/>
      <c r="X16" s="3322"/>
      <c r="Y16" s="3990"/>
      <c r="Z16" s="3321"/>
      <c r="AA16" s="3321">
        <v>1</v>
      </c>
      <c r="AB16" s="3321">
        <v>1</v>
      </c>
      <c r="AC16" s="3321">
        <v>1</v>
      </c>
    </row>
    <row r="17" spans="1:29" ht="85.5">
      <c r="A17" s="3355"/>
      <c r="B17" s="3610" t="s">
        <v>1259</v>
      </c>
      <c r="C17" s="3381" t="str">
        <f>[5]估价对象房地状况!C6</f>
        <v>估价对象周边道路状况、公共交通通达情况、停车便捷程度，综合评价交通便捷度较好</v>
      </c>
      <c r="D17" s="3389">
        <v>100</v>
      </c>
      <c r="E17" s="3395"/>
      <c r="F17" s="3603">
        <f>SUMIF(78:78,E18,79:79)-SUMIF(78:78,C18,79:79)+100</f>
        <v>100</v>
      </c>
      <c r="G17" s="3394"/>
      <c r="H17" s="3396">
        <f>SUMIF(78:78,G18,79:79)-SUMIF(78:78,C18,79:79)+100</f>
        <v>100</v>
      </c>
      <c r="I17" s="3395"/>
      <c r="J17" s="3396">
        <f>SUMIF(78:78,I18,79:79)-SUMIF(78:78,C18,79:79)+100</f>
        <v>100</v>
      </c>
      <c r="K17" s="3380">
        <v>2</v>
      </c>
      <c r="L17" s="3368"/>
      <c r="M17" s="3316"/>
      <c r="N17" s="3316"/>
      <c r="O17" s="3316"/>
      <c r="P17" s="3988"/>
      <c r="Q17" s="3382" t="str">
        <f>B17</f>
        <v>交通便捷度</v>
      </c>
      <c r="R17" s="3383" t="s">
        <v>14</v>
      </c>
      <c r="S17" s="3384">
        <f>F17</f>
        <v>100</v>
      </c>
      <c r="T17" s="3383" t="s">
        <v>14</v>
      </c>
      <c r="U17" s="3384">
        <f>H17</f>
        <v>100</v>
      </c>
      <c r="V17" s="3383" t="s">
        <v>14</v>
      </c>
      <c r="W17" s="3384">
        <f>J17</f>
        <v>100</v>
      </c>
      <c r="X17" s="3322"/>
      <c r="Y17" s="3990"/>
      <c r="Z17" s="3321" t="str">
        <f>Q17</f>
        <v>交通便捷度</v>
      </c>
      <c r="AA17" s="3321">
        <f t="shared" si="3"/>
        <v>1</v>
      </c>
      <c r="AB17" s="3321">
        <f t="shared" si="4"/>
        <v>1</v>
      </c>
      <c r="AC17" s="3321">
        <f t="shared" si="5"/>
        <v>1</v>
      </c>
    </row>
    <row r="18" spans="1:29" ht="15">
      <c r="A18" s="3355"/>
      <c r="B18" s="3611"/>
      <c r="C18" s="3609" t="s">
        <v>3725</v>
      </c>
      <c r="D18" s="3389"/>
      <c r="E18" s="3609" t="s">
        <v>3725</v>
      </c>
      <c r="F18" s="3603"/>
      <c r="G18" s="3609" t="s">
        <v>3725</v>
      </c>
      <c r="H18" s="3388"/>
      <c r="I18" s="3609" t="s">
        <v>3725</v>
      </c>
      <c r="J18" s="3388"/>
      <c r="K18" s="3390"/>
      <c r="L18" s="3368"/>
      <c r="M18" s="3316"/>
      <c r="N18" s="3316"/>
      <c r="O18" s="3316"/>
      <c r="P18" s="3988"/>
      <c r="Q18" s="3382"/>
      <c r="R18" s="3383"/>
      <c r="S18" s="3384"/>
      <c r="T18" s="3383"/>
      <c r="U18" s="3384"/>
      <c r="V18" s="3383"/>
      <c r="W18" s="3384"/>
      <c r="X18" s="3322"/>
      <c r="Y18" s="3990"/>
      <c r="Z18" s="3321"/>
      <c r="AA18" s="3321">
        <v>1</v>
      </c>
      <c r="AB18" s="3321">
        <v>1</v>
      </c>
      <c r="AC18" s="3321">
        <v>1</v>
      </c>
    </row>
    <row r="19" spans="1:29" ht="42.75">
      <c r="A19" s="3355"/>
      <c r="B19" s="3610" t="s">
        <v>1727</v>
      </c>
      <c r="C19" s="3381" t="str">
        <f>[5]估价对象房地状况!C7</f>
        <v>估价对象所在区域公共配套设施齐备情况</v>
      </c>
      <c r="D19" s="3396">
        <v>100</v>
      </c>
      <c r="E19" s="3399"/>
      <c r="F19" s="3602">
        <f>SUMIF(80:80,E20,81:81)-SUMIF(80:80,C20,81:81)+100</f>
        <v>100</v>
      </c>
      <c r="G19" s="3398"/>
      <c r="H19" s="3389">
        <f>SUMIF(80:80,G20,81:81)-SUMIF(80:80,C20,81:81)+100</f>
        <v>100</v>
      </c>
      <c r="I19" s="3399"/>
      <c r="J19" s="3389">
        <f>SUMIF(80:80,I20,81:81)-SUMIF(80:80,C20,81:81)+100</f>
        <v>100</v>
      </c>
      <c r="K19" s="3380">
        <v>2</v>
      </c>
      <c r="L19" s="3368"/>
      <c r="M19" s="3316"/>
      <c r="N19" s="3316"/>
      <c r="O19" s="3316"/>
      <c r="P19" s="3988"/>
      <c r="Q19" s="3382" t="str">
        <f>B19</f>
        <v>公共配套设施</v>
      </c>
      <c r="R19" s="3383" t="s">
        <v>14</v>
      </c>
      <c r="S19" s="3384">
        <f>F19</f>
        <v>100</v>
      </c>
      <c r="T19" s="3383" t="s">
        <v>14</v>
      </c>
      <c r="U19" s="3384">
        <f>H19</f>
        <v>100</v>
      </c>
      <c r="V19" s="3383" t="s">
        <v>14</v>
      </c>
      <c r="W19" s="3384">
        <f>J19</f>
        <v>100</v>
      </c>
      <c r="X19" s="3322"/>
      <c r="Y19" s="3990"/>
      <c r="Z19" s="3321" t="str">
        <f>Q19</f>
        <v>公共配套设施</v>
      </c>
      <c r="AA19" s="3321">
        <f t="shared" si="3"/>
        <v>1</v>
      </c>
      <c r="AB19" s="3321">
        <f t="shared" si="4"/>
        <v>1</v>
      </c>
      <c r="AC19" s="3321">
        <f t="shared" si="5"/>
        <v>1</v>
      </c>
    </row>
    <row r="20" spans="1:29" ht="15">
      <c r="A20" s="3355"/>
      <c r="B20" s="3611"/>
      <c r="C20" s="3609" t="s">
        <v>3725</v>
      </c>
      <c r="D20" s="3388"/>
      <c r="E20" s="3609" t="s">
        <v>3725</v>
      </c>
      <c r="F20" s="3604"/>
      <c r="G20" s="3609" t="s">
        <v>3725</v>
      </c>
      <c r="H20" s="3388"/>
      <c r="I20" s="3612" t="s">
        <v>3725</v>
      </c>
      <c r="J20" s="3388"/>
      <c r="K20" s="3390"/>
      <c r="L20" s="3368"/>
      <c r="M20" s="3316"/>
      <c r="N20" s="3316"/>
      <c r="O20" s="3316"/>
      <c r="P20" s="3988"/>
      <c r="Q20" s="3382"/>
      <c r="R20" s="3383"/>
      <c r="S20" s="3384"/>
      <c r="T20" s="3383"/>
      <c r="U20" s="3384"/>
      <c r="V20" s="3383"/>
      <c r="W20" s="3384"/>
      <c r="X20" s="3322"/>
      <c r="Y20" s="3990"/>
      <c r="Z20" s="3321"/>
      <c r="AA20" s="3321">
        <v>1</v>
      </c>
      <c r="AB20" s="3321">
        <v>1</v>
      </c>
      <c r="AC20" s="3321">
        <v>1</v>
      </c>
    </row>
    <row r="21" spans="1:29" ht="28.5">
      <c r="A21" s="3355"/>
      <c r="B21" s="3613" t="s">
        <v>3738</v>
      </c>
      <c r="C21" s="3381" t="str">
        <f>[5]估价对象房地状况!C8</f>
        <v>估价对象所在区域基础设施水平</v>
      </c>
      <c r="D21" s="3396">
        <v>100</v>
      </c>
      <c r="E21" s="3399"/>
      <c r="F21" s="3602">
        <f>SUMIF(82:82,E22,83:83)-SUMIF(82:82,C22,83:83)+100</f>
        <v>100</v>
      </c>
      <c r="G21" s="3398"/>
      <c r="H21" s="3389">
        <f>SUMIF(82:82,G22,83:83)-SUMIF(82:82,C22,83:83)+100</f>
        <v>100</v>
      </c>
      <c r="I21" s="3399"/>
      <c r="J21" s="3389">
        <f>SUMIF(82:82,I22,83:83)-SUMIF(82:82,C22,83:83)+100</f>
        <v>100</v>
      </c>
      <c r="K21" s="3380">
        <v>1</v>
      </c>
      <c r="L21" s="3368"/>
      <c r="M21" s="3316"/>
      <c r="N21" s="3316"/>
      <c r="O21" s="3316"/>
      <c r="P21" s="3988"/>
      <c r="Q21" s="3382" t="str">
        <f>B21</f>
        <v>基础设施水平</v>
      </c>
      <c r="R21" s="3383" t="s">
        <v>14</v>
      </c>
      <c r="S21" s="3384">
        <f>F21</f>
        <v>100</v>
      </c>
      <c r="T21" s="3383" t="s">
        <v>14</v>
      </c>
      <c r="U21" s="3384">
        <f>H21</f>
        <v>100</v>
      </c>
      <c r="V21" s="3383" t="s">
        <v>14</v>
      </c>
      <c r="W21" s="3384">
        <f>J21</f>
        <v>100</v>
      </c>
      <c r="X21" s="3322"/>
      <c r="Y21" s="3990"/>
      <c r="Z21" s="3321" t="str">
        <f>Q21</f>
        <v>基础设施水平</v>
      </c>
      <c r="AA21" s="3321">
        <f t="shared" ref="AA21" si="8">D21/F21</f>
        <v>1</v>
      </c>
      <c r="AB21" s="3321">
        <f t="shared" ref="AB21" si="9">D21/H21</f>
        <v>1</v>
      </c>
      <c r="AC21" s="3321">
        <f t="shared" ref="AC21" si="10">D21/J21</f>
        <v>1</v>
      </c>
    </row>
    <row r="22" spans="1:29" ht="15">
      <c r="A22" s="3355"/>
      <c r="B22" s="3613"/>
      <c r="C22" s="3614" t="s">
        <v>3739</v>
      </c>
      <c r="D22" s="3388"/>
      <c r="E22" s="3614" t="s">
        <v>3739</v>
      </c>
      <c r="F22" s="3604"/>
      <c r="G22" s="3614" t="s">
        <v>3739</v>
      </c>
      <c r="H22" s="3388"/>
      <c r="I22" s="3609" t="s">
        <v>3739</v>
      </c>
      <c r="J22" s="3388"/>
      <c r="K22" s="3402"/>
      <c r="L22" s="3368"/>
      <c r="M22" s="3316"/>
      <c r="N22" s="3316"/>
      <c r="O22" s="3316"/>
      <c r="P22" s="3988"/>
      <c r="Q22" s="3382"/>
      <c r="R22" s="3383"/>
      <c r="S22" s="3384"/>
      <c r="T22" s="3383"/>
      <c r="U22" s="3384"/>
      <c r="V22" s="3383"/>
      <c r="W22" s="3384"/>
      <c r="X22" s="3322"/>
      <c r="Y22" s="3990"/>
      <c r="Z22" s="3321"/>
      <c r="AA22" s="3321">
        <v>1</v>
      </c>
      <c r="AB22" s="3321">
        <v>1</v>
      </c>
      <c r="AC22" s="3321">
        <v>1</v>
      </c>
    </row>
    <row r="23" spans="1:29" ht="57">
      <c r="A23" s="3355"/>
      <c r="B23" s="3610" t="s">
        <v>1261</v>
      </c>
      <c r="C23" s="3615" t="str">
        <f>[5]估价对象房地状况!C9</f>
        <v>区域自然环境：；人文环境；综合评价环境状况一般</v>
      </c>
      <c r="D23" s="3389">
        <v>100</v>
      </c>
      <c r="E23" s="3395"/>
      <c r="F23" s="3603">
        <f>SUMIF(84:84,E24,85:85)-SUMIF(84:84,C24,85:85)+100</f>
        <v>100</v>
      </c>
      <c r="G23" s="3394"/>
      <c r="H23" s="3389">
        <f>SUMIF(84:84,G24,85:85)-SUMIF(84:84,C24,85:85)+100</f>
        <v>100</v>
      </c>
      <c r="I23" s="3395"/>
      <c r="J23" s="3389">
        <f>SUMIF(84:84,I24,85:85)-SUMIF(84:84,C24,85:85)+100</f>
        <v>100</v>
      </c>
      <c r="K23" s="3380">
        <v>2</v>
      </c>
      <c r="L23" s="3368"/>
      <c r="M23" s="3316"/>
      <c r="N23" s="3316"/>
      <c r="O23" s="3316"/>
      <c r="P23" s="3988"/>
      <c r="Q23" s="3382" t="str">
        <f>B23</f>
        <v>自然及人文环境</v>
      </c>
      <c r="R23" s="3383" t="s">
        <v>14</v>
      </c>
      <c r="S23" s="3384">
        <f>F23</f>
        <v>100</v>
      </c>
      <c r="T23" s="3383" t="s">
        <v>14</v>
      </c>
      <c r="U23" s="3384">
        <f>H23</f>
        <v>100</v>
      </c>
      <c r="V23" s="3383" t="s">
        <v>14</v>
      </c>
      <c r="W23" s="3384">
        <f>J23</f>
        <v>100</v>
      </c>
      <c r="X23" s="3322"/>
      <c r="Y23" s="3990"/>
      <c r="Z23" s="3321" t="str">
        <f>Q23</f>
        <v>自然及人文环境</v>
      </c>
      <c r="AA23" s="3321">
        <f t="shared" si="3"/>
        <v>1</v>
      </c>
      <c r="AB23" s="3321">
        <f t="shared" si="4"/>
        <v>1</v>
      </c>
      <c r="AC23" s="3321">
        <f t="shared" si="5"/>
        <v>1</v>
      </c>
    </row>
    <row r="24" spans="1:29" ht="15">
      <c r="A24" s="3355"/>
      <c r="B24" s="3611"/>
      <c r="C24" s="3609" t="s">
        <v>3725</v>
      </c>
      <c r="D24" s="3388"/>
      <c r="E24" s="3609" t="s">
        <v>3725</v>
      </c>
      <c r="F24" s="3604"/>
      <c r="G24" s="3609" t="s">
        <v>3725</v>
      </c>
      <c r="H24" s="3388"/>
      <c r="I24" s="3609" t="s">
        <v>3725</v>
      </c>
      <c r="J24" s="3388"/>
      <c r="K24" s="3390"/>
      <c r="L24" s="3368"/>
      <c r="M24" s="3316"/>
      <c r="N24" s="3316"/>
      <c r="O24" s="3316"/>
      <c r="P24" s="3988"/>
      <c r="Q24" s="3382"/>
      <c r="R24" s="3383"/>
      <c r="S24" s="3384"/>
      <c r="T24" s="3383"/>
      <c r="U24" s="3384"/>
      <c r="V24" s="3383"/>
      <c r="W24" s="3384"/>
      <c r="X24" s="3322"/>
      <c r="Y24" s="3990"/>
      <c r="Z24" s="3321"/>
      <c r="AA24" s="3321">
        <v>1</v>
      </c>
      <c r="AB24" s="3321">
        <v>1</v>
      </c>
      <c r="AC24" s="3321">
        <v>1</v>
      </c>
    </row>
    <row r="25" spans="1:29" ht="15">
      <c r="A25" s="3355"/>
      <c r="B25" s="3348" t="s">
        <v>1804</v>
      </c>
      <c r="C25" s="3405" t="s">
        <v>3778</v>
      </c>
      <c r="D25" s="3367">
        <v>100</v>
      </c>
      <c r="E25" s="3405" t="s">
        <v>3779</v>
      </c>
      <c r="F25" s="3413">
        <f>SUMIF(86:86,E25,87:87)-SUMIF(86:86,C25,87:87)+100</f>
        <v>105</v>
      </c>
      <c r="G25" s="3405" t="s">
        <v>3779</v>
      </c>
      <c r="H25" s="3367">
        <f>SUMIF(86:86,G25,87:87)-SUMIF(86:86,C25,87:87)+100</f>
        <v>105</v>
      </c>
      <c r="I25" s="3405" t="s">
        <v>3779</v>
      </c>
      <c r="J25" s="3367">
        <f>SUMIF(86:86,I25,87:87)-SUMIF(86:86,C25,87:87)+100</f>
        <v>105</v>
      </c>
      <c r="K25" s="3358">
        <v>5</v>
      </c>
      <c r="L25" s="3368"/>
      <c r="M25" s="3316"/>
      <c r="N25" s="3316"/>
      <c r="O25" s="3316"/>
      <c r="P25" s="3988"/>
      <c r="Q25" s="3382" t="str">
        <f t="shared" ref="Q25:Q46" si="11">B25</f>
        <v>临街状况</v>
      </c>
      <c r="R25" s="3383" t="s">
        <v>14</v>
      </c>
      <c r="S25" s="3384">
        <f>F25</f>
        <v>105</v>
      </c>
      <c r="T25" s="3383" t="s">
        <v>14</v>
      </c>
      <c r="U25" s="3384">
        <f>H25</f>
        <v>105</v>
      </c>
      <c r="V25" s="3383" t="s">
        <v>14</v>
      </c>
      <c r="W25" s="3384">
        <f>J25</f>
        <v>105</v>
      </c>
      <c r="X25" s="3322"/>
      <c r="Y25" s="3990"/>
      <c r="Z25" s="3321" t="str">
        <f>Q25</f>
        <v>临街状况</v>
      </c>
      <c r="AA25" s="3321">
        <f t="shared" si="3"/>
        <v>0.95238095238095233</v>
      </c>
      <c r="AB25" s="3321">
        <f t="shared" si="4"/>
        <v>0.95238095238095233</v>
      </c>
      <c r="AC25" s="3321">
        <f t="shared" si="5"/>
        <v>0.95238095238095233</v>
      </c>
    </row>
    <row r="26" spans="1:29" ht="15">
      <c r="A26" s="3355"/>
      <c r="B26" s="3427" t="s">
        <v>3780</v>
      </c>
      <c r="C26" s="3616" t="s">
        <v>3781</v>
      </c>
      <c r="D26" s="3367">
        <v>100</v>
      </c>
      <c r="E26" s="3616" t="s">
        <v>3782</v>
      </c>
      <c r="F26" s="3413">
        <f>SUMIF(88:88,E26,89:89)-SUMIF(88:88,C26,89:89)+100</f>
        <v>102</v>
      </c>
      <c r="G26" s="3616" t="s">
        <v>3782</v>
      </c>
      <c r="H26" s="3367">
        <f>SUMIF(88:88,G26,89:89)-SUMIF(88:88,C26,89:89)+100</f>
        <v>102</v>
      </c>
      <c r="I26" s="3616" t="s">
        <v>3782</v>
      </c>
      <c r="J26" s="3367">
        <f>SUMIF(88:88,I26,89:89)-SUMIF(88:88,C26,89:89)+100</f>
        <v>102</v>
      </c>
      <c r="K26" s="3365"/>
      <c r="L26" s="3368"/>
      <c r="M26" s="3316"/>
      <c r="N26" s="3316"/>
      <c r="O26" s="3316"/>
      <c r="P26" s="3988"/>
      <c r="Q26" s="3382" t="str">
        <f t="shared" si="11"/>
        <v>平面位置/可视性</v>
      </c>
      <c r="R26" s="3383" t="s">
        <v>14</v>
      </c>
      <c r="S26" s="3384">
        <f>F26</f>
        <v>102</v>
      </c>
      <c r="T26" s="3383" t="s">
        <v>14</v>
      </c>
      <c r="U26" s="3384">
        <f>H26</f>
        <v>102</v>
      </c>
      <c r="V26" s="3383" t="s">
        <v>14</v>
      </c>
      <c r="W26" s="3384">
        <f>J26</f>
        <v>102</v>
      </c>
      <c r="X26" s="3322"/>
      <c r="Y26" s="3990"/>
      <c r="Z26" s="3321" t="str">
        <f>Q26</f>
        <v>平面位置/可视性</v>
      </c>
      <c r="AA26" s="3321">
        <f t="shared" si="3"/>
        <v>0.98039215686274506</v>
      </c>
      <c r="AB26" s="3321">
        <f t="shared" si="4"/>
        <v>0.98039215686274506</v>
      </c>
      <c r="AC26" s="3321">
        <f t="shared" si="5"/>
        <v>0.98039215686274506</v>
      </c>
    </row>
    <row r="27" spans="1:29" s="3339" customFormat="1" ht="15">
      <c r="A27" s="3360"/>
      <c r="B27" s="3610" t="s">
        <v>3783</v>
      </c>
      <c r="C27" s="3407" t="s">
        <v>3781</v>
      </c>
      <c r="D27" s="3397">
        <v>100</v>
      </c>
      <c r="E27" s="3609" t="s">
        <v>3725</v>
      </c>
      <c r="F27" s="3611">
        <f>SUMIF(90:90,E27,91:91)-SUMIF(90:90,C27,91:91)+100</f>
        <v>103</v>
      </c>
      <c r="G27" s="3609" t="s">
        <v>3725</v>
      </c>
      <c r="H27" s="3397">
        <f>SUMIF(90:90,G27,91:91)-SUMIF(90:90,C27,91:91)+100</f>
        <v>103</v>
      </c>
      <c r="I27" s="3609" t="s">
        <v>3725</v>
      </c>
      <c r="J27" s="3397">
        <f>SUMIF(90:90,I27,91:91)-SUMIF(90:90,C27,91:91)+100</f>
        <v>103</v>
      </c>
      <c r="K27" s="3358">
        <v>3</v>
      </c>
      <c r="L27" s="3332"/>
      <c r="M27" s="3333"/>
      <c r="N27" s="3333"/>
      <c r="O27" s="3333"/>
      <c r="P27" s="3988"/>
      <c r="Q27" s="3346" t="str">
        <f t="shared" si="11"/>
        <v>人流量</v>
      </c>
      <c r="R27" s="3334" t="s">
        <v>14</v>
      </c>
      <c r="S27" s="3335">
        <f>F27</f>
        <v>103</v>
      </c>
      <c r="T27" s="3334" t="s">
        <v>14</v>
      </c>
      <c r="U27" s="3335">
        <f>H27</f>
        <v>103</v>
      </c>
      <c r="V27" s="3334" t="s">
        <v>14</v>
      </c>
      <c r="W27" s="3335">
        <f>J27</f>
        <v>103</v>
      </c>
      <c r="X27" s="3336"/>
      <c r="Y27" s="3990"/>
      <c r="Z27" s="3337" t="str">
        <f>Q27</f>
        <v>人流量</v>
      </c>
      <c r="AA27" s="3321">
        <f>D27/F27</f>
        <v>0.970873786407767</v>
      </c>
      <c r="AB27" s="3321">
        <f>D27/H27</f>
        <v>0.970873786407767</v>
      </c>
      <c r="AC27" s="3321">
        <f>D27/J27</f>
        <v>0.970873786407767</v>
      </c>
    </row>
    <row r="28" spans="1:29" ht="15.75" thickBot="1">
      <c r="A28" s="3355"/>
      <c r="B28" s="3348" t="s">
        <v>1852</v>
      </c>
      <c r="C28" s="3405" t="s">
        <v>3784</v>
      </c>
      <c r="D28" s="3367">
        <v>100</v>
      </c>
      <c r="E28" s="3405" t="s">
        <v>3784</v>
      </c>
      <c r="F28" s="3413">
        <f>SUMIF(92:92,E28,93:93)-SUMIF(92:92,C28,93:93)+100</f>
        <v>100</v>
      </c>
      <c r="G28" s="3405" t="s">
        <v>3784</v>
      </c>
      <c r="H28" s="3367">
        <f>SUMIF(92:92,G28,93:93)-SUMIF(92:92,C28,93:93)+100</f>
        <v>100</v>
      </c>
      <c r="I28" s="3405" t="s">
        <v>3784</v>
      </c>
      <c r="J28" s="3367">
        <f>SUMIF(92:92,I28,93:93)-SUMIF(92:92,C28,93:93)+100</f>
        <v>100</v>
      </c>
      <c r="K28" s="3365"/>
      <c r="L28" s="3368"/>
      <c r="M28" s="3316"/>
      <c r="N28" s="3316"/>
      <c r="O28" s="3316"/>
      <c r="P28" s="3988"/>
      <c r="Q28" s="3382" t="str">
        <f t="shared" si="11"/>
        <v>楼层</v>
      </c>
      <c r="R28" s="3383" t="s">
        <v>14</v>
      </c>
      <c r="S28" s="3384">
        <f t="shared" ref="S28:S46" si="12">F28</f>
        <v>100</v>
      </c>
      <c r="T28" s="3383" t="s">
        <v>14</v>
      </c>
      <c r="U28" s="3384">
        <f t="shared" ref="U28:U46" si="13">H28</f>
        <v>100</v>
      </c>
      <c r="V28" s="3383" t="s">
        <v>14</v>
      </c>
      <c r="W28" s="3384">
        <f t="shared" ref="W28:W46" si="14">J28</f>
        <v>100</v>
      </c>
      <c r="X28" s="3322"/>
      <c r="Y28" s="3990"/>
      <c r="Z28" s="3321" t="str">
        <f t="shared" ref="Z28:Z46" si="15">Q28</f>
        <v>楼层</v>
      </c>
      <c r="AA28" s="3321">
        <f t="shared" si="3"/>
        <v>1</v>
      </c>
      <c r="AB28" s="3321">
        <f t="shared" si="4"/>
        <v>1</v>
      </c>
      <c r="AC28" s="3321">
        <f t="shared" si="5"/>
        <v>1</v>
      </c>
    </row>
    <row r="29" spans="1:29" ht="15.75" hidden="1" thickBot="1">
      <c r="A29" s="3355"/>
      <c r="B29" s="3427">
        <v>111</v>
      </c>
      <c r="C29" s="3366"/>
      <c r="D29" s="3367">
        <v>100</v>
      </c>
      <c r="E29" s="3366"/>
      <c r="F29" s="3413">
        <f>SUMIF(94:94,E29,95:95)-SUMIF(94:94,C29,95:95)+100</f>
        <v>100</v>
      </c>
      <c r="G29" s="3366"/>
      <c r="H29" s="3367">
        <f>SUMIF(94:94,G29,95:95)-SUMIF(94:94,C29,95:95)+100</f>
        <v>100</v>
      </c>
      <c r="I29" s="3366"/>
      <c r="J29" s="3367">
        <f>SUMIF(94:94,I29,95:95)-SUMIF(94:94,C29,95:95)+100</f>
        <v>100</v>
      </c>
      <c r="K29" s="3365"/>
      <c r="L29" s="3368"/>
      <c r="M29" s="3316"/>
      <c r="N29" s="3316"/>
      <c r="O29" s="3316"/>
      <c r="P29" s="3988"/>
      <c r="Q29" s="3382">
        <f t="shared" si="11"/>
        <v>111</v>
      </c>
      <c r="R29" s="3383" t="s">
        <v>14</v>
      </c>
      <c r="S29" s="3384">
        <f t="shared" si="12"/>
        <v>100</v>
      </c>
      <c r="T29" s="3383" t="s">
        <v>14</v>
      </c>
      <c r="U29" s="3384">
        <f t="shared" si="13"/>
        <v>100</v>
      </c>
      <c r="V29" s="3383" t="s">
        <v>14</v>
      </c>
      <c r="W29" s="3384">
        <f t="shared" si="14"/>
        <v>100</v>
      </c>
      <c r="X29" s="3322"/>
      <c r="Y29" s="3990"/>
      <c r="Z29" s="3321">
        <f t="shared" si="15"/>
        <v>111</v>
      </c>
      <c r="AA29" s="3321">
        <f t="shared" si="3"/>
        <v>1</v>
      </c>
      <c r="AB29" s="3321">
        <f t="shared" si="4"/>
        <v>1</v>
      </c>
      <c r="AC29" s="3321">
        <f t="shared" si="5"/>
        <v>1</v>
      </c>
    </row>
    <row r="30" spans="1:29" ht="15.75" hidden="1" thickBot="1">
      <c r="A30" s="3355"/>
      <c r="B30" s="3427">
        <v>111</v>
      </c>
      <c r="C30" s="3366"/>
      <c r="D30" s="3367">
        <v>100</v>
      </c>
      <c r="E30" s="3366"/>
      <c r="F30" s="3413">
        <f>SUMIF(96:96,E30,97:97)-SUMIF(96:96,C30,97:97)+100</f>
        <v>100</v>
      </c>
      <c r="G30" s="3366"/>
      <c r="H30" s="3367">
        <f>SUMIF(96:96,G30,97:97)-SUMIF(96:96,C30,97:97)+100</f>
        <v>100</v>
      </c>
      <c r="I30" s="3366"/>
      <c r="J30" s="3367">
        <f>SUMIF(96:96,I30,97:97)-SUMIF(96:96,C30,97:97)+100</f>
        <v>100</v>
      </c>
      <c r="K30" s="3365"/>
      <c r="L30" s="3368"/>
      <c r="M30" s="3316"/>
      <c r="N30" s="3316"/>
      <c r="O30" s="3316"/>
      <c r="P30" s="3988"/>
      <c r="Q30" s="3382">
        <f t="shared" si="11"/>
        <v>111</v>
      </c>
      <c r="R30" s="3383" t="s">
        <v>14</v>
      </c>
      <c r="S30" s="3384">
        <f t="shared" si="12"/>
        <v>100</v>
      </c>
      <c r="T30" s="3383" t="s">
        <v>14</v>
      </c>
      <c r="U30" s="3384">
        <f t="shared" si="13"/>
        <v>100</v>
      </c>
      <c r="V30" s="3383" t="s">
        <v>14</v>
      </c>
      <c r="W30" s="3384">
        <f t="shared" si="14"/>
        <v>100</v>
      </c>
      <c r="X30" s="3322"/>
      <c r="Y30" s="3990"/>
      <c r="Z30" s="3321">
        <f t="shared" si="15"/>
        <v>111</v>
      </c>
      <c r="AA30" s="3321">
        <f t="shared" si="3"/>
        <v>1</v>
      </c>
      <c r="AB30" s="3321">
        <f t="shared" si="4"/>
        <v>1</v>
      </c>
      <c r="AC30" s="3321">
        <f t="shared" si="5"/>
        <v>1</v>
      </c>
    </row>
    <row r="31" spans="1:29" ht="15.75" hidden="1" thickBot="1">
      <c r="A31" s="3369"/>
      <c r="B31" s="3427">
        <v>111</v>
      </c>
      <c r="C31" s="3371"/>
      <c r="D31" s="3372">
        <v>100</v>
      </c>
      <c r="E31" s="3366"/>
      <c r="F31" s="3429">
        <f>SUMIF(98:98,E31,99:99)-SUMIF(98:98,C31,99:99)+100</f>
        <v>100</v>
      </c>
      <c r="G31" s="3366"/>
      <c r="H31" s="3372">
        <f>SUMIF(98:98,G31,99:99)-SUMIF(98:98,C31,99:99)+100</f>
        <v>100</v>
      </c>
      <c r="I31" s="3366"/>
      <c r="J31" s="3372">
        <f>SUMIF(98:98,I31,99:99)-SUMIF(98:98,C31,99:99)+100</f>
        <v>100</v>
      </c>
      <c r="K31" s="3365"/>
      <c r="L31" s="3368"/>
      <c r="M31" s="3316"/>
      <c r="N31" s="3316"/>
      <c r="O31" s="3316"/>
      <c r="P31" s="3988"/>
      <c r="Q31" s="3382">
        <f t="shared" si="11"/>
        <v>111</v>
      </c>
      <c r="R31" s="3383" t="s">
        <v>14</v>
      </c>
      <c r="S31" s="3384">
        <f t="shared" si="12"/>
        <v>100</v>
      </c>
      <c r="T31" s="3383" t="s">
        <v>14</v>
      </c>
      <c r="U31" s="3384">
        <f t="shared" si="13"/>
        <v>100</v>
      </c>
      <c r="V31" s="3383" t="s">
        <v>14</v>
      </c>
      <c r="W31" s="3384">
        <f t="shared" si="14"/>
        <v>100</v>
      </c>
      <c r="X31" s="3322"/>
      <c r="Y31" s="3990"/>
      <c r="Z31" s="3321">
        <f t="shared" si="15"/>
        <v>111</v>
      </c>
      <c r="AA31" s="3321">
        <f t="shared" si="3"/>
        <v>1</v>
      </c>
      <c r="AB31" s="3321">
        <f t="shared" si="4"/>
        <v>1</v>
      </c>
      <c r="AC31" s="3321">
        <f t="shared" si="5"/>
        <v>1</v>
      </c>
    </row>
    <row r="32" spans="1:29" ht="15">
      <c r="A32" s="3374" t="s">
        <v>1694</v>
      </c>
      <c r="B32" s="3342" t="s">
        <v>1805</v>
      </c>
      <c r="C32" s="3412" t="s">
        <v>3785</v>
      </c>
      <c r="D32" s="3313">
        <v>100</v>
      </c>
      <c r="E32" s="3412" t="s">
        <v>3786</v>
      </c>
      <c r="F32" s="3413">
        <f>SUMIF(100:100,E32,101:101)-SUMIF(100:100,C32,101:101)+100</f>
        <v>99</v>
      </c>
      <c r="G32" s="3412" t="s">
        <v>3786</v>
      </c>
      <c r="H32" s="3367">
        <f>SUMIF(100:100,G32,101:101)-SUMIF(100:100,C32,101:101)+100</f>
        <v>99</v>
      </c>
      <c r="I32" s="3412" t="s">
        <v>3785</v>
      </c>
      <c r="J32" s="3313">
        <f>SUMIF(100:100,I32,101:101)-SUMIF(100:100,C32,101:101)+100</f>
        <v>100</v>
      </c>
      <c r="K32" s="3358">
        <v>1</v>
      </c>
      <c r="L32" s="3368"/>
      <c r="M32" s="3316"/>
      <c r="N32" s="3316"/>
      <c r="O32" s="3316"/>
      <c r="P32" s="3991" t="s">
        <v>1696</v>
      </c>
      <c r="Q32" s="3382" t="str">
        <f t="shared" si="11"/>
        <v>商业类型</v>
      </c>
      <c r="R32" s="3383" t="s">
        <v>14</v>
      </c>
      <c r="S32" s="3384">
        <f t="shared" si="12"/>
        <v>99</v>
      </c>
      <c r="T32" s="3383" t="s">
        <v>14</v>
      </c>
      <c r="U32" s="3384">
        <f t="shared" si="13"/>
        <v>99</v>
      </c>
      <c r="V32" s="3383" t="s">
        <v>14</v>
      </c>
      <c r="W32" s="3384">
        <f t="shared" si="14"/>
        <v>100</v>
      </c>
      <c r="X32" s="3322"/>
      <c r="Y32" s="3994" t="s">
        <v>1696</v>
      </c>
      <c r="Z32" s="3321" t="str">
        <f t="shared" si="15"/>
        <v>商业类型</v>
      </c>
      <c r="AA32" s="3321">
        <f t="shared" si="3"/>
        <v>1.0101010101010102</v>
      </c>
      <c r="AB32" s="3321">
        <f t="shared" si="4"/>
        <v>1.0101010101010102</v>
      </c>
      <c r="AC32" s="3321">
        <f t="shared" si="5"/>
        <v>1</v>
      </c>
    </row>
    <row r="33" spans="1:29" s="3422" customFormat="1" ht="27.75">
      <c r="A33" s="3414"/>
      <c r="B33" s="3348" t="s">
        <v>1697</v>
      </c>
      <c r="C33" s="3415">
        <f>[5]结果!F13</f>
        <v>734.88</v>
      </c>
      <c r="D33" s="3350">
        <v>100</v>
      </c>
      <c r="E33" s="3357">
        <v>150</v>
      </c>
      <c r="F33" s="3348">
        <f>LOOKUP(E33,103:103,104:104)-LOOKUP(C33,103:103,104:104)+100</f>
        <v>100</v>
      </c>
      <c r="G33" s="3356">
        <v>350</v>
      </c>
      <c r="H33" s="3350">
        <f>LOOKUP(G33,103:103,104:104)-LOOKUP(C33,103:103,104:104)+100</f>
        <v>100</v>
      </c>
      <c r="I33" s="3356">
        <v>460</v>
      </c>
      <c r="J33" s="3350">
        <f>LOOKUP(I33,103:103,104:104)-LOOKUP(C33,103:103,104:104)+100</f>
        <v>100</v>
      </c>
      <c r="K33" s="3365"/>
      <c r="L33" s="3642" t="s">
        <v>3864</v>
      </c>
      <c r="M33" s="3416"/>
      <c r="N33" s="3416"/>
      <c r="O33" s="3416"/>
      <c r="P33" s="3992"/>
      <c r="Q33" s="3417" t="str">
        <f t="shared" si="11"/>
        <v>项目建筑规模</v>
      </c>
      <c r="R33" s="3418" t="s">
        <v>14</v>
      </c>
      <c r="S33" s="3419">
        <f t="shared" si="12"/>
        <v>100</v>
      </c>
      <c r="T33" s="3418" t="s">
        <v>14</v>
      </c>
      <c r="U33" s="3419">
        <f t="shared" si="13"/>
        <v>100</v>
      </c>
      <c r="V33" s="3418" t="s">
        <v>14</v>
      </c>
      <c r="W33" s="3419">
        <f t="shared" si="14"/>
        <v>100</v>
      </c>
      <c r="X33" s="3420"/>
      <c r="Y33" s="3994"/>
      <c r="Z33" s="3421" t="str">
        <f t="shared" si="15"/>
        <v>项目建筑规模</v>
      </c>
      <c r="AA33" s="3321">
        <f t="shared" si="3"/>
        <v>1</v>
      </c>
      <c r="AB33" s="3321">
        <f t="shared" si="4"/>
        <v>1</v>
      </c>
      <c r="AC33" s="3321">
        <f t="shared" si="5"/>
        <v>1</v>
      </c>
    </row>
    <row r="34" spans="1:29" ht="15">
      <c r="A34" s="3423"/>
      <c r="B34" s="3348" t="s">
        <v>1698</v>
      </c>
      <c r="C34" s="3424" t="s">
        <v>3701</v>
      </c>
      <c r="D34" s="3367">
        <v>100</v>
      </c>
      <c r="E34" s="3424" t="s">
        <v>3701</v>
      </c>
      <c r="F34" s="3413">
        <f>SUMIF(105:105,E34,106:106)-SUMIF(105:105,C34,106:106)+100</f>
        <v>100</v>
      </c>
      <c r="G34" s="3424" t="s">
        <v>3701</v>
      </c>
      <c r="H34" s="3367">
        <f>SUMIF(105:105,G34,106:106)-SUMIF(105:105,C34,106:106)+100</f>
        <v>100</v>
      </c>
      <c r="I34" s="3424" t="s">
        <v>3701</v>
      </c>
      <c r="J34" s="3367">
        <f>SUMIF(105:105,I34,106:106)-SUMIF(105:105,C34,106:106)+100</f>
        <v>100</v>
      </c>
      <c r="K34" s="3358">
        <v>2</v>
      </c>
      <c r="L34" s="3368"/>
      <c r="M34" s="3316"/>
      <c r="N34" s="3316"/>
      <c r="O34" s="3316"/>
      <c r="P34" s="3992"/>
      <c r="Q34" s="3382" t="str">
        <f t="shared" si="11"/>
        <v>建筑结构</v>
      </c>
      <c r="R34" s="3383" t="s">
        <v>14</v>
      </c>
      <c r="S34" s="3384">
        <f t="shared" si="12"/>
        <v>100</v>
      </c>
      <c r="T34" s="3383" t="s">
        <v>14</v>
      </c>
      <c r="U34" s="3384">
        <f t="shared" si="13"/>
        <v>100</v>
      </c>
      <c r="V34" s="3383" t="s">
        <v>14</v>
      </c>
      <c r="W34" s="3384">
        <f t="shared" si="14"/>
        <v>100</v>
      </c>
      <c r="X34" s="3322"/>
      <c r="Y34" s="3994"/>
      <c r="Z34" s="3321" t="str">
        <f t="shared" si="15"/>
        <v>建筑结构</v>
      </c>
      <c r="AA34" s="3321">
        <f t="shared" si="3"/>
        <v>1</v>
      </c>
      <c r="AB34" s="3321">
        <f t="shared" si="4"/>
        <v>1</v>
      </c>
      <c r="AC34" s="3321">
        <f t="shared" si="5"/>
        <v>1</v>
      </c>
    </row>
    <row r="35" spans="1:29" ht="15">
      <c r="A35" s="3423"/>
      <c r="B35" s="3348" t="s">
        <v>1740</v>
      </c>
      <c r="C35" s="3617" t="s">
        <v>3743</v>
      </c>
      <c r="D35" s="3367">
        <v>100</v>
      </c>
      <c r="E35" s="3617" t="s">
        <v>3743</v>
      </c>
      <c r="F35" s="3413">
        <f>SUMIF(107:107,E35,108:108)-SUMIF(107:107,C35,108:108)+100</f>
        <v>100</v>
      </c>
      <c r="G35" s="3617" t="s">
        <v>3743</v>
      </c>
      <c r="H35" s="3367">
        <f>SUMIF(107:107,G35,108:108)-SUMIF(107:107,C35,108:108)+100</f>
        <v>100</v>
      </c>
      <c r="I35" s="3617" t="s">
        <v>3743</v>
      </c>
      <c r="J35" s="3367">
        <f>SUMIF(107:107,I35,108:108)-SUMIF(107:107,C35,108:108)+100</f>
        <v>100</v>
      </c>
      <c r="K35" s="3358">
        <v>2</v>
      </c>
      <c r="L35" s="3368"/>
      <c r="M35" s="3316"/>
      <c r="N35" s="3316"/>
      <c r="O35" s="3316"/>
      <c r="P35" s="3992"/>
      <c r="Q35" s="3382" t="str">
        <f t="shared" si="11"/>
        <v>公共部分装修</v>
      </c>
      <c r="R35" s="3383" t="s">
        <v>14</v>
      </c>
      <c r="S35" s="3384">
        <f t="shared" si="12"/>
        <v>100</v>
      </c>
      <c r="T35" s="3383" t="s">
        <v>14</v>
      </c>
      <c r="U35" s="3384">
        <f t="shared" si="13"/>
        <v>100</v>
      </c>
      <c r="V35" s="3383" t="s">
        <v>14</v>
      </c>
      <c r="W35" s="3384">
        <f t="shared" si="14"/>
        <v>100</v>
      </c>
      <c r="X35" s="3322"/>
      <c r="Y35" s="3994"/>
      <c r="Z35" s="3321" t="str">
        <f t="shared" si="15"/>
        <v>公共部分装修</v>
      </c>
      <c r="AA35" s="3321">
        <f t="shared" si="3"/>
        <v>1</v>
      </c>
      <c r="AB35" s="3321">
        <f t="shared" si="4"/>
        <v>1</v>
      </c>
      <c r="AC35" s="3321">
        <f t="shared" si="5"/>
        <v>1</v>
      </c>
    </row>
    <row r="36" spans="1:29" ht="15">
      <c r="A36" s="3423"/>
      <c r="B36" s="3348" t="s">
        <v>1190</v>
      </c>
      <c r="C36" s="3425">
        <v>0.7</v>
      </c>
      <c r="D36" s="3367">
        <v>100</v>
      </c>
      <c r="E36" s="3425">
        <v>0.7</v>
      </c>
      <c r="F36" s="3413">
        <f>LOOKUP(E36,110:110,111:111)-LOOKUP(C36,110:110,111:111)+100</f>
        <v>100</v>
      </c>
      <c r="G36" s="3425">
        <v>0.7</v>
      </c>
      <c r="H36" s="3413">
        <f>LOOKUP(G36,110:110,111:111)-LOOKUP(C36,110:110,111:111)+100</f>
        <v>100</v>
      </c>
      <c r="I36" s="3425">
        <v>0.7</v>
      </c>
      <c r="J36" s="3367">
        <f>LOOKUP(I36,110:110,111:111)-LOOKUP(C36,110:110,111:111)+100</f>
        <v>100</v>
      </c>
      <c r="K36" s="3358">
        <v>1</v>
      </c>
      <c r="L36" s="3368"/>
      <c r="M36" s="3316"/>
      <c r="N36" s="3316"/>
      <c r="O36" s="3316"/>
      <c r="P36" s="3992"/>
      <c r="Q36" s="3382" t="str">
        <f t="shared" si="11"/>
        <v>成新度</v>
      </c>
      <c r="R36" s="3383" t="s">
        <v>14</v>
      </c>
      <c r="S36" s="3384">
        <f t="shared" si="12"/>
        <v>100</v>
      </c>
      <c r="T36" s="3383" t="s">
        <v>14</v>
      </c>
      <c r="U36" s="3384">
        <f t="shared" si="13"/>
        <v>100</v>
      </c>
      <c r="V36" s="3383" t="s">
        <v>14</v>
      </c>
      <c r="W36" s="3384">
        <f t="shared" si="14"/>
        <v>100</v>
      </c>
      <c r="X36" s="3322"/>
      <c r="Y36" s="3994"/>
      <c r="Z36" s="3321" t="str">
        <f t="shared" si="15"/>
        <v>成新度</v>
      </c>
      <c r="AA36" s="3321">
        <f t="shared" si="3"/>
        <v>1</v>
      </c>
      <c r="AB36" s="3321">
        <f t="shared" si="4"/>
        <v>1</v>
      </c>
      <c r="AC36" s="3321">
        <f t="shared" si="5"/>
        <v>1</v>
      </c>
    </row>
    <row r="37" spans="1:29" s="3339" customFormat="1" ht="15">
      <c r="A37" s="3426"/>
      <c r="B37" s="3348" t="s">
        <v>1742</v>
      </c>
      <c r="C37" s="3617" t="s">
        <v>3787</v>
      </c>
      <c r="D37" s="3350">
        <v>100</v>
      </c>
      <c r="E37" s="3617" t="s">
        <v>3787</v>
      </c>
      <c r="F37" s="3413">
        <f>SUMIF(112:112,E37,113:113)-SUMIF(112:112,C37,113:113)+100</f>
        <v>100</v>
      </c>
      <c r="G37" s="3617" t="s">
        <v>3787</v>
      </c>
      <c r="H37" s="3367">
        <f>SUMIF(112:112,G37,113:113)-SUMIF(112:112,C37,113:113)+100</f>
        <v>100</v>
      </c>
      <c r="I37" s="3617" t="s">
        <v>3787</v>
      </c>
      <c r="J37" s="3367">
        <f>SUMIF(112:112,I37,113:113)-SUMIF(112:112,C37,113:113)+100</f>
        <v>100</v>
      </c>
      <c r="K37" s="3358">
        <v>1</v>
      </c>
      <c r="L37" s="3332"/>
      <c r="M37" s="3333"/>
      <c r="N37" s="3333"/>
      <c r="O37" s="3333"/>
      <c r="P37" s="3992"/>
      <c r="Q37" s="3346" t="str">
        <f t="shared" si="11"/>
        <v>市政基础设施</v>
      </c>
      <c r="R37" s="3334" t="s">
        <v>14</v>
      </c>
      <c r="S37" s="3335">
        <f t="shared" si="12"/>
        <v>100</v>
      </c>
      <c r="T37" s="3334" t="s">
        <v>14</v>
      </c>
      <c r="U37" s="3335">
        <f t="shared" si="13"/>
        <v>100</v>
      </c>
      <c r="V37" s="3334" t="s">
        <v>14</v>
      </c>
      <c r="W37" s="3335">
        <f t="shared" si="14"/>
        <v>100</v>
      </c>
      <c r="X37" s="3336"/>
      <c r="Y37" s="3994"/>
      <c r="Z37" s="3337" t="str">
        <f t="shared" si="15"/>
        <v>市政基础设施</v>
      </c>
      <c r="AA37" s="3337">
        <f t="shared" si="3"/>
        <v>1</v>
      </c>
      <c r="AB37" s="3337">
        <f t="shared" si="4"/>
        <v>1</v>
      </c>
      <c r="AC37" s="3337">
        <f t="shared" si="5"/>
        <v>1</v>
      </c>
    </row>
    <row r="38" spans="1:29" ht="15">
      <c r="A38" s="3423"/>
      <c r="B38" s="3348" t="s">
        <v>1806</v>
      </c>
      <c r="C38" s="3617"/>
      <c r="D38" s="3367">
        <v>100</v>
      </c>
      <c r="E38" s="3617"/>
      <c r="F38" s="3413">
        <f>SUMIF(114:114,E38,115:115)-SUMIF(114:114,C38,115:115)+100</f>
        <v>100</v>
      </c>
      <c r="G38" s="3617"/>
      <c r="H38" s="3367">
        <f>SUMIF(114:114,G38,115:115)-SUMIF(114:114,C38,115:115)+100</f>
        <v>100</v>
      </c>
      <c r="I38" s="3617"/>
      <c r="J38" s="3367">
        <f>SUMIF(114:114,I38,115:115)-SUMIF(114:114,C38,115:115)+100</f>
        <v>100</v>
      </c>
      <c r="K38" s="3358"/>
      <c r="L38" s="3368"/>
      <c r="M38" s="3316"/>
      <c r="N38" s="3316"/>
      <c r="O38" s="3316"/>
      <c r="P38" s="3992" t="s">
        <v>1696</v>
      </c>
      <c r="Q38" s="3382" t="str">
        <f t="shared" si="11"/>
        <v>业态</v>
      </c>
      <c r="R38" s="3383" t="s">
        <v>14</v>
      </c>
      <c r="S38" s="3384">
        <f t="shared" si="12"/>
        <v>100</v>
      </c>
      <c r="T38" s="3383" t="s">
        <v>14</v>
      </c>
      <c r="U38" s="3384">
        <f t="shared" si="13"/>
        <v>100</v>
      </c>
      <c r="V38" s="3383" t="s">
        <v>14</v>
      </c>
      <c r="W38" s="3384">
        <f t="shared" si="14"/>
        <v>100</v>
      </c>
      <c r="X38" s="3322"/>
      <c r="Y38" s="3994" t="s">
        <v>1696</v>
      </c>
      <c r="Z38" s="3321" t="str">
        <f t="shared" si="15"/>
        <v>业态</v>
      </c>
      <c r="AA38" s="3321">
        <f t="shared" si="3"/>
        <v>1</v>
      </c>
      <c r="AB38" s="3321">
        <f t="shared" si="4"/>
        <v>1</v>
      </c>
      <c r="AC38" s="3321">
        <f t="shared" si="5"/>
        <v>1</v>
      </c>
    </row>
    <row r="39" spans="1:29" ht="15">
      <c r="A39" s="3423"/>
      <c r="B39" s="3348" t="s">
        <v>1807</v>
      </c>
      <c r="C39" s="3617" t="s">
        <v>3788</v>
      </c>
      <c r="D39" s="3367">
        <v>100</v>
      </c>
      <c r="E39" s="3617" t="s">
        <v>3788</v>
      </c>
      <c r="F39" s="3413">
        <f>SUMIF(116:116,E39,117:117)-SUMIF(116:116,C39,117:117)+100</f>
        <v>100</v>
      </c>
      <c r="G39" s="3617" t="s">
        <v>3788</v>
      </c>
      <c r="H39" s="3367">
        <f>SUMIF(116:116,G39,117:117)-SUMIF(116:116,C39,117:117)+100</f>
        <v>100</v>
      </c>
      <c r="I39" s="3617" t="s">
        <v>3788</v>
      </c>
      <c r="J39" s="3367">
        <f>SUMIF(116:116,I39,117:117)-SUMIF(116:116,C39,117:117)+100</f>
        <v>100</v>
      </c>
      <c r="K39" s="3358">
        <v>2</v>
      </c>
      <c r="L39" s="3368"/>
      <c r="M39" s="3316"/>
      <c r="N39" s="3316"/>
      <c r="O39" s="3316"/>
      <c r="P39" s="3992"/>
      <c r="Q39" s="3382" t="str">
        <f t="shared" si="11"/>
        <v>层高</v>
      </c>
      <c r="R39" s="3383" t="s">
        <v>14</v>
      </c>
      <c r="S39" s="3384">
        <f t="shared" si="12"/>
        <v>100</v>
      </c>
      <c r="T39" s="3383" t="s">
        <v>14</v>
      </c>
      <c r="U39" s="3384">
        <f t="shared" si="13"/>
        <v>100</v>
      </c>
      <c r="V39" s="3383" t="s">
        <v>14</v>
      </c>
      <c r="W39" s="3384">
        <f t="shared" si="14"/>
        <v>100</v>
      </c>
      <c r="X39" s="3322"/>
      <c r="Y39" s="3994"/>
      <c r="Z39" s="3321" t="str">
        <f t="shared" si="15"/>
        <v>层高</v>
      </c>
      <c r="AA39" s="3321">
        <f t="shared" si="3"/>
        <v>1</v>
      </c>
      <c r="AB39" s="3321">
        <f t="shared" si="4"/>
        <v>1</v>
      </c>
      <c r="AC39" s="3321">
        <f t="shared" si="5"/>
        <v>1</v>
      </c>
    </row>
    <row r="40" spans="1:29" ht="15" hidden="1">
      <c r="A40" s="3423"/>
      <c r="B40" s="3348" t="s">
        <v>1808</v>
      </c>
      <c r="C40" s="3618"/>
      <c r="D40" s="3367">
        <v>100</v>
      </c>
      <c r="E40" s="3619"/>
      <c r="F40" s="3413">
        <f>SUMIF(118:118,E40,119:119)-SUMIF(118:118,C40,119:119)+100</f>
        <v>100</v>
      </c>
      <c r="G40" s="3619"/>
      <c r="H40" s="3367">
        <f>SUMIF(118:118,G40,119:119)-SUMIF(118:118,C40,119:119)+100</f>
        <v>100</v>
      </c>
      <c r="I40" s="3619"/>
      <c r="J40" s="3367">
        <f>SUMIF(118:118,I40,119:119)-SUMIF(118:118,C40,119:119)+100</f>
        <v>100</v>
      </c>
      <c r="K40" s="3365"/>
      <c r="L40" s="3368"/>
      <c r="M40" s="3316"/>
      <c r="N40" s="3316"/>
      <c r="O40" s="3316"/>
      <c r="P40" s="3992"/>
      <c r="Q40" s="3382" t="str">
        <f t="shared" si="11"/>
        <v>单套建筑面积</v>
      </c>
      <c r="R40" s="3383" t="s">
        <v>14</v>
      </c>
      <c r="S40" s="3384">
        <f t="shared" si="12"/>
        <v>100</v>
      </c>
      <c r="T40" s="3383" t="s">
        <v>14</v>
      </c>
      <c r="U40" s="3384">
        <f t="shared" si="13"/>
        <v>100</v>
      </c>
      <c r="V40" s="3383" t="s">
        <v>14</v>
      </c>
      <c r="W40" s="3384">
        <f t="shared" si="14"/>
        <v>100</v>
      </c>
      <c r="X40" s="3322"/>
      <c r="Y40" s="3994"/>
      <c r="Z40" s="3321" t="str">
        <f t="shared" si="15"/>
        <v>单套建筑面积</v>
      </c>
      <c r="AA40" s="3321">
        <f t="shared" si="3"/>
        <v>1</v>
      </c>
      <c r="AB40" s="3321">
        <f t="shared" si="4"/>
        <v>1</v>
      </c>
      <c r="AC40" s="3321">
        <f t="shared" si="5"/>
        <v>1</v>
      </c>
    </row>
    <row r="41" spans="1:29" s="3422" customFormat="1" ht="15.75" thickBot="1">
      <c r="A41" s="3414"/>
      <c r="B41" s="3413" t="s">
        <v>1791</v>
      </c>
      <c r="C41" s="3405" t="s">
        <v>3737</v>
      </c>
      <c r="D41" s="3367">
        <v>100</v>
      </c>
      <c r="E41" s="3405" t="s">
        <v>3737</v>
      </c>
      <c r="F41" s="3413">
        <f>SUMIF(120:120,E41,121:121)-SUMIF(120:120,C41,121:121)+100</f>
        <v>100</v>
      </c>
      <c r="G41" s="3405" t="s">
        <v>3737</v>
      </c>
      <c r="H41" s="3367">
        <f>SUMIF(120:120,G41,121:121)-SUMIF(120:120,C41,121:121)+100</f>
        <v>100</v>
      </c>
      <c r="I41" s="3405" t="s">
        <v>3737</v>
      </c>
      <c r="J41" s="3367">
        <f>SUMIF(120:120,I41,121:121)-SUMIF(120:120,C41,121:121)+100</f>
        <v>100</v>
      </c>
      <c r="K41" s="3358">
        <v>2</v>
      </c>
      <c r="L41" s="3359"/>
      <c r="M41" s="3416"/>
      <c r="N41" s="3416"/>
      <c r="O41" s="3416"/>
      <c r="P41" s="3992"/>
      <c r="Q41" s="3417" t="str">
        <f t="shared" si="11"/>
        <v>进深比</v>
      </c>
      <c r="R41" s="3418" t="s">
        <v>14</v>
      </c>
      <c r="S41" s="3419">
        <f t="shared" si="12"/>
        <v>100</v>
      </c>
      <c r="T41" s="3418" t="s">
        <v>14</v>
      </c>
      <c r="U41" s="3419">
        <f t="shared" si="13"/>
        <v>100</v>
      </c>
      <c r="V41" s="3418" t="s">
        <v>14</v>
      </c>
      <c r="W41" s="3419">
        <f t="shared" si="14"/>
        <v>100</v>
      </c>
      <c r="X41" s="3420"/>
      <c r="Y41" s="3994"/>
      <c r="Z41" s="3421" t="str">
        <f t="shared" si="15"/>
        <v>进深比</v>
      </c>
      <c r="AA41" s="3321">
        <f t="shared" si="3"/>
        <v>1</v>
      </c>
      <c r="AB41" s="3321">
        <f t="shared" si="4"/>
        <v>1</v>
      </c>
      <c r="AC41" s="3321">
        <f t="shared" si="5"/>
        <v>1</v>
      </c>
    </row>
    <row r="42" spans="1:29" ht="15.75" hidden="1" thickBot="1">
      <c r="A42" s="3423"/>
      <c r="B42" s="3348" t="s">
        <v>1744</v>
      </c>
      <c r="C42" s="3617"/>
      <c r="D42" s="3367">
        <v>100</v>
      </c>
      <c r="E42" s="3617"/>
      <c r="F42" s="3413">
        <f>SUMIF(122:122,E42,123:123)-SUMIF(122:122,C42,123:123)+100</f>
        <v>100</v>
      </c>
      <c r="G42" s="3617"/>
      <c r="H42" s="3367">
        <f>SUMIF(122:122,G42,123:123)-SUMIF(122:122,C42,123:123)+100</f>
        <v>100</v>
      </c>
      <c r="I42" s="3617"/>
      <c r="J42" s="3367">
        <f>SUMIF(122:122,I42,123:123)-SUMIF(122:122,C42,123:123)+100</f>
        <v>100</v>
      </c>
      <c r="K42" s="3358"/>
      <c r="L42" s="3368"/>
      <c r="M42" s="3316"/>
      <c r="N42" s="3316"/>
      <c r="O42" s="3316"/>
      <c r="P42" s="3992"/>
      <c r="Q42" s="3382" t="str">
        <f t="shared" si="11"/>
        <v>内部装修</v>
      </c>
      <c r="R42" s="3383" t="s">
        <v>14</v>
      </c>
      <c r="S42" s="3384">
        <f t="shared" si="12"/>
        <v>100</v>
      </c>
      <c r="T42" s="3383" t="s">
        <v>14</v>
      </c>
      <c r="U42" s="3384">
        <f t="shared" si="13"/>
        <v>100</v>
      </c>
      <c r="V42" s="3383" t="s">
        <v>14</v>
      </c>
      <c r="W42" s="3384">
        <f t="shared" si="14"/>
        <v>100</v>
      </c>
      <c r="X42" s="3322"/>
      <c r="Y42" s="3994"/>
      <c r="Z42" s="3321" t="str">
        <f t="shared" si="15"/>
        <v>内部装修</v>
      </c>
      <c r="AA42" s="3321">
        <f t="shared" si="3"/>
        <v>1</v>
      </c>
      <c r="AB42" s="3321">
        <f t="shared" si="4"/>
        <v>1</v>
      </c>
      <c r="AC42" s="3321">
        <f t="shared" si="5"/>
        <v>1</v>
      </c>
    </row>
    <row r="43" spans="1:29" ht="15.75" hidden="1" thickBot="1">
      <c r="A43" s="3423"/>
      <c r="B43" s="3348" t="s">
        <v>1707</v>
      </c>
      <c r="C43" s="3617"/>
      <c r="D43" s="3367">
        <v>100</v>
      </c>
      <c r="E43" s="3617"/>
      <c r="F43" s="3413">
        <f>SUMIF(124:124,E43,125:125)-SUMIF(124:124,C43,125:125)+100</f>
        <v>100</v>
      </c>
      <c r="G43" s="3617"/>
      <c r="H43" s="3367">
        <f>SUMIF(124:124,G43,125:125)-SUMIF(124:124,C43,125:125)+100</f>
        <v>100</v>
      </c>
      <c r="I43" s="3617"/>
      <c r="J43" s="3367">
        <f>SUMIF(124:124,I43,125:125)-SUMIF(124:124,C43,125:125)+100</f>
        <v>100</v>
      </c>
      <c r="K43" s="3358"/>
      <c r="L43" s="3368"/>
      <c r="M43" s="3316"/>
      <c r="N43" s="3316"/>
      <c r="O43" s="3316"/>
      <c r="P43" s="3992"/>
      <c r="Q43" s="3382" t="str">
        <f t="shared" si="11"/>
        <v>内部装修维护情况</v>
      </c>
      <c r="R43" s="3383" t="s">
        <v>14</v>
      </c>
      <c r="S43" s="3384">
        <f t="shared" si="12"/>
        <v>100</v>
      </c>
      <c r="T43" s="3383" t="s">
        <v>14</v>
      </c>
      <c r="U43" s="3384">
        <f t="shared" si="13"/>
        <v>100</v>
      </c>
      <c r="V43" s="3383" t="s">
        <v>14</v>
      </c>
      <c r="W43" s="3384">
        <f t="shared" si="14"/>
        <v>100</v>
      </c>
      <c r="X43" s="3322"/>
      <c r="Y43" s="3994"/>
      <c r="Z43" s="3321" t="str">
        <f t="shared" si="15"/>
        <v>内部装修维护情况</v>
      </c>
      <c r="AA43" s="3321">
        <f t="shared" si="3"/>
        <v>1</v>
      </c>
      <c r="AB43" s="3321">
        <f t="shared" si="4"/>
        <v>1</v>
      </c>
      <c r="AC43" s="3321">
        <f t="shared" si="5"/>
        <v>1</v>
      </c>
    </row>
    <row r="44" spans="1:29" s="3339" customFormat="1" ht="15.75" hidden="1" thickBot="1">
      <c r="A44" s="3426"/>
      <c r="B44" s="3427">
        <v>111</v>
      </c>
      <c r="C44" s="3415"/>
      <c r="D44" s="3350">
        <v>100</v>
      </c>
      <c r="E44" s="3366"/>
      <c r="F44" s="3348">
        <f>SUMIF(126:126,E44,127:127)-SUMIF(126:126,C44,127:127)+100</f>
        <v>100</v>
      </c>
      <c r="G44" s="3366"/>
      <c r="H44" s="3350">
        <f>SUMIF(126:126,G44,127:127)-SUMIF(126:126,C44,127:127)+100</f>
        <v>100</v>
      </c>
      <c r="I44" s="3366"/>
      <c r="J44" s="3350">
        <f>SUMIF(126:126,I44,127:127)-SUMIF(126:126,C44,127:127)+100</f>
        <v>100</v>
      </c>
      <c r="K44" s="3365"/>
      <c r="L44" s="3332"/>
      <c r="M44" s="3333"/>
      <c r="N44" s="3333"/>
      <c r="O44" s="3333"/>
      <c r="P44" s="3992"/>
      <c r="Q44" s="3346">
        <f t="shared" si="11"/>
        <v>111</v>
      </c>
      <c r="R44" s="3334" t="s">
        <v>14</v>
      </c>
      <c r="S44" s="3335">
        <f t="shared" si="12"/>
        <v>100</v>
      </c>
      <c r="T44" s="3334" t="s">
        <v>14</v>
      </c>
      <c r="U44" s="3335">
        <f t="shared" si="13"/>
        <v>100</v>
      </c>
      <c r="V44" s="3334" t="s">
        <v>14</v>
      </c>
      <c r="W44" s="3335">
        <f t="shared" si="14"/>
        <v>100</v>
      </c>
      <c r="X44" s="3336"/>
      <c r="Y44" s="3994"/>
      <c r="Z44" s="3337">
        <f t="shared" si="15"/>
        <v>111</v>
      </c>
      <c r="AA44" s="3337">
        <f t="shared" si="3"/>
        <v>1</v>
      </c>
      <c r="AB44" s="3337">
        <f t="shared" si="4"/>
        <v>1</v>
      </c>
      <c r="AC44" s="3337">
        <f t="shared" si="5"/>
        <v>1</v>
      </c>
    </row>
    <row r="45" spans="1:29" ht="15.75" hidden="1" thickBot="1">
      <c r="A45" s="3423"/>
      <c r="B45" s="3427">
        <v>111</v>
      </c>
      <c r="C45" s="3366"/>
      <c r="D45" s="3367">
        <v>100</v>
      </c>
      <c r="E45" s="3366"/>
      <c r="F45" s="3413">
        <f>SUMIF(128:128,E45,129:129)-SUMIF(128:128,C45,129:129)+100</f>
        <v>100</v>
      </c>
      <c r="G45" s="3366"/>
      <c r="H45" s="3367">
        <f>SUMIF(128:128,G45,129:129)-SUMIF(128:128,C45,129:129)+100</f>
        <v>100</v>
      </c>
      <c r="I45" s="3366"/>
      <c r="J45" s="3367">
        <f>SUMIF(128:128,I45,129:129)-SUMIF(128:128,C45,129:129)+100</f>
        <v>100</v>
      </c>
      <c r="K45" s="3365"/>
      <c r="L45" s="3368"/>
      <c r="M45" s="3316"/>
      <c r="N45" s="3316"/>
      <c r="O45" s="3316"/>
      <c r="P45" s="3992"/>
      <c r="Q45" s="3382">
        <f t="shared" si="11"/>
        <v>111</v>
      </c>
      <c r="R45" s="3383" t="s">
        <v>14</v>
      </c>
      <c r="S45" s="3384">
        <f t="shared" si="12"/>
        <v>100</v>
      </c>
      <c r="T45" s="3383" t="s">
        <v>14</v>
      </c>
      <c r="U45" s="3384">
        <f t="shared" si="13"/>
        <v>100</v>
      </c>
      <c r="V45" s="3383" t="s">
        <v>14</v>
      </c>
      <c r="W45" s="3384">
        <f t="shared" si="14"/>
        <v>100</v>
      </c>
      <c r="X45" s="3322"/>
      <c r="Y45" s="3994"/>
      <c r="Z45" s="3321">
        <f t="shared" si="15"/>
        <v>111</v>
      </c>
      <c r="AA45" s="3321">
        <f t="shared" si="3"/>
        <v>1</v>
      </c>
      <c r="AB45" s="3321">
        <f t="shared" si="4"/>
        <v>1</v>
      </c>
      <c r="AC45" s="3321">
        <f t="shared" si="5"/>
        <v>1</v>
      </c>
    </row>
    <row r="46" spans="1:29" ht="15.75" hidden="1" thickBot="1">
      <c r="A46" s="3428"/>
      <c r="B46" s="3370">
        <v>111</v>
      </c>
      <c r="C46" s="3371"/>
      <c r="D46" s="3372">
        <v>100</v>
      </c>
      <c r="E46" s="3366"/>
      <c r="F46" s="3429">
        <f>SUMIF(130:130,E46,131:131)-SUMIF(130:130,C46,131:131)+100</f>
        <v>100</v>
      </c>
      <c r="G46" s="3366"/>
      <c r="H46" s="3372">
        <f>SUMIF(130:130,G46,131:131)-SUMIF(130:130,C46,131:131)+100</f>
        <v>100</v>
      </c>
      <c r="I46" s="3366"/>
      <c r="J46" s="3372">
        <f>SUMIF(130:130,I46,131:131)-SUMIF(130:130,C46,131:131)+100</f>
        <v>100</v>
      </c>
      <c r="K46" s="3365"/>
      <c r="L46" s="3368"/>
      <c r="M46" s="3316"/>
      <c r="N46" s="3316"/>
      <c r="O46" s="3316"/>
      <c r="P46" s="3993"/>
      <c r="Q46" s="3382">
        <f t="shared" si="11"/>
        <v>111</v>
      </c>
      <c r="R46" s="3383" t="s">
        <v>14</v>
      </c>
      <c r="S46" s="3384">
        <f t="shared" si="12"/>
        <v>100</v>
      </c>
      <c r="T46" s="3383" t="s">
        <v>14</v>
      </c>
      <c r="U46" s="3384">
        <f t="shared" si="13"/>
        <v>100</v>
      </c>
      <c r="V46" s="3383" t="s">
        <v>14</v>
      </c>
      <c r="W46" s="3384">
        <f t="shared" si="14"/>
        <v>100</v>
      </c>
      <c r="X46" s="3322"/>
      <c r="Y46" s="3995"/>
      <c r="Z46" s="3321">
        <f t="shared" si="15"/>
        <v>111</v>
      </c>
      <c r="AA46" s="3321">
        <f t="shared" si="3"/>
        <v>1</v>
      </c>
      <c r="AB46" s="3321">
        <f t="shared" si="4"/>
        <v>1</v>
      </c>
      <c r="AC46" s="3321">
        <f t="shared" si="5"/>
        <v>1</v>
      </c>
    </row>
    <row r="47" spans="1:29" ht="15">
      <c r="A47" s="3430" t="s">
        <v>1708</v>
      </c>
      <c r="B47" s="3431"/>
      <c r="C47" s="3432" t="s">
        <v>0</v>
      </c>
      <c r="D47" s="3433"/>
      <c r="E47" s="3434">
        <v>12</v>
      </c>
      <c r="F47" s="3435"/>
      <c r="G47" s="3436">
        <v>13</v>
      </c>
      <c r="H47" s="3437"/>
      <c r="I47" s="3434">
        <v>14.3</v>
      </c>
      <c r="J47" s="3437"/>
      <c r="K47" s="3438"/>
      <c r="L47" s="3439"/>
      <c r="M47" s="3316"/>
      <c r="N47" s="3316"/>
      <c r="O47" s="3316"/>
      <c r="P47" s="3996" t="str">
        <f>A47</f>
        <v>成交单价（元/平方米）</v>
      </c>
      <c r="Q47" s="3996"/>
      <c r="R47" s="3977">
        <f>E47</f>
        <v>12</v>
      </c>
      <c r="S47" s="3977"/>
      <c r="T47" s="3977">
        <f>G47</f>
        <v>13</v>
      </c>
      <c r="U47" s="3977"/>
      <c r="V47" s="3977">
        <f>I47</f>
        <v>14.3</v>
      </c>
      <c r="W47" s="3977"/>
      <c r="X47" s="3440"/>
      <c r="Y47" s="3441"/>
      <c r="Z47" s="3440"/>
      <c r="AA47" s="3440"/>
      <c r="AB47" s="3440"/>
      <c r="AC47" s="3440"/>
    </row>
    <row r="48" spans="1:29" ht="15.75" thickBot="1">
      <c r="A48" s="3442" t="s">
        <v>1709</v>
      </c>
      <c r="B48" s="3443"/>
      <c r="C48" s="3444">
        <f>R49</f>
        <v>11.4</v>
      </c>
      <c r="D48" s="3445" t="s">
        <v>2138</v>
      </c>
      <c r="E48" s="3446">
        <f>R48</f>
        <v>10.5</v>
      </c>
      <c r="F48" s="3447"/>
      <c r="G48" s="3444">
        <f>T48</f>
        <v>11.3</v>
      </c>
      <c r="H48" s="3447"/>
      <c r="I48" s="3446">
        <f>V48</f>
        <v>12.3</v>
      </c>
      <c r="J48" s="3447"/>
      <c r="K48" s="3448">
        <f>F48+H48+J48</f>
        <v>0</v>
      </c>
      <c r="L48" s="3439"/>
      <c r="M48" s="3316"/>
      <c r="N48" s="3316"/>
      <c r="O48" s="3316"/>
      <c r="P48" s="3996" t="str">
        <f>A48</f>
        <v>比较价值（元/平方米）</v>
      </c>
      <c r="Q48" s="3996"/>
      <c r="R48" s="3977">
        <f>IF(F1="售价",ROUND(PRODUCT(R47,AA7:AA46),0),ROUND(PRODUCT(R47,AA7:AA46),1))</f>
        <v>10.5</v>
      </c>
      <c r="S48" s="3977"/>
      <c r="T48" s="3977">
        <f>IF(F1="售价",ROUND(PRODUCT(T47,AB7:AB46),0),ROUND(PRODUCT(T47,AB7:AB46),1))</f>
        <v>11.3</v>
      </c>
      <c r="U48" s="3977"/>
      <c r="V48" s="3977">
        <f>IF(F1="售价",ROUND(PRODUCT(V47,AC7:AC46),0),ROUND(PRODUCT(V47,AC7:AC46),1))</f>
        <v>12.3</v>
      </c>
      <c r="W48" s="3977"/>
      <c r="X48" s="3440"/>
      <c r="Y48" s="3440"/>
      <c r="Z48" s="3440"/>
      <c r="AA48" s="3440"/>
      <c r="AB48" s="3440"/>
      <c r="AC48" s="3440"/>
    </row>
    <row r="49" spans="1:29" ht="15.75" thickBot="1">
      <c r="A49" s="3449" t="s">
        <v>1710</v>
      </c>
      <c r="B49" s="3450"/>
      <c r="C49" s="3324">
        <f>R49</f>
        <v>11.4</v>
      </c>
      <c r="D49" s="3324"/>
      <c r="E49" s="3324"/>
      <c r="F49" s="3324"/>
      <c r="G49" s="3324"/>
      <c r="H49" s="3324"/>
      <c r="I49" s="3324"/>
      <c r="J49" s="3324"/>
      <c r="K49" s="3452"/>
      <c r="L49" s="3439"/>
      <c r="M49" s="3316"/>
      <c r="N49" s="3316"/>
      <c r="O49" s="3316"/>
      <c r="P49" s="4009" t="str">
        <f>A49</f>
        <v>估价对象XX用房的比较价值（楼面单价，元/平方米）</v>
      </c>
      <c r="Q49" s="4010"/>
      <c r="R49" s="4011">
        <f>IF(F1="售价",ROUND(IF(D48="简单平均",AVERAGE(R48:V48),R48*F48+T48*H48+V48*J48),0),ROUND(IF(D48="简单平均",AVERAGE(R48:V48),R48*F48+T48*H48+V48*J48),1))</f>
        <v>11.4</v>
      </c>
      <c r="S49" s="4011"/>
      <c r="T49" s="4011"/>
      <c r="U49" s="4011"/>
      <c r="V49" s="4011"/>
      <c r="W49" s="4011"/>
      <c r="X49" s="3440"/>
      <c r="Y49" s="3440"/>
      <c r="Z49" s="3440"/>
      <c r="AA49" s="3440"/>
      <c r="AB49" s="3440"/>
      <c r="AC49" s="3440"/>
    </row>
    <row r="50" spans="1:29">
      <c r="A50" s="3316"/>
      <c r="B50" s="3316"/>
      <c r="C50" s="3316"/>
      <c r="D50" s="3316"/>
      <c r="E50" s="3316"/>
      <c r="F50" s="3316"/>
      <c r="G50" s="3455"/>
      <c r="H50" s="3316"/>
      <c r="I50" s="3316"/>
      <c r="J50" s="3316"/>
      <c r="K50" s="3456"/>
      <c r="L50" s="3457"/>
      <c r="M50" s="3316"/>
      <c r="N50" s="3316"/>
      <c r="O50" s="3316"/>
      <c r="P50" s="3620"/>
      <c r="Q50" s="3316"/>
      <c r="R50" s="3316"/>
      <c r="S50" s="3316"/>
      <c r="T50" s="3316"/>
      <c r="U50" s="3316"/>
      <c r="V50" s="3316"/>
      <c r="W50" s="3316"/>
      <c r="X50" s="3316"/>
      <c r="Y50" s="3316"/>
      <c r="Z50" s="3316"/>
      <c r="AA50" s="3316"/>
      <c r="AB50" s="3316"/>
      <c r="AC50" s="3316"/>
    </row>
    <row r="51" spans="1:29">
      <c r="A51" s="3316"/>
      <c r="B51" s="3316"/>
      <c r="C51" s="3316"/>
      <c r="D51" s="3316"/>
      <c r="E51" s="3316"/>
      <c r="F51" s="3316"/>
      <c r="G51" s="3316"/>
      <c r="H51" s="3316"/>
      <c r="I51" s="3316"/>
      <c r="J51" s="3316"/>
      <c r="K51" s="3456"/>
      <c r="L51" s="3457"/>
      <c r="M51" s="3316"/>
      <c r="N51" s="3316"/>
      <c r="O51" s="3316"/>
      <c r="P51" s="3620"/>
      <c r="Q51" s="3316"/>
      <c r="R51" s="3316"/>
      <c r="S51" s="3316"/>
      <c r="T51" s="3316"/>
      <c r="U51" s="3316"/>
      <c r="V51" s="3316"/>
      <c r="W51" s="3316"/>
      <c r="X51" s="3316"/>
      <c r="Y51" s="3316"/>
      <c r="Z51" s="3316"/>
      <c r="AA51" s="3316"/>
      <c r="AB51" s="3316"/>
      <c r="AC51" s="3316"/>
    </row>
    <row r="52" spans="1:29" ht="13.5" customHeight="1">
      <c r="A52" s="3316"/>
      <c r="B52" s="3316"/>
      <c r="C52" s="3459" t="s">
        <v>1711</v>
      </c>
      <c r="D52" s="3460"/>
      <c r="E52" s="3461">
        <f>IF(E47&lt;E48,E48/E47-1,E47/E48-1)</f>
        <v>0.14285714285714279</v>
      </c>
      <c r="F52" s="3462" t="str">
        <f>IF(OR(E52&gt;=0.3,E52&lt;=-0.3),"超过30%","")</f>
        <v/>
      </c>
      <c r="G52" s="3461">
        <f>IF(G47&lt;G48,G48/G47-1,G47/G48-1)</f>
        <v>0.15044247787610621</v>
      </c>
      <c r="H52" s="3462" t="str">
        <f>IF(OR(G52&gt;=0.3,G52&lt;=-0.3),"超过30%","")</f>
        <v/>
      </c>
      <c r="I52" s="3461">
        <f>IF(I47&lt;I48,I48/I47-1,I47/I48-1)</f>
        <v>0.16260162601626016</v>
      </c>
      <c r="J52" s="3462" t="str">
        <f>IF(OR(I52&gt;=0.3,I52&lt;=-0.3),"超过30%","")</f>
        <v/>
      </c>
      <c r="K52" s="3456"/>
      <c r="L52" s="3457"/>
      <c r="M52" s="3316"/>
      <c r="N52" s="3316"/>
      <c r="O52" s="3316"/>
      <c r="P52" s="3620"/>
      <c r="Q52" s="3316"/>
      <c r="R52" s="3316"/>
      <c r="S52" s="3316"/>
      <c r="T52" s="3316"/>
      <c r="U52" s="3316"/>
      <c r="V52" s="3316"/>
      <c r="W52" s="3316"/>
      <c r="X52" s="3316"/>
      <c r="Y52" s="3316"/>
      <c r="Z52" s="3316"/>
      <c r="AA52" s="3316"/>
      <c r="AB52" s="3316"/>
      <c r="AC52" s="3316"/>
    </row>
    <row r="53" spans="1:29" ht="13.5" customHeight="1">
      <c r="A53" s="3316"/>
      <c r="B53" s="3316"/>
      <c r="C53" s="3459" t="s">
        <v>1712</v>
      </c>
      <c r="D53" s="3463"/>
      <c r="E53" s="3461">
        <f>IF(E48&lt;G48,G48/E48-1,E48/G48-1)</f>
        <v>7.6190476190476364E-2</v>
      </c>
      <c r="F53" s="3462" t="str">
        <f>IF(OR(E53&gt;=0.2,E53&lt;=-0.2),"超过20%","")</f>
        <v/>
      </c>
      <c r="G53" s="3461">
        <f>IF(G48&lt;I48,I48/G48-1,G48/I48-1)</f>
        <v>8.8495575221238854E-2</v>
      </c>
      <c r="H53" s="3462" t="str">
        <f>IF(OR(G53&gt;=0.2,G53&lt;=-0.2),"超过20%","")</f>
        <v/>
      </c>
      <c r="I53" s="3461">
        <f>IF(I48&lt;E48,E48/I48-1,I48/E48-1)</f>
        <v>0.17142857142857149</v>
      </c>
      <c r="J53" s="3462" t="str">
        <f>IF(OR(I53&gt;=0.2,I53&lt;=-0.2),"超过20%","")</f>
        <v/>
      </c>
      <c r="K53" s="3456"/>
      <c r="L53" s="3457"/>
      <c r="M53" s="3316"/>
      <c r="N53" s="3316"/>
      <c r="O53" s="3316"/>
      <c r="P53" s="3620"/>
      <c r="Q53" s="3316"/>
      <c r="R53" s="3316"/>
      <c r="S53" s="3316"/>
      <c r="T53" s="3316"/>
      <c r="U53" s="3316"/>
      <c r="V53" s="3316"/>
      <c r="W53" s="3316"/>
      <c r="X53" s="3316"/>
      <c r="Y53" s="3316"/>
      <c r="Z53" s="3316"/>
      <c r="AA53" s="3316"/>
      <c r="AB53" s="3316"/>
      <c r="AC53" s="3316"/>
    </row>
    <row r="54" spans="1:29" s="3468" customFormat="1" ht="13.5" customHeight="1">
      <c r="A54" s="3464"/>
      <c r="B54" s="3464"/>
      <c r="C54" s="3459" t="s">
        <v>1713</v>
      </c>
      <c r="D54" s="3463"/>
      <c r="E54" s="3461">
        <f>IF(E47&lt;G47,G47/E47-1,E47/G47-1)</f>
        <v>8.3333333333333259E-2</v>
      </c>
      <c r="F54" s="3462" t="str">
        <f>IF(OR(E54&gt;=0.3,E54&lt;=-0.3),"超过30%","")</f>
        <v/>
      </c>
      <c r="G54" s="3461">
        <f>IF(G47&lt;I47,I47/G47-1,G47/I47-1)</f>
        <v>0.10000000000000009</v>
      </c>
      <c r="H54" s="3462" t="str">
        <f>IF(OR(G54&gt;=0.3,G54&lt;=-0.3),"超过30%","")</f>
        <v/>
      </c>
      <c r="I54" s="3461">
        <f>IF(I47&lt;E47,E47/I47-1,I47/E47-1)</f>
        <v>0.19166666666666665</v>
      </c>
      <c r="J54" s="3462" t="str">
        <f>IF(OR(I54&gt;=0.3,I54&lt;=-0.3),"超过30%","")</f>
        <v/>
      </c>
      <c r="K54" s="3465"/>
      <c r="L54" s="3466"/>
      <c r="M54" s="3464"/>
      <c r="N54" s="3464"/>
      <c r="O54" s="3464"/>
      <c r="P54" s="3621"/>
      <c r="Q54" s="3464"/>
      <c r="R54" s="3464"/>
      <c r="S54" s="3464"/>
      <c r="T54" s="3464"/>
      <c r="U54" s="3464"/>
      <c r="V54" s="3464"/>
      <c r="W54" s="3464"/>
      <c r="X54" s="3464"/>
      <c r="Y54" s="3464"/>
      <c r="Z54" s="3464"/>
      <c r="AA54" s="3464"/>
      <c r="AB54" s="3464"/>
      <c r="AC54" s="3464"/>
    </row>
    <row r="55" spans="1:29" s="3468" customFormat="1">
      <c r="A55" s="3464"/>
      <c r="B55" s="3469"/>
      <c r="C55" s="3470"/>
      <c r="D55" s="3464"/>
      <c r="E55" s="3464"/>
      <c r="F55" s="3464"/>
      <c r="G55" s="3464"/>
      <c r="H55" s="3464"/>
      <c r="I55" s="3464"/>
      <c r="J55" s="3464"/>
      <c r="K55" s="3465"/>
      <c r="L55" s="3466"/>
      <c r="M55" s="3464"/>
      <c r="N55" s="3464"/>
      <c r="O55" s="3464"/>
      <c r="P55" s="3621"/>
      <c r="Q55" s="3464"/>
      <c r="R55" s="3464"/>
      <c r="S55" s="3464"/>
      <c r="T55" s="3464"/>
      <c r="U55" s="3464"/>
      <c r="V55" s="3464"/>
      <c r="W55" s="3464"/>
      <c r="X55" s="3464"/>
      <c r="Y55" s="3464"/>
      <c r="Z55" s="3464"/>
      <c r="AA55" s="3464"/>
      <c r="AB55" s="3464"/>
      <c r="AC55" s="3464"/>
    </row>
    <row r="56" spans="1:29">
      <c r="A56" s="3316"/>
      <c r="B56" s="3469"/>
      <c r="C56" s="3470"/>
      <c r="D56" s="3316"/>
      <c r="E56" s="3316"/>
      <c r="F56" s="3316"/>
      <c r="G56" s="3316"/>
      <c r="H56" s="3316"/>
      <c r="I56" s="3316"/>
      <c r="J56" s="3316"/>
      <c r="K56" s="3456"/>
      <c r="L56" s="3457"/>
      <c r="M56" s="3316"/>
      <c r="N56" s="3316"/>
      <c r="O56" s="3316"/>
      <c r="P56" s="3620"/>
      <c r="Q56" s="3316"/>
      <c r="R56" s="3316"/>
      <c r="S56" s="3316"/>
      <c r="T56" s="3316"/>
      <c r="U56" s="3316"/>
      <c r="V56" s="3316"/>
      <c r="W56" s="3316"/>
      <c r="X56" s="3316"/>
      <c r="Y56" s="3316"/>
      <c r="Z56" s="3316"/>
      <c r="AA56" s="3316"/>
      <c r="AB56" s="3316"/>
      <c r="AC56" s="3316"/>
    </row>
    <row r="57" spans="1:29" ht="21.75" thickBot="1">
      <c r="A57" s="3471" t="s">
        <v>1714</v>
      </c>
      <c r="B57" s="3440"/>
      <c r="C57" s="3472"/>
      <c r="D57" s="3472"/>
      <c r="E57" s="3472"/>
      <c r="F57" s="3473"/>
      <c r="G57" s="3473"/>
      <c r="H57" s="3472"/>
      <c r="I57" s="3472"/>
      <c r="J57" s="3472"/>
      <c r="K57" s="3474"/>
      <c r="L57" s="3475"/>
      <c r="M57" s="3476"/>
      <c r="N57" s="3476"/>
      <c r="O57" s="3476"/>
      <c r="P57" s="3622"/>
      <c r="Q57" s="3479"/>
      <c r="R57" s="3316"/>
      <c r="S57" s="3316"/>
      <c r="T57" s="3316"/>
      <c r="U57" s="3316"/>
      <c r="V57" s="3316"/>
      <c r="W57" s="3316"/>
      <c r="X57" s="3316"/>
      <c r="Y57" s="3316"/>
      <c r="Z57" s="3316"/>
      <c r="AA57" s="3316"/>
      <c r="AB57" s="3316"/>
      <c r="AC57" s="3316"/>
    </row>
    <row r="58" spans="1:29" s="3486" customFormat="1" ht="15">
      <c r="A58" s="3480" t="s">
        <v>1679</v>
      </c>
      <c r="B58" s="3481"/>
      <c r="C58" s="3482" t="str">
        <f>YEAR(C7)&amp;"-"&amp;MONTH(C7)</f>
        <v>2024-6</v>
      </c>
      <c r="D58" s="3483">
        <f>EDATE(C58,-1)</f>
        <v>45413</v>
      </c>
      <c r="E58" s="3483">
        <f t="shared" ref="E58:N58" si="16">EDATE(D58,-1)</f>
        <v>45383</v>
      </c>
      <c r="F58" s="3483">
        <f t="shared" si="16"/>
        <v>45352</v>
      </c>
      <c r="G58" s="3483">
        <f t="shared" si="16"/>
        <v>45323</v>
      </c>
      <c r="H58" s="3483">
        <f t="shared" si="16"/>
        <v>45292</v>
      </c>
      <c r="I58" s="3483">
        <f t="shared" si="16"/>
        <v>45261</v>
      </c>
      <c r="J58" s="3483">
        <f t="shared" si="16"/>
        <v>45231</v>
      </c>
      <c r="K58" s="3483">
        <f t="shared" si="16"/>
        <v>45200</v>
      </c>
      <c r="L58" s="3483">
        <f t="shared" si="16"/>
        <v>45170</v>
      </c>
      <c r="M58" s="3483">
        <f t="shared" si="16"/>
        <v>45139</v>
      </c>
      <c r="N58" s="3483">
        <f t="shared" si="16"/>
        <v>45108</v>
      </c>
      <c r="O58" s="3483">
        <f>EDATE(N58,-1)</f>
        <v>45078</v>
      </c>
      <c r="P58" s="3623"/>
      <c r="Q58" s="3485"/>
      <c r="R58" s="3485"/>
      <c r="S58" s="3485"/>
      <c r="T58" s="3485"/>
      <c r="U58" s="3485"/>
      <c r="V58" s="3485"/>
      <c r="W58" s="3485"/>
      <c r="X58" s="3485"/>
      <c r="Y58" s="3485"/>
      <c r="Z58" s="3485"/>
      <c r="AA58" s="3485"/>
      <c r="AB58" s="3485"/>
      <c r="AC58" s="3485"/>
    </row>
    <row r="59" spans="1:29" s="3339" customFormat="1" ht="15">
      <c r="A59" s="3487"/>
      <c r="B59" s="3488"/>
      <c r="C59" s="3489">
        <v>100</v>
      </c>
      <c r="D59" s="3490"/>
      <c r="E59" s="3490"/>
      <c r="F59" s="3490"/>
      <c r="G59" s="3490"/>
      <c r="H59" s="3490"/>
      <c r="I59" s="3490"/>
      <c r="J59" s="3490"/>
      <c r="K59" s="3490"/>
      <c r="L59" s="3490"/>
      <c r="M59" s="3361"/>
      <c r="N59" s="3490"/>
      <c r="O59" s="3361"/>
      <c r="P59" s="3624"/>
      <c r="Q59" s="3333"/>
      <c r="R59" s="3333"/>
      <c r="S59" s="3333"/>
      <c r="T59" s="3333"/>
      <c r="U59" s="3333"/>
      <c r="V59" s="3333"/>
      <c r="W59" s="3333"/>
      <c r="X59" s="3333"/>
      <c r="Y59" s="3333"/>
      <c r="Z59" s="3333"/>
      <c r="AA59" s="3333"/>
      <c r="AB59" s="3333"/>
      <c r="AC59" s="3333"/>
    </row>
    <row r="60" spans="1:29" s="3339" customFormat="1" ht="15.75" thickBot="1">
      <c r="A60" s="3492" t="s">
        <v>3746</v>
      </c>
      <c r="B60" s="3493"/>
      <c r="C60" s="3494"/>
      <c r="D60" s="3495"/>
      <c r="E60" s="3495"/>
      <c r="F60" s="3495"/>
      <c r="G60" s="3495"/>
      <c r="H60" s="3495"/>
      <c r="I60" s="3495"/>
      <c r="J60" s="3495"/>
      <c r="K60" s="3495"/>
      <c r="L60" s="3495"/>
      <c r="M60" s="3496"/>
      <c r="N60" s="3495"/>
      <c r="O60" s="3496"/>
      <c r="P60" s="3624"/>
      <c r="Q60" s="3479"/>
      <c r="R60" s="3333"/>
      <c r="S60" s="3333"/>
      <c r="T60" s="3333"/>
      <c r="U60" s="3333"/>
      <c r="V60" s="3333"/>
      <c r="W60" s="3333"/>
      <c r="X60" s="3333"/>
      <c r="Y60" s="3333"/>
      <c r="Z60" s="3333"/>
      <c r="AA60" s="3333"/>
      <c r="AB60" s="3333"/>
      <c r="AC60" s="3333"/>
    </row>
    <row r="61" spans="1:29" s="3339" customFormat="1" ht="15">
      <c r="A61" s="3497" t="s">
        <v>1681</v>
      </c>
      <c r="B61" s="3488"/>
      <c r="C61" s="3498" t="s">
        <v>3747</v>
      </c>
      <c r="D61" s="3643" t="s">
        <v>3872</v>
      </c>
      <c r="E61" s="3499"/>
      <c r="F61" s="3499"/>
      <c r="G61" s="3499"/>
      <c r="H61" s="3499"/>
      <c r="I61" s="3499"/>
      <c r="J61" s="3499"/>
      <c r="K61" s="3499"/>
      <c r="L61" s="3500"/>
      <c r="M61" s="3501"/>
      <c r="N61" s="3502"/>
      <c r="O61" s="3502"/>
      <c r="P61" s="3625"/>
      <c r="Q61" s="3479"/>
      <c r="R61" s="3333"/>
      <c r="S61" s="3333"/>
      <c r="T61" s="3333"/>
      <c r="U61" s="3333"/>
      <c r="V61" s="3333"/>
      <c r="W61" s="3333"/>
      <c r="X61" s="3333"/>
      <c r="Y61" s="3333"/>
      <c r="Z61" s="3333"/>
      <c r="AA61" s="3333"/>
      <c r="AB61" s="3333"/>
      <c r="AC61" s="3333"/>
    </row>
    <row r="62" spans="1:29" s="3339" customFormat="1" ht="15.75" thickBot="1">
      <c r="A62" s="3497"/>
      <c r="B62" s="3488"/>
      <c r="C62" s="3504">
        <v>100</v>
      </c>
      <c r="D62" s="3490">
        <f>'租金比较法-办公'!D63</f>
        <v>105</v>
      </c>
      <c r="E62" s="3490"/>
      <c r="F62" s="3490"/>
      <c r="G62" s="3490"/>
      <c r="H62" s="3490"/>
      <c r="I62" s="3490"/>
      <c r="J62" s="3490"/>
      <c r="K62" s="3490"/>
      <c r="L62" s="3490"/>
      <c r="M62" s="3505"/>
      <c r="N62" s="3502"/>
      <c r="O62" s="3502"/>
      <c r="P62" s="3624"/>
      <c r="Q62" s="3479"/>
      <c r="R62" s="3333"/>
      <c r="S62" s="3333"/>
      <c r="T62" s="3333"/>
      <c r="U62" s="3333"/>
      <c r="V62" s="3333"/>
      <c r="W62" s="3333"/>
      <c r="X62" s="3333"/>
      <c r="Y62" s="3333"/>
      <c r="Z62" s="3333"/>
      <c r="AA62" s="3333"/>
      <c r="AB62" s="3333"/>
      <c r="AC62" s="3333"/>
    </row>
    <row r="63" spans="1:29">
      <c r="A63" s="3374" t="s">
        <v>1719</v>
      </c>
      <c r="B63" s="3506" t="s">
        <v>1685</v>
      </c>
      <c r="C63" s="3507" t="str">
        <f>C9</f>
        <v>商业</v>
      </c>
      <c r="D63" s="3508"/>
      <c r="E63" s="3508"/>
      <c r="F63" s="3508"/>
      <c r="G63" s="3508"/>
      <c r="H63" s="3508"/>
      <c r="I63" s="3508"/>
      <c r="J63" s="3508"/>
      <c r="K63" s="3509"/>
      <c r="L63" s="3510"/>
      <c r="M63" s="3511"/>
      <c r="N63" s="3512"/>
      <c r="O63" s="3512"/>
      <c r="P63" s="3626"/>
      <c r="Q63" s="3479"/>
      <c r="R63" s="3316"/>
      <c r="S63" s="3316"/>
      <c r="T63" s="3316"/>
      <c r="U63" s="3316"/>
      <c r="V63" s="3316"/>
      <c r="W63" s="3316"/>
      <c r="X63" s="3316"/>
      <c r="Y63" s="3316"/>
      <c r="Z63" s="3316"/>
      <c r="AA63" s="3316"/>
      <c r="AB63" s="3316"/>
      <c r="AC63" s="3316"/>
    </row>
    <row r="64" spans="1:29" ht="15.75" thickBot="1">
      <c r="A64" s="3355"/>
      <c r="B64" s="3514"/>
      <c r="C64" s="3515">
        <v>100</v>
      </c>
      <c r="D64" s="3515"/>
      <c r="E64" s="3515"/>
      <c r="F64" s="3515"/>
      <c r="G64" s="3515"/>
      <c r="H64" s="3515"/>
      <c r="I64" s="3515"/>
      <c r="J64" s="3515"/>
      <c r="K64" s="3515"/>
      <c r="L64" s="3515"/>
      <c r="M64" s="3516"/>
      <c r="N64" s="3517"/>
      <c r="O64" s="3517"/>
      <c r="P64" s="3626"/>
      <c r="Q64" s="3479"/>
      <c r="R64" s="3316"/>
      <c r="S64" s="3316"/>
      <c r="T64" s="3316"/>
      <c r="U64" s="3316"/>
      <c r="V64" s="3316"/>
      <c r="W64" s="3316"/>
      <c r="X64" s="3316"/>
      <c r="Y64" s="3316"/>
      <c r="Z64" s="3316"/>
      <c r="AA64" s="3316"/>
      <c r="AB64" s="3316"/>
      <c r="AC64" s="3316"/>
    </row>
    <row r="65" spans="1:29" ht="27.75" thickTop="1">
      <c r="A65" s="3355"/>
      <c r="B65" s="3518" t="s">
        <v>1688</v>
      </c>
      <c r="C65" s="3519"/>
      <c r="D65" s="3519"/>
      <c r="E65" s="3519"/>
      <c r="F65" s="3519"/>
      <c r="G65" s="3519"/>
      <c r="H65" s="3519"/>
      <c r="I65" s="3519"/>
      <c r="J65" s="3519"/>
      <c r="K65" s="3520"/>
      <c r="L65" s="3521"/>
      <c r="M65" s="3522"/>
      <c r="N65" s="3512"/>
      <c r="O65" s="3512"/>
      <c r="P65" s="3626"/>
      <c r="Q65" s="3479"/>
      <c r="R65" s="3316"/>
      <c r="S65" s="3316"/>
      <c r="T65" s="3316"/>
      <c r="U65" s="3316"/>
      <c r="V65" s="3316"/>
      <c r="W65" s="3316"/>
      <c r="X65" s="3316"/>
      <c r="Y65" s="3316"/>
      <c r="Z65" s="3316"/>
      <c r="AA65" s="3316"/>
      <c r="AB65" s="3316"/>
      <c r="AC65" s="3316"/>
    </row>
    <row r="66" spans="1:29" ht="15.75" thickBot="1">
      <c r="A66" s="3355"/>
      <c r="B66" s="3523"/>
      <c r="C66" s="3515"/>
      <c r="D66" s="3515"/>
      <c r="E66" s="3515"/>
      <c r="F66" s="3515"/>
      <c r="G66" s="3515"/>
      <c r="H66" s="3515"/>
      <c r="I66" s="3515"/>
      <c r="J66" s="3515"/>
      <c r="K66" s="3515"/>
      <c r="L66" s="3515"/>
      <c r="M66" s="3516"/>
      <c r="N66" s="3517"/>
      <c r="O66" s="3517"/>
      <c r="P66" s="3626"/>
      <c r="Q66" s="3479"/>
      <c r="R66" s="3316"/>
      <c r="S66" s="3316"/>
      <c r="T66" s="3316"/>
      <c r="U66" s="3316"/>
      <c r="V66" s="3316"/>
      <c r="W66" s="3316"/>
      <c r="X66" s="3316"/>
      <c r="Y66" s="3316"/>
      <c r="Z66" s="3316"/>
      <c r="AA66" s="3316"/>
      <c r="AB66" s="3316"/>
      <c r="AC66" s="3316"/>
    </row>
    <row r="67" spans="1:29" ht="15.75" thickTop="1">
      <c r="A67" s="3355"/>
      <c r="B67" s="3524" t="s">
        <v>1689</v>
      </c>
      <c r="C67" s="3525" t="str">
        <f>C68&amp;"（含）"&amp;"-"&amp;D68</f>
        <v>0（含）-1</v>
      </c>
      <c r="D67" s="3525" t="str">
        <f t="shared" ref="D67:L67" si="17">D68&amp;"（含）"&amp;"-"&amp;E68</f>
        <v>1（含）-2</v>
      </c>
      <c r="E67" s="3525" t="str">
        <f t="shared" si="17"/>
        <v>2（含）-3</v>
      </c>
      <c r="F67" s="3525" t="str">
        <f t="shared" si="17"/>
        <v>3（含）-</v>
      </c>
      <c r="G67" s="3525" t="str">
        <f t="shared" si="17"/>
        <v>（含）-</v>
      </c>
      <c r="H67" s="3525" t="str">
        <f t="shared" si="17"/>
        <v>（含）-</v>
      </c>
      <c r="I67" s="3525" t="str">
        <f t="shared" si="17"/>
        <v>（含）-</v>
      </c>
      <c r="J67" s="3525" t="str">
        <f t="shared" si="17"/>
        <v>（含）-</v>
      </c>
      <c r="K67" s="3525" t="str">
        <f t="shared" si="17"/>
        <v>（含）-</v>
      </c>
      <c r="L67" s="3525" t="str">
        <f t="shared" si="17"/>
        <v>（含）-</v>
      </c>
      <c r="M67" s="3388" t="str">
        <f>M68&amp;"（含）"&amp;"-"&amp;P68</f>
        <v>（含）-</v>
      </c>
      <c r="N67" s="3517"/>
      <c r="O67" s="3517"/>
      <c r="P67" s="3626"/>
      <c r="Q67" s="3479"/>
      <c r="R67" s="3316"/>
      <c r="S67" s="3316"/>
      <c r="T67" s="3316"/>
      <c r="U67" s="3316"/>
      <c r="V67" s="3316"/>
      <c r="W67" s="3316"/>
      <c r="X67" s="3316"/>
      <c r="Y67" s="3316"/>
      <c r="Z67" s="3316"/>
      <c r="AA67" s="3316"/>
      <c r="AB67" s="3316"/>
      <c r="AC67" s="3316"/>
    </row>
    <row r="68" spans="1:29" ht="15">
      <c r="A68" s="3355"/>
      <c r="B68" s="3526"/>
      <c r="C68" s="3527">
        <v>0</v>
      </c>
      <c r="D68" s="3527">
        <v>1</v>
      </c>
      <c r="E68" s="3527">
        <v>2</v>
      </c>
      <c r="F68" s="3527">
        <v>3</v>
      </c>
      <c r="G68" s="3527"/>
      <c r="H68" s="3527"/>
      <c r="I68" s="3527"/>
      <c r="J68" s="3527"/>
      <c r="K68" s="3528"/>
      <c r="L68" s="3529"/>
      <c r="M68" s="3530"/>
      <c r="N68" s="3512"/>
      <c r="O68" s="3512"/>
      <c r="P68" s="3626"/>
      <c r="Q68" s="3479"/>
      <c r="R68" s="3316"/>
      <c r="S68" s="3316"/>
      <c r="T68" s="3316"/>
      <c r="U68" s="3316"/>
      <c r="V68" s="3316"/>
      <c r="W68" s="3316"/>
      <c r="X68" s="3316"/>
      <c r="Y68" s="3316"/>
      <c r="Z68" s="3316"/>
      <c r="AA68" s="3316"/>
      <c r="AB68" s="3316"/>
      <c r="AC68" s="3316"/>
    </row>
    <row r="69" spans="1:29" ht="15.75" thickBot="1">
      <c r="A69" s="3355"/>
      <c r="B69" s="3514"/>
      <c r="C69" s="3531">
        <v>100</v>
      </c>
      <c r="D69" s="3531">
        <f t="shared" ref="D69:M69" si="18">C69-$K11</f>
        <v>99</v>
      </c>
      <c r="E69" s="3531">
        <f t="shared" si="18"/>
        <v>98</v>
      </c>
      <c r="F69" s="3531">
        <f t="shared" si="18"/>
        <v>97</v>
      </c>
      <c r="G69" s="3531">
        <f t="shared" si="18"/>
        <v>96</v>
      </c>
      <c r="H69" s="3531">
        <f t="shared" si="18"/>
        <v>95</v>
      </c>
      <c r="I69" s="3531">
        <f t="shared" si="18"/>
        <v>94</v>
      </c>
      <c r="J69" s="3531">
        <f t="shared" si="18"/>
        <v>93</v>
      </c>
      <c r="K69" s="3531">
        <f t="shared" si="18"/>
        <v>92</v>
      </c>
      <c r="L69" s="3531">
        <f t="shared" si="18"/>
        <v>91</v>
      </c>
      <c r="M69" s="3532">
        <f t="shared" si="18"/>
        <v>90</v>
      </c>
      <c r="N69" s="3517"/>
      <c r="O69" s="3517"/>
      <c r="P69" s="3626"/>
      <c r="Q69" s="3479"/>
      <c r="R69" s="3316"/>
      <c r="S69" s="3316"/>
      <c r="T69" s="3316"/>
      <c r="U69" s="3316"/>
      <c r="V69" s="3316"/>
      <c r="W69" s="3316"/>
      <c r="X69" s="3316"/>
      <c r="Y69" s="3316"/>
      <c r="Z69" s="3316"/>
      <c r="AA69" s="3316"/>
      <c r="AB69" s="3316"/>
      <c r="AC69" s="3316"/>
    </row>
    <row r="70" spans="1:29" s="3422" customFormat="1" ht="15.75" thickTop="1">
      <c r="A70" s="3533"/>
      <c r="B70" s="3518">
        <f>B12</f>
        <v>111</v>
      </c>
      <c r="C70" s="3534"/>
      <c r="D70" s="3534"/>
      <c r="E70" s="3534"/>
      <c r="F70" s="3534"/>
      <c r="G70" s="3534"/>
      <c r="H70" s="3535"/>
      <c r="I70" s="3535"/>
      <c r="J70" s="3535"/>
      <c r="K70" s="3535"/>
      <c r="L70" s="3536"/>
      <c r="M70" s="3537"/>
      <c r="N70" s="3538"/>
      <c r="O70" s="3538"/>
      <c r="P70" s="3627"/>
      <c r="Q70" s="3540"/>
      <c r="R70" s="3416"/>
      <c r="S70" s="3416"/>
      <c r="T70" s="3416"/>
      <c r="U70" s="3416"/>
      <c r="V70" s="3416"/>
      <c r="W70" s="3416"/>
      <c r="X70" s="3416"/>
      <c r="Y70" s="3416"/>
      <c r="Z70" s="3416"/>
      <c r="AA70" s="3416"/>
      <c r="AB70" s="3416"/>
      <c r="AC70" s="3416"/>
    </row>
    <row r="71" spans="1:29" s="3422" customFormat="1" ht="15.75" thickBot="1">
      <c r="A71" s="3533"/>
      <c r="B71" s="3523"/>
      <c r="C71" s="3541"/>
      <c r="D71" s="3515"/>
      <c r="E71" s="3515"/>
      <c r="F71" s="3515"/>
      <c r="G71" s="3515"/>
      <c r="H71" s="3515"/>
      <c r="I71" s="3515"/>
      <c r="J71" s="3515"/>
      <c r="K71" s="3515"/>
      <c r="L71" s="3515"/>
      <c r="M71" s="3516"/>
      <c r="N71" s="3517"/>
      <c r="O71" s="3517"/>
      <c r="P71" s="3627"/>
      <c r="Q71" s="3540"/>
      <c r="R71" s="3416"/>
      <c r="S71" s="3416"/>
      <c r="T71" s="3416"/>
      <c r="U71" s="3416"/>
      <c r="V71" s="3416"/>
      <c r="W71" s="3416"/>
      <c r="X71" s="3416"/>
      <c r="Y71" s="3416"/>
      <c r="Z71" s="3416"/>
      <c r="AA71" s="3416"/>
      <c r="AB71" s="3416"/>
      <c r="AC71" s="3416"/>
    </row>
    <row r="72" spans="1:29" s="3422" customFormat="1" ht="15.75" thickTop="1">
      <c r="A72" s="3533"/>
      <c r="B72" s="3518">
        <f>B13</f>
        <v>111</v>
      </c>
      <c r="C72" s="3534"/>
      <c r="D72" s="3534"/>
      <c r="E72" s="3534"/>
      <c r="F72" s="3534"/>
      <c r="G72" s="3534"/>
      <c r="H72" s="3535"/>
      <c r="I72" s="3535"/>
      <c r="J72" s="3535"/>
      <c r="K72" s="3535"/>
      <c r="L72" s="3536"/>
      <c r="M72" s="3537"/>
      <c r="N72" s="3538"/>
      <c r="O72" s="3538"/>
      <c r="P72" s="3628"/>
      <c r="Q72" s="3543"/>
      <c r="R72" s="3416"/>
      <c r="S72" s="3416"/>
      <c r="T72" s="3416"/>
      <c r="U72" s="3416"/>
      <c r="V72" s="3416"/>
      <c r="W72" s="3416"/>
      <c r="X72" s="3416"/>
      <c r="Y72" s="3416"/>
      <c r="Z72" s="3416"/>
      <c r="AA72" s="3416"/>
      <c r="AB72" s="3416"/>
      <c r="AC72" s="3416"/>
    </row>
    <row r="73" spans="1:29" s="3422" customFormat="1" ht="15.75" thickBot="1">
      <c r="A73" s="3533"/>
      <c r="B73" s="3523"/>
      <c r="C73" s="3541"/>
      <c r="D73" s="3515"/>
      <c r="E73" s="3515"/>
      <c r="F73" s="3515"/>
      <c r="G73" s="3541"/>
      <c r="H73" s="3544"/>
      <c r="I73" s="3544"/>
      <c r="J73" s="3544"/>
      <c r="K73" s="3544"/>
      <c r="L73" s="3544"/>
      <c r="M73" s="3545"/>
      <c r="N73" s="3538"/>
      <c r="O73" s="3538"/>
      <c r="P73" s="3627"/>
      <c r="Q73" s="3540"/>
      <c r="R73" s="3416"/>
      <c r="S73" s="3416"/>
      <c r="T73" s="3416"/>
      <c r="U73" s="3416"/>
      <c r="V73" s="3416"/>
      <c r="W73" s="3416"/>
      <c r="X73" s="3416"/>
      <c r="Y73" s="3416"/>
      <c r="Z73" s="3416"/>
      <c r="AA73" s="3416"/>
      <c r="AB73" s="3416"/>
      <c r="AC73" s="3416"/>
    </row>
    <row r="74" spans="1:29" s="3422" customFormat="1" ht="15.75" thickTop="1">
      <c r="A74" s="3533"/>
      <c r="B74" s="3524">
        <f>B14</f>
        <v>111</v>
      </c>
      <c r="C74" s="3534"/>
      <c r="D74" s="3534"/>
      <c r="E74" s="3534"/>
      <c r="F74" s="3534"/>
      <c r="G74" s="3499"/>
      <c r="H74" s="3546"/>
      <c r="I74" s="3546"/>
      <c r="J74" s="3546"/>
      <c r="K74" s="3546"/>
      <c r="L74" s="3547"/>
      <c r="M74" s="3548"/>
      <c r="N74" s="3538"/>
      <c r="O74" s="3538"/>
      <c r="P74" s="3629"/>
      <c r="Q74" s="3540"/>
      <c r="R74" s="3416"/>
      <c r="S74" s="3416"/>
      <c r="T74" s="3416"/>
      <c r="U74" s="3416"/>
      <c r="V74" s="3416"/>
      <c r="W74" s="3416"/>
      <c r="X74" s="3416"/>
      <c r="Y74" s="3416"/>
      <c r="Z74" s="3416"/>
      <c r="AA74" s="3416"/>
      <c r="AB74" s="3416"/>
      <c r="AC74" s="3416"/>
    </row>
    <row r="75" spans="1:29" s="3422" customFormat="1" ht="15.75" thickBot="1">
      <c r="A75" s="3550"/>
      <c r="B75" s="3551"/>
      <c r="C75" s="3552"/>
      <c r="D75" s="3552"/>
      <c r="E75" s="3552"/>
      <c r="F75" s="3552"/>
      <c r="G75" s="3552"/>
      <c r="H75" s="3553"/>
      <c r="I75" s="3553"/>
      <c r="J75" s="3553"/>
      <c r="K75" s="3553"/>
      <c r="L75" s="3553"/>
      <c r="M75" s="3554"/>
      <c r="N75" s="3538"/>
      <c r="O75" s="3538"/>
      <c r="P75" s="3627"/>
      <c r="Q75" s="3540"/>
      <c r="R75" s="3416"/>
      <c r="S75" s="3416"/>
      <c r="T75" s="3416"/>
      <c r="U75" s="3416"/>
      <c r="V75" s="3416"/>
      <c r="W75" s="3416"/>
      <c r="X75" s="3416"/>
      <c r="Y75" s="3416"/>
      <c r="Z75" s="3416"/>
      <c r="AA75" s="3416"/>
      <c r="AB75" s="3416"/>
      <c r="AC75" s="3416"/>
    </row>
    <row r="76" spans="1:29">
      <c r="A76" s="3374" t="s">
        <v>1690</v>
      </c>
      <c r="B76" s="3506" t="s">
        <v>1720</v>
      </c>
      <c r="C76" s="3555" t="s">
        <v>1721</v>
      </c>
      <c r="D76" s="3555" t="s">
        <v>1722</v>
      </c>
      <c r="E76" s="3555" t="s">
        <v>1723</v>
      </c>
      <c r="F76" s="3555" t="s">
        <v>1724</v>
      </c>
      <c r="G76" s="3555" t="s">
        <v>1725</v>
      </c>
      <c r="H76" s="3507"/>
      <c r="I76" s="3507"/>
      <c r="J76" s="3507"/>
      <c r="K76" s="3556"/>
      <c r="L76" s="3557"/>
      <c r="M76" s="3558"/>
      <c r="N76" s="3512"/>
      <c r="O76" s="3512"/>
      <c r="P76" s="3630"/>
      <c r="Q76" s="3479"/>
      <c r="R76" s="3316"/>
      <c r="S76" s="3316"/>
      <c r="T76" s="3316"/>
      <c r="U76" s="3316"/>
      <c r="V76" s="3316"/>
      <c r="W76" s="3316"/>
      <c r="X76" s="3316"/>
      <c r="Y76" s="3316"/>
      <c r="Z76" s="3316"/>
      <c r="AA76" s="3316"/>
      <c r="AB76" s="3316"/>
      <c r="AC76" s="3316"/>
    </row>
    <row r="77" spans="1:29" ht="15.75" thickBot="1">
      <c r="A77" s="3355"/>
      <c r="B77" s="3523"/>
      <c r="C77" s="3531">
        <v>100</v>
      </c>
      <c r="D77" s="3531">
        <f>C77-$K15</f>
        <v>98</v>
      </c>
      <c r="E77" s="3531">
        <f>D77-$K15</f>
        <v>96</v>
      </c>
      <c r="F77" s="3531">
        <f>E77-$K15</f>
        <v>94</v>
      </c>
      <c r="G77" s="3531">
        <f>F77-$K15</f>
        <v>92</v>
      </c>
      <c r="H77" s="3531"/>
      <c r="I77" s="3531"/>
      <c r="J77" s="3531"/>
      <c r="K77" s="3531"/>
      <c r="L77" s="3531"/>
      <c r="M77" s="3532"/>
      <c r="N77" s="3517"/>
      <c r="O77" s="3517"/>
      <c r="P77" s="3626"/>
      <c r="Q77" s="3479"/>
      <c r="R77" s="3316"/>
      <c r="S77" s="3316"/>
      <c r="T77" s="3316"/>
      <c r="U77" s="3316"/>
      <c r="V77" s="3316"/>
      <c r="W77" s="3316"/>
      <c r="X77" s="3316"/>
      <c r="Y77" s="3316"/>
      <c r="Z77" s="3316"/>
      <c r="AA77" s="3316"/>
      <c r="AB77" s="3316"/>
      <c r="AC77" s="3316"/>
    </row>
    <row r="78" spans="1:29" ht="15.75" thickTop="1">
      <c r="A78" s="3355"/>
      <c r="B78" s="3518" t="s">
        <v>1726</v>
      </c>
      <c r="C78" s="3560" t="s">
        <v>1721</v>
      </c>
      <c r="D78" s="3560" t="s">
        <v>1722</v>
      </c>
      <c r="E78" s="3560" t="s">
        <v>1723</v>
      </c>
      <c r="F78" s="3560" t="s">
        <v>1724</v>
      </c>
      <c r="G78" s="3560" t="s">
        <v>1725</v>
      </c>
      <c r="H78" s="3561"/>
      <c r="I78" s="3561"/>
      <c r="J78" s="3561"/>
      <c r="K78" s="3562"/>
      <c r="L78" s="3563"/>
      <c r="M78" s="3564"/>
      <c r="N78" s="3512"/>
      <c r="O78" s="3512"/>
      <c r="P78" s="3626"/>
      <c r="Q78" s="3479"/>
      <c r="R78" s="3316"/>
      <c r="S78" s="3316"/>
      <c r="T78" s="3316"/>
      <c r="U78" s="3316"/>
      <c r="V78" s="3316"/>
      <c r="W78" s="3316"/>
      <c r="X78" s="3316"/>
      <c r="Y78" s="3316"/>
      <c r="Z78" s="3316"/>
      <c r="AA78" s="3316"/>
      <c r="AB78" s="3316"/>
      <c r="AC78" s="3316"/>
    </row>
    <row r="79" spans="1:29" ht="15.75" thickBot="1">
      <c r="A79" s="3355"/>
      <c r="B79" s="3523"/>
      <c r="C79" s="3531">
        <v>100</v>
      </c>
      <c r="D79" s="3531">
        <f>C79-$K17</f>
        <v>98</v>
      </c>
      <c r="E79" s="3531">
        <f>D79-$K17</f>
        <v>96</v>
      </c>
      <c r="F79" s="3531">
        <f>E79-$K17</f>
        <v>94</v>
      </c>
      <c r="G79" s="3531">
        <f>F79-$K17</f>
        <v>92</v>
      </c>
      <c r="H79" s="3531"/>
      <c r="I79" s="3531"/>
      <c r="J79" s="3531"/>
      <c r="K79" s="3531"/>
      <c r="L79" s="3531"/>
      <c r="M79" s="3532"/>
      <c r="N79" s="3517"/>
      <c r="O79" s="3517"/>
      <c r="P79" s="3626"/>
      <c r="Q79" s="3479"/>
      <c r="R79" s="3316"/>
      <c r="S79" s="3316"/>
      <c r="T79" s="3316"/>
      <c r="U79" s="3316"/>
      <c r="V79" s="3316"/>
      <c r="W79" s="3316"/>
      <c r="X79" s="3316"/>
      <c r="Y79" s="3316"/>
      <c r="Z79" s="3316"/>
      <c r="AA79" s="3316"/>
      <c r="AB79" s="3316"/>
      <c r="AC79" s="3316"/>
    </row>
    <row r="80" spans="1:29" ht="15.75" thickTop="1">
      <c r="A80" s="3355"/>
      <c r="B80" s="3518" t="s">
        <v>1727</v>
      </c>
      <c r="C80" s="3560" t="s">
        <v>1721</v>
      </c>
      <c r="D80" s="3560" t="s">
        <v>1722</v>
      </c>
      <c r="E80" s="3560" t="s">
        <v>1723</v>
      </c>
      <c r="F80" s="3560" t="s">
        <v>1724</v>
      </c>
      <c r="G80" s="3560" t="s">
        <v>1725</v>
      </c>
      <c r="H80" s="3561"/>
      <c r="I80" s="3561"/>
      <c r="J80" s="3561"/>
      <c r="K80" s="3562"/>
      <c r="L80" s="3563"/>
      <c r="M80" s="3564"/>
      <c r="N80" s="3512"/>
      <c r="O80" s="3512"/>
      <c r="P80" s="3626"/>
      <c r="Q80" s="3479"/>
      <c r="R80" s="3316"/>
      <c r="S80" s="3316"/>
      <c r="T80" s="3316"/>
      <c r="U80" s="3316"/>
      <c r="V80" s="3316"/>
      <c r="W80" s="3316"/>
      <c r="X80" s="3316"/>
      <c r="Y80" s="3316"/>
      <c r="Z80" s="3316"/>
      <c r="AA80" s="3316"/>
      <c r="AB80" s="3316"/>
      <c r="AC80" s="3316"/>
    </row>
    <row r="81" spans="1:29" ht="15.75" thickBot="1">
      <c r="A81" s="3355"/>
      <c r="B81" s="3523"/>
      <c r="C81" s="3531">
        <v>100</v>
      </c>
      <c r="D81" s="3531">
        <f>C81-$K19</f>
        <v>98</v>
      </c>
      <c r="E81" s="3531">
        <f>D81-$K19</f>
        <v>96</v>
      </c>
      <c r="F81" s="3531">
        <f>E81-$K19</f>
        <v>94</v>
      </c>
      <c r="G81" s="3531">
        <f>F81-$K19</f>
        <v>92</v>
      </c>
      <c r="H81" s="3531"/>
      <c r="I81" s="3531"/>
      <c r="J81" s="3531"/>
      <c r="K81" s="3531"/>
      <c r="L81" s="3531"/>
      <c r="M81" s="3532"/>
      <c r="N81" s="3517"/>
      <c r="O81" s="3517"/>
      <c r="P81" s="3626"/>
      <c r="Q81" s="3479"/>
      <c r="R81" s="3316"/>
      <c r="S81" s="3316"/>
      <c r="T81" s="3316"/>
      <c r="U81" s="3316"/>
      <c r="V81" s="3316"/>
      <c r="W81" s="3316"/>
      <c r="X81" s="3316"/>
      <c r="Y81" s="3316"/>
      <c r="Z81" s="3316"/>
      <c r="AA81" s="3316"/>
      <c r="AB81" s="3316"/>
      <c r="AC81" s="3316"/>
    </row>
    <row r="82" spans="1:29" ht="15.75" thickTop="1">
      <c r="A82" s="3355"/>
      <c r="B82" s="3524" t="s">
        <v>3738</v>
      </c>
      <c r="C82" s="3391" t="s">
        <v>3748</v>
      </c>
      <c r="D82" s="3391" t="s">
        <v>3749</v>
      </c>
      <c r="E82" s="3391" t="s">
        <v>3750</v>
      </c>
      <c r="F82" s="3391" t="s">
        <v>3751</v>
      </c>
      <c r="G82" s="3391" t="s">
        <v>3752</v>
      </c>
      <c r="H82" s="3561"/>
      <c r="I82" s="3561"/>
      <c r="J82" s="3561"/>
      <c r="K82" s="3561"/>
      <c r="L82" s="3561"/>
      <c r="M82" s="3565"/>
      <c r="N82" s="3517"/>
      <c r="O82" s="3517"/>
      <c r="P82" s="3626"/>
      <c r="Q82" s="3479"/>
      <c r="R82" s="3316"/>
      <c r="S82" s="3316"/>
      <c r="T82" s="3316"/>
      <c r="U82" s="3316"/>
      <c r="V82" s="3316"/>
      <c r="W82" s="3316"/>
      <c r="X82" s="3316"/>
      <c r="Y82" s="3316"/>
      <c r="Z82" s="3316"/>
      <c r="AA82" s="3316"/>
      <c r="AB82" s="3316"/>
      <c r="AC82" s="3316"/>
    </row>
    <row r="83" spans="1:29" ht="15.75" thickBot="1">
      <c r="A83" s="3355"/>
      <c r="B83" s="3524"/>
      <c r="C83" s="3531">
        <v>100</v>
      </c>
      <c r="D83" s="3531">
        <f>C83-$K21</f>
        <v>99</v>
      </c>
      <c r="E83" s="3531">
        <f t="shared" ref="E83:G83" si="19">D83-$K21</f>
        <v>98</v>
      </c>
      <c r="F83" s="3531">
        <f t="shared" si="19"/>
        <v>97</v>
      </c>
      <c r="G83" s="3531">
        <f t="shared" si="19"/>
        <v>96</v>
      </c>
      <c r="H83" s="3391"/>
      <c r="I83" s="3391"/>
      <c r="J83" s="3391"/>
      <c r="K83" s="3391"/>
      <c r="L83" s="3391"/>
      <c r="M83" s="3389"/>
      <c r="N83" s="3517"/>
      <c r="O83" s="3517"/>
      <c r="P83" s="3626"/>
      <c r="Q83" s="3479"/>
      <c r="R83" s="3316"/>
      <c r="S83" s="3316"/>
      <c r="T83" s="3316"/>
      <c r="U83" s="3316"/>
      <c r="V83" s="3316"/>
      <c r="W83" s="3316"/>
      <c r="X83" s="3316"/>
      <c r="Y83" s="3316"/>
      <c r="Z83" s="3316"/>
      <c r="AA83" s="3316"/>
      <c r="AB83" s="3316"/>
      <c r="AC83" s="3316"/>
    </row>
    <row r="84" spans="1:29" ht="15.75" thickTop="1">
      <c r="A84" s="3355"/>
      <c r="B84" s="3518" t="s">
        <v>1733</v>
      </c>
      <c r="C84" s="3560" t="s">
        <v>1721</v>
      </c>
      <c r="D84" s="3560" t="s">
        <v>1722</v>
      </c>
      <c r="E84" s="3560" t="s">
        <v>1723</v>
      </c>
      <c r="F84" s="3560" t="s">
        <v>1724</v>
      </c>
      <c r="G84" s="3560" t="s">
        <v>1725</v>
      </c>
      <c r="H84" s="3561"/>
      <c r="I84" s="3561"/>
      <c r="J84" s="3561"/>
      <c r="K84" s="3562"/>
      <c r="L84" s="3563"/>
      <c r="M84" s="3564"/>
      <c r="N84" s="3512"/>
      <c r="O84" s="3512"/>
      <c r="P84" s="3626"/>
      <c r="Q84" s="3479"/>
      <c r="R84" s="3316"/>
      <c r="S84" s="3316"/>
      <c r="T84" s="3316"/>
      <c r="U84" s="3316"/>
      <c r="V84" s="3316"/>
      <c r="W84" s="3316"/>
      <c r="X84" s="3316"/>
      <c r="Y84" s="3316"/>
      <c r="Z84" s="3316"/>
      <c r="AA84" s="3316"/>
      <c r="AB84" s="3316"/>
      <c r="AC84" s="3316"/>
    </row>
    <row r="85" spans="1:29" ht="15.75" thickBot="1">
      <c r="A85" s="3355"/>
      <c r="B85" s="3523"/>
      <c r="C85" s="3531">
        <v>100</v>
      </c>
      <c r="D85" s="3531">
        <f>C85-$K23</f>
        <v>98</v>
      </c>
      <c r="E85" s="3531">
        <f>D85-$K23</f>
        <v>96</v>
      </c>
      <c r="F85" s="3531">
        <f>E85-$K23</f>
        <v>94</v>
      </c>
      <c r="G85" s="3531">
        <f>F85-$K23</f>
        <v>92</v>
      </c>
      <c r="H85" s="3531"/>
      <c r="I85" s="3531"/>
      <c r="J85" s="3531"/>
      <c r="K85" s="3531"/>
      <c r="L85" s="3531"/>
      <c r="M85" s="3532"/>
      <c r="N85" s="3517"/>
      <c r="O85" s="3517"/>
      <c r="P85" s="3626"/>
      <c r="Q85" s="3479"/>
      <c r="R85" s="3316"/>
      <c r="S85" s="3316"/>
      <c r="T85" s="3316"/>
      <c r="U85" s="3316"/>
      <c r="V85" s="3316"/>
      <c r="W85" s="3316"/>
      <c r="X85" s="3316"/>
      <c r="Y85" s="3316"/>
      <c r="Z85" s="3316"/>
      <c r="AA85" s="3316"/>
      <c r="AB85" s="3316"/>
      <c r="AC85" s="3316"/>
    </row>
    <row r="86" spans="1:29" s="3339" customFormat="1" ht="15.75" thickTop="1">
      <c r="A86" s="3360"/>
      <c r="B86" s="3518" t="s">
        <v>1804</v>
      </c>
      <c r="C86" s="3582" t="s">
        <v>3789</v>
      </c>
      <c r="D86" s="3582" t="s">
        <v>3790</v>
      </c>
      <c r="E86" s="3582" t="s">
        <v>3791</v>
      </c>
      <c r="F86" s="3534"/>
      <c r="G86" s="3534"/>
      <c r="H86" s="3534"/>
      <c r="I86" s="3534"/>
      <c r="J86" s="3534"/>
      <c r="K86" s="3534"/>
      <c r="L86" s="3566"/>
      <c r="M86" s="3567"/>
      <c r="N86" s="3502"/>
      <c r="O86" s="3502"/>
      <c r="P86" s="3626"/>
      <c r="Q86" s="3479"/>
      <c r="R86" s="3333"/>
      <c r="S86" s="3333"/>
      <c r="T86" s="3333"/>
      <c r="U86" s="3333"/>
      <c r="V86" s="3333"/>
      <c r="W86" s="3333"/>
      <c r="X86" s="3333"/>
      <c r="Y86" s="3333"/>
      <c r="Z86" s="3333"/>
      <c r="AA86" s="3333"/>
      <c r="AB86" s="3333"/>
      <c r="AC86" s="3333"/>
    </row>
    <row r="87" spans="1:29" s="3339" customFormat="1" ht="15.75" thickBot="1">
      <c r="A87" s="3360"/>
      <c r="B87" s="3523"/>
      <c r="C87" s="3568">
        <v>100</v>
      </c>
      <c r="D87" s="3531">
        <f t="shared" ref="D87:M87" si="20">C87-$K25</f>
        <v>95</v>
      </c>
      <c r="E87" s="3531">
        <f t="shared" si="20"/>
        <v>90</v>
      </c>
      <c r="F87" s="3531">
        <f t="shared" si="20"/>
        <v>85</v>
      </c>
      <c r="G87" s="3531">
        <f t="shared" si="20"/>
        <v>80</v>
      </c>
      <c r="H87" s="3531">
        <f t="shared" si="20"/>
        <v>75</v>
      </c>
      <c r="I87" s="3531">
        <f t="shared" si="20"/>
        <v>70</v>
      </c>
      <c r="J87" s="3531">
        <f t="shared" si="20"/>
        <v>65</v>
      </c>
      <c r="K87" s="3531">
        <f t="shared" si="20"/>
        <v>60</v>
      </c>
      <c r="L87" s="3531">
        <f t="shared" si="20"/>
        <v>55</v>
      </c>
      <c r="M87" s="3531">
        <f t="shared" si="20"/>
        <v>50</v>
      </c>
      <c r="N87" s="3517"/>
      <c r="O87" s="3517"/>
      <c r="P87" s="3626"/>
      <c r="Q87" s="3479"/>
      <c r="R87" s="3333"/>
      <c r="S87" s="3333"/>
      <c r="T87" s="3333"/>
      <c r="U87" s="3333"/>
      <c r="V87" s="3333"/>
      <c r="W87" s="3333"/>
      <c r="X87" s="3333"/>
      <c r="Y87" s="3333"/>
      <c r="Z87" s="3333"/>
      <c r="AA87" s="3333"/>
      <c r="AB87" s="3333"/>
      <c r="AC87" s="3333"/>
    </row>
    <row r="88" spans="1:29" s="3339" customFormat="1" ht="15.75" thickTop="1">
      <c r="A88" s="3360"/>
      <c r="B88" s="3518" t="str">
        <f>B26</f>
        <v>平面位置/可视性</v>
      </c>
      <c r="C88" s="3582" t="s">
        <v>3792</v>
      </c>
      <c r="D88" s="3582" t="s">
        <v>3782</v>
      </c>
      <c r="E88" s="3582" t="s">
        <v>3781</v>
      </c>
      <c r="F88" s="3582" t="s">
        <v>3793</v>
      </c>
      <c r="G88" s="3631" t="s">
        <v>3794</v>
      </c>
      <c r="H88" s="3534"/>
      <c r="I88" s="3534"/>
      <c r="J88" s="3534"/>
      <c r="K88" s="3534"/>
      <c r="L88" s="3534"/>
      <c r="M88" s="3567"/>
      <c r="N88" s="3502"/>
      <c r="O88" s="3502"/>
      <c r="P88" s="3626"/>
      <c r="Q88" s="3479"/>
      <c r="R88" s="3333"/>
      <c r="S88" s="3333"/>
      <c r="T88" s="3333"/>
      <c r="U88" s="3333"/>
      <c r="V88" s="3333"/>
      <c r="W88" s="3333"/>
      <c r="X88" s="3333"/>
      <c r="Y88" s="3333"/>
      <c r="Z88" s="3333"/>
      <c r="AA88" s="3333"/>
      <c r="AB88" s="3333"/>
      <c r="AC88" s="3333"/>
    </row>
    <row r="89" spans="1:29" s="3339" customFormat="1" ht="15.75" thickBot="1">
      <c r="A89" s="3360"/>
      <c r="B89" s="3523"/>
      <c r="C89" s="3541">
        <v>100</v>
      </c>
      <c r="D89" s="3541">
        <v>98</v>
      </c>
      <c r="E89" s="3515">
        <v>96</v>
      </c>
      <c r="F89" s="3515">
        <v>949</v>
      </c>
      <c r="G89" s="3515">
        <v>92</v>
      </c>
      <c r="H89" s="3515"/>
      <c r="I89" s="3515"/>
      <c r="J89" s="3515"/>
      <c r="K89" s="3515"/>
      <c r="L89" s="3515"/>
      <c r="M89" s="3515"/>
      <c r="N89" s="3517"/>
      <c r="O89" s="3517"/>
      <c r="P89" s="3626"/>
      <c r="Q89" s="3479"/>
      <c r="R89" s="3333"/>
      <c r="S89" s="3333"/>
      <c r="T89" s="3333"/>
      <c r="U89" s="3333"/>
      <c r="V89" s="3333"/>
      <c r="W89" s="3333"/>
      <c r="X89" s="3333"/>
      <c r="Y89" s="3333"/>
      <c r="Z89" s="3333"/>
      <c r="AA89" s="3333"/>
      <c r="AB89" s="3333"/>
      <c r="AC89" s="3333"/>
    </row>
    <row r="90" spans="1:29" s="3422" customFormat="1" ht="15.75" thickTop="1">
      <c r="A90" s="3533"/>
      <c r="B90" s="3518" t="str">
        <f>B27</f>
        <v>人流量</v>
      </c>
      <c r="C90" s="3582" t="s">
        <v>3792</v>
      </c>
      <c r="D90" s="3582" t="s">
        <v>3782</v>
      </c>
      <c r="E90" s="3582" t="s">
        <v>3781</v>
      </c>
      <c r="F90" s="3582" t="s">
        <v>3793</v>
      </c>
      <c r="G90" s="3631" t="s">
        <v>3794</v>
      </c>
      <c r="H90" s="3535"/>
      <c r="I90" s="3535"/>
      <c r="J90" s="3535"/>
      <c r="K90" s="3535"/>
      <c r="L90" s="3536"/>
      <c r="M90" s="3537"/>
      <c r="N90" s="3538"/>
      <c r="O90" s="3538"/>
      <c r="P90" s="3627"/>
      <c r="Q90" s="3540"/>
      <c r="R90" s="3416"/>
      <c r="S90" s="3416"/>
      <c r="T90" s="3416"/>
      <c r="U90" s="3416"/>
      <c r="V90" s="3416"/>
      <c r="W90" s="3416"/>
      <c r="X90" s="3416"/>
      <c r="Y90" s="3416"/>
      <c r="Z90" s="3416"/>
      <c r="AA90" s="3416"/>
      <c r="AB90" s="3416"/>
      <c r="AC90" s="3416"/>
    </row>
    <row r="91" spans="1:29" s="3422" customFormat="1" ht="15.75" thickBot="1">
      <c r="A91" s="3533"/>
      <c r="B91" s="3523"/>
      <c r="C91" s="3568">
        <v>100</v>
      </c>
      <c r="D91" s="3531">
        <f>C91-$K27</f>
        <v>97</v>
      </c>
      <c r="E91" s="3531">
        <f t="shared" ref="E91:M91" si="21">D91-$K27</f>
        <v>94</v>
      </c>
      <c r="F91" s="3531">
        <f t="shared" si="21"/>
        <v>91</v>
      </c>
      <c r="G91" s="3531">
        <f t="shared" si="21"/>
        <v>88</v>
      </c>
      <c r="H91" s="3531">
        <f t="shared" si="21"/>
        <v>85</v>
      </c>
      <c r="I91" s="3531">
        <f t="shared" si="21"/>
        <v>82</v>
      </c>
      <c r="J91" s="3531">
        <f t="shared" si="21"/>
        <v>79</v>
      </c>
      <c r="K91" s="3531">
        <f t="shared" si="21"/>
        <v>76</v>
      </c>
      <c r="L91" s="3531">
        <f t="shared" si="21"/>
        <v>73</v>
      </c>
      <c r="M91" s="3531">
        <f t="shared" si="21"/>
        <v>70</v>
      </c>
      <c r="N91" s="3538"/>
      <c r="O91" s="3538"/>
      <c r="P91" s="3627"/>
      <c r="Q91" s="3540"/>
      <c r="R91" s="3416"/>
      <c r="S91" s="3416"/>
      <c r="T91" s="3416"/>
      <c r="U91" s="3416"/>
      <c r="V91" s="3416"/>
      <c r="W91" s="3416"/>
      <c r="X91" s="3416"/>
      <c r="Y91" s="3416"/>
      <c r="Z91" s="3416"/>
      <c r="AA91" s="3416"/>
      <c r="AB91" s="3416"/>
      <c r="AC91" s="3416"/>
    </row>
    <row r="92" spans="1:29" ht="15.75" thickTop="1">
      <c r="A92" s="3355"/>
      <c r="B92" s="3518" t="str">
        <f>B28</f>
        <v>楼层</v>
      </c>
      <c r="C92" s="3534" t="s">
        <v>3795</v>
      </c>
      <c r="D92" s="3534"/>
      <c r="E92" s="3534"/>
      <c r="F92" s="3534"/>
      <c r="G92" s="3534"/>
      <c r="H92" s="3534"/>
      <c r="I92" s="3534"/>
      <c r="J92" s="3534"/>
      <c r="K92" s="3534"/>
      <c r="L92" s="3566"/>
      <c r="M92" s="3567"/>
      <c r="N92" s="3512"/>
      <c r="O92" s="3512"/>
      <c r="P92" s="3626"/>
      <c r="Q92" s="3479"/>
      <c r="R92" s="3316"/>
      <c r="S92" s="3316"/>
      <c r="T92" s="3316"/>
      <c r="U92" s="3316"/>
      <c r="V92" s="3316"/>
      <c r="W92" s="3316"/>
      <c r="X92" s="3316"/>
      <c r="Y92" s="3316"/>
      <c r="Z92" s="3316"/>
      <c r="AA92" s="3316"/>
      <c r="AB92" s="3316"/>
      <c r="AC92" s="3316"/>
    </row>
    <row r="93" spans="1:29" ht="15.75" thickBot="1">
      <c r="A93" s="3355"/>
      <c r="B93" s="3523"/>
      <c r="C93" s="3515">
        <v>100</v>
      </c>
      <c r="D93" s="3515"/>
      <c r="E93" s="3515"/>
      <c r="F93" s="3515"/>
      <c r="G93" s="3515"/>
      <c r="H93" s="3515"/>
      <c r="I93" s="3515"/>
      <c r="J93" s="3515"/>
      <c r="K93" s="3515"/>
      <c r="L93" s="3515"/>
      <c r="M93" s="3516"/>
      <c r="N93" s="3517"/>
      <c r="O93" s="3517"/>
      <c r="P93" s="3626"/>
      <c r="Q93" s="3479"/>
      <c r="R93" s="3316"/>
      <c r="S93" s="3316"/>
      <c r="T93" s="3316"/>
      <c r="U93" s="3316"/>
      <c r="V93" s="3316"/>
      <c r="W93" s="3316"/>
      <c r="X93" s="3316"/>
      <c r="Y93" s="3316"/>
      <c r="Z93" s="3316"/>
      <c r="AA93" s="3316"/>
      <c r="AB93" s="3316"/>
      <c r="AC93" s="3316"/>
    </row>
    <row r="94" spans="1:29" ht="15.75" thickTop="1">
      <c r="A94" s="3355"/>
      <c r="B94" s="3518">
        <f>B29</f>
        <v>111</v>
      </c>
      <c r="C94" s="3534"/>
      <c r="D94" s="3534"/>
      <c r="E94" s="3534"/>
      <c r="F94" s="3534"/>
      <c r="G94" s="3519"/>
      <c r="H94" s="3519"/>
      <c r="I94" s="3519"/>
      <c r="J94" s="3519"/>
      <c r="K94" s="3520"/>
      <c r="L94" s="3521"/>
      <c r="M94" s="3522"/>
      <c r="N94" s="3512"/>
      <c r="O94" s="3512"/>
      <c r="P94" s="3626"/>
      <c r="Q94" s="3479"/>
      <c r="R94" s="3316"/>
      <c r="S94" s="3316"/>
      <c r="T94" s="3316"/>
      <c r="U94" s="3316"/>
      <c r="V94" s="3316"/>
      <c r="W94" s="3316"/>
      <c r="X94" s="3316"/>
      <c r="Y94" s="3316"/>
      <c r="Z94" s="3316"/>
      <c r="AA94" s="3316"/>
      <c r="AB94" s="3316"/>
      <c r="AC94" s="3316"/>
    </row>
    <row r="95" spans="1:29" ht="15.75" thickBot="1">
      <c r="A95" s="3355"/>
      <c r="B95" s="3523"/>
      <c r="C95" s="3541"/>
      <c r="D95" s="3515"/>
      <c r="E95" s="3515"/>
      <c r="F95" s="3515"/>
      <c r="G95" s="3515"/>
      <c r="H95" s="3515"/>
      <c r="I95" s="3515"/>
      <c r="J95" s="3515"/>
      <c r="K95" s="3515"/>
      <c r="L95" s="3515"/>
      <c r="M95" s="3516"/>
      <c r="N95" s="3517"/>
      <c r="O95" s="3517"/>
      <c r="P95" s="3626"/>
      <c r="Q95" s="3479"/>
      <c r="R95" s="3316"/>
      <c r="S95" s="3316"/>
      <c r="T95" s="3316"/>
      <c r="U95" s="3316"/>
      <c r="V95" s="3316"/>
      <c r="W95" s="3316"/>
      <c r="X95" s="3316"/>
      <c r="Y95" s="3316"/>
      <c r="Z95" s="3316"/>
      <c r="AA95" s="3316"/>
      <c r="AB95" s="3316"/>
      <c r="AC95" s="3316"/>
    </row>
    <row r="96" spans="1:29" ht="15.75" thickTop="1">
      <c r="A96" s="3355"/>
      <c r="B96" s="3518">
        <f>B30</f>
        <v>111</v>
      </c>
      <c r="C96" s="3534"/>
      <c r="D96" s="3534"/>
      <c r="E96" s="3534"/>
      <c r="F96" s="3534"/>
      <c r="G96" s="3519"/>
      <c r="H96" s="3519"/>
      <c r="I96" s="3519"/>
      <c r="J96" s="3519"/>
      <c r="K96" s="3520"/>
      <c r="L96" s="3521"/>
      <c r="M96" s="3522"/>
      <c r="N96" s="3512"/>
      <c r="O96" s="3512"/>
      <c r="P96" s="3626"/>
      <c r="Q96" s="3479"/>
      <c r="R96" s="3316"/>
      <c r="S96" s="3316"/>
      <c r="T96" s="3316"/>
      <c r="U96" s="3316"/>
      <c r="V96" s="3316"/>
      <c r="W96" s="3316"/>
      <c r="X96" s="3316"/>
      <c r="Y96" s="3316"/>
      <c r="Z96" s="3316"/>
      <c r="AA96" s="3316"/>
      <c r="AB96" s="3316"/>
      <c r="AC96" s="3316"/>
    </row>
    <row r="97" spans="1:29" ht="15.75" thickBot="1">
      <c r="A97" s="3355"/>
      <c r="B97" s="3523"/>
      <c r="C97" s="3541"/>
      <c r="D97" s="3515"/>
      <c r="E97" s="3515"/>
      <c r="F97" s="3515"/>
      <c r="G97" s="3515"/>
      <c r="H97" s="3515"/>
      <c r="I97" s="3515"/>
      <c r="J97" s="3515"/>
      <c r="K97" s="3515"/>
      <c r="L97" s="3515"/>
      <c r="M97" s="3516"/>
      <c r="N97" s="3517"/>
      <c r="O97" s="3517"/>
      <c r="P97" s="3626"/>
      <c r="Q97" s="3479"/>
      <c r="R97" s="3316"/>
      <c r="S97" s="3316"/>
      <c r="T97" s="3316"/>
      <c r="U97" s="3316"/>
      <c r="V97" s="3316"/>
      <c r="W97" s="3316"/>
      <c r="X97" s="3316"/>
      <c r="Y97" s="3316"/>
      <c r="Z97" s="3316"/>
      <c r="AA97" s="3316"/>
      <c r="AB97" s="3316"/>
      <c r="AC97" s="3316"/>
    </row>
    <row r="98" spans="1:29" ht="15.75" thickTop="1">
      <c r="A98" s="3355"/>
      <c r="B98" s="3524">
        <f>B31</f>
        <v>111</v>
      </c>
      <c r="C98" s="3534"/>
      <c r="D98" s="3534"/>
      <c r="E98" s="3534"/>
      <c r="F98" s="3534"/>
      <c r="G98" s="3570"/>
      <c r="H98" s="3570"/>
      <c r="I98" s="3570"/>
      <c r="J98" s="3570"/>
      <c r="K98" s="3571"/>
      <c r="L98" s="3572"/>
      <c r="M98" s="3573"/>
      <c r="N98" s="3512"/>
      <c r="O98" s="3512"/>
      <c r="P98" s="3626"/>
      <c r="Q98" s="3479"/>
      <c r="R98" s="3316"/>
      <c r="S98" s="3316"/>
      <c r="T98" s="3316"/>
      <c r="U98" s="3316"/>
      <c r="V98" s="3316"/>
      <c r="W98" s="3316"/>
      <c r="X98" s="3316"/>
      <c r="Y98" s="3316"/>
      <c r="Z98" s="3316"/>
      <c r="AA98" s="3316"/>
      <c r="AB98" s="3316"/>
      <c r="AC98" s="3316"/>
    </row>
    <row r="99" spans="1:29" ht="15.75" thickBot="1">
      <c r="A99" s="3369"/>
      <c r="B99" s="3551"/>
      <c r="C99" s="3552"/>
      <c r="D99" s="3552"/>
      <c r="E99" s="3552"/>
      <c r="F99" s="3552"/>
      <c r="G99" s="3574"/>
      <c r="H99" s="3574"/>
      <c r="I99" s="3574"/>
      <c r="J99" s="3574"/>
      <c r="K99" s="3574"/>
      <c r="L99" s="3574"/>
      <c r="M99" s="3575"/>
      <c r="N99" s="3517"/>
      <c r="O99" s="3517"/>
      <c r="P99" s="3626"/>
      <c r="Q99" s="3479"/>
      <c r="R99" s="3316"/>
      <c r="S99" s="3316"/>
      <c r="T99" s="3316"/>
      <c r="U99" s="3316"/>
      <c r="V99" s="3316"/>
      <c r="W99" s="3316"/>
      <c r="X99" s="3316"/>
      <c r="Y99" s="3316"/>
      <c r="Z99" s="3316"/>
      <c r="AA99" s="3316"/>
      <c r="AB99" s="3316"/>
      <c r="AC99" s="3316"/>
    </row>
    <row r="100" spans="1:29">
      <c r="A100" s="3374" t="s">
        <v>1694</v>
      </c>
      <c r="B100" s="3506" t="s">
        <v>1805</v>
      </c>
      <c r="C100" s="3632" t="s">
        <v>3796</v>
      </c>
      <c r="D100" s="3632" t="s">
        <v>3797</v>
      </c>
      <c r="E100" s="3632" t="s">
        <v>3798</v>
      </c>
      <c r="F100" s="3632" t="s">
        <v>3799</v>
      </c>
      <c r="G100" s="3508"/>
      <c r="H100" s="3508"/>
      <c r="I100" s="3508"/>
      <c r="J100" s="3508"/>
      <c r="K100" s="3509"/>
      <c r="L100" s="3510"/>
      <c r="M100" s="3511"/>
      <c r="N100" s="3512"/>
      <c r="O100" s="3512"/>
      <c r="P100" s="3626"/>
      <c r="Q100" s="3479"/>
      <c r="R100" s="3316"/>
      <c r="S100" s="3316"/>
      <c r="T100" s="3316"/>
      <c r="U100" s="3316"/>
      <c r="V100" s="3316"/>
      <c r="W100" s="3316"/>
      <c r="X100" s="3316"/>
      <c r="Y100" s="3316"/>
      <c r="Z100" s="3316"/>
      <c r="AA100" s="3316"/>
      <c r="AB100" s="3316"/>
      <c r="AC100" s="3316"/>
    </row>
    <row r="101" spans="1:29" ht="15.75" thickBot="1">
      <c r="A101" s="3355"/>
      <c r="B101" s="3523"/>
      <c r="C101" s="3531">
        <v>100</v>
      </c>
      <c r="D101" s="3531">
        <f t="shared" ref="D101:M101" si="22">C101-$K32</f>
        <v>99</v>
      </c>
      <c r="E101" s="3531">
        <f t="shared" si="22"/>
        <v>98</v>
      </c>
      <c r="F101" s="3531">
        <f t="shared" si="22"/>
        <v>97</v>
      </c>
      <c r="G101" s="3531">
        <f t="shared" si="22"/>
        <v>96</v>
      </c>
      <c r="H101" s="3531">
        <f t="shared" si="22"/>
        <v>95</v>
      </c>
      <c r="I101" s="3531">
        <f t="shared" si="22"/>
        <v>94</v>
      </c>
      <c r="J101" s="3531">
        <f t="shared" si="22"/>
        <v>93</v>
      </c>
      <c r="K101" s="3531">
        <f t="shared" si="22"/>
        <v>92</v>
      </c>
      <c r="L101" s="3531">
        <f t="shared" si="22"/>
        <v>91</v>
      </c>
      <c r="M101" s="3532">
        <f t="shared" si="22"/>
        <v>90</v>
      </c>
      <c r="N101" s="3517"/>
      <c r="O101" s="3517"/>
      <c r="P101" s="3626"/>
      <c r="Q101" s="3479"/>
      <c r="R101" s="3316"/>
      <c r="S101" s="3316"/>
      <c r="T101" s="3316"/>
      <c r="U101" s="3316"/>
      <c r="V101" s="3316"/>
      <c r="W101" s="3316"/>
      <c r="X101" s="3316"/>
      <c r="Y101" s="3316"/>
      <c r="Z101" s="3316"/>
      <c r="AA101" s="3316"/>
      <c r="AB101" s="3316"/>
      <c r="AC101" s="3316"/>
    </row>
    <row r="102" spans="1:29" ht="29.25" thickTop="1">
      <c r="A102" s="3355"/>
      <c r="B102" s="3518" t="s">
        <v>1737</v>
      </c>
      <c r="C102" s="3560" t="str">
        <f>C103&amp;"(含)"&amp;"-"&amp;D103</f>
        <v>0(含)-500</v>
      </c>
      <c r="D102" s="3560" t="str">
        <f t="shared" ref="D102:L102" si="23">D103&amp;"(含)"&amp;"-"&amp;E103</f>
        <v>500(含)-1000</v>
      </c>
      <c r="E102" s="3560" t="str">
        <f t="shared" si="23"/>
        <v>1000(含)-1500</v>
      </c>
      <c r="F102" s="3560" t="str">
        <f t="shared" si="23"/>
        <v>1500(含)-2000</v>
      </c>
      <c r="G102" s="3560" t="str">
        <f t="shared" si="23"/>
        <v>2000(含)-</v>
      </c>
      <c r="H102" s="3560" t="str">
        <f t="shared" si="23"/>
        <v>(含)-</v>
      </c>
      <c r="I102" s="3560" t="str">
        <f t="shared" si="23"/>
        <v>(含)-</v>
      </c>
      <c r="J102" s="3560" t="str">
        <f t="shared" si="23"/>
        <v>(含)-</v>
      </c>
      <c r="K102" s="3560" t="str">
        <f t="shared" si="23"/>
        <v>(含)-</v>
      </c>
      <c r="L102" s="3560" t="str">
        <f t="shared" si="23"/>
        <v>(含)-</v>
      </c>
      <c r="M102" s="3576" t="str">
        <f>M103&amp;"(含)"&amp;"-"&amp;P103</f>
        <v>(含)-</v>
      </c>
      <c r="N102" s="3502"/>
      <c r="O102" s="3502"/>
      <c r="P102" s="3626"/>
      <c r="Q102" s="3479"/>
      <c r="R102" s="3316"/>
      <c r="S102" s="3316"/>
      <c r="T102" s="3316"/>
      <c r="U102" s="3316"/>
      <c r="V102" s="3316"/>
      <c r="W102" s="3316"/>
      <c r="X102" s="3316"/>
      <c r="Y102" s="3316"/>
      <c r="Z102" s="3316"/>
      <c r="AA102" s="3316"/>
      <c r="AB102" s="3316"/>
      <c r="AC102" s="3316"/>
    </row>
    <row r="103" spans="1:29" s="3422" customFormat="1">
      <c r="A103" s="3414"/>
      <c r="B103" s="3577"/>
      <c r="C103" s="3578">
        <v>0</v>
      </c>
      <c r="D103" s="3578">
        <v>500</v>
      </c>
      <c r="E103" s="3578">
        <v>1000</v>
      </c>
      <c r="F103" s="3578">
        <v>1500</v>
      </c>
      <c r="G103" s="3578">
        <v>2000</v>
      </c>
      <c r="H103" s="3578"/>
      <c r="I103" s="3578"/>
      <c r="J103" s="3579"/>
      <c r="K103" s="3579"/>
      <c r="L103" s="3580"/>
      <c r="M103" s="3581"/>
      <c r="N103" s="3538"/>
      <c r="O103" s="3538"/>
      <c r="P103" s="3627"/>
      <c r="Q103" s="3540"/>
      <c r="R103" s="3416"/>
      <c r="S103" s="3416"/>
      <c r="T103" s="3416"/>
      <c r="U103" s="3416"/>
      <c r="V103" s="3416"/>
      <c r="W103" s="3416"/>
      <c r="X103" s="3416"/>
      <c r="Y103" s="3416"/>
      <c r="Z103" s="3416"/>
      <c r="AA103" s="3416"/>
      <c r="AB103" s="3416"/>
      <c r="AC103" s="3416"/>
    </row>
    <row r="104" spans="1:29" s="3422" customFormat="1" ht="15.75" thickBot="1">
      <c r="A104" s="3533"/>
      <c r="B104" s="3523"/>
      <c r="C104" s="3541">
        <v>100</v>
      </c>
      <c r="D104" s="3515">
        <v>100</v>
      </c>
      <c r="E104" s="3515">
        <v>100</v>
      </c>
      <c r="F104" s="3515">
        <v>100</v>
      </c>
      <c r="G104" s="3515">
        <v>100</v>
      </c>
      <c r="H104" s="3515"/>
      <c r="I104" s="3515"/>
      <c r="J104" s="3515"/>
      <c r="K104" s="3515"/>
      <c r="L104" s="3515"/>
      <c r="M104" s="3516"/>
      <c r="N104" s="3517"/>
      <c r="O104" s="3517"/>
      <c r="P104" s="3627"/>
      <c r="Q104" s="3540"/>
      <c r="R104" s="3416"/>
      <c r="S104" s="3416"/>
      <c r="T104" s="3416"/>
      <c r="U104" s="3416"/>
      <c r="V104" s="3416"/>
      <c r="W104" s="3416"/>
      <c r="X104" s="3416"/>
      <c r="Y104" s="3416"/>
      <c r="Z104" s="3416"/>
      <c r="AA104" s="3416"/>
      <c r="AB104" s="3416"/>
      <c r="AC104" s="3416"/>
    </row>
    <row r="105" spans="1:29" ht="15" thickTop="1">
      <c r="A105" s="3423"/>
      <c r="B105" s="3518" t="s">
        <v>1738</v>
      </c>
      <c r="C105" s="3582" t="s">
        <v>3755</v>
      </c>
      <c r="D105" s="3534"/>
      <c r="E105" s="3519"/>
      <c r="F105" s="3519"/>
      <c r="G105" s="3519"/>
      <c r="H105" s="3519"/>
      <c r="I105" s="3519"/>
      <c r="J105" s="3519"/>
      <c r="K105" s="3520"/>
      <c r="L105" s="3521"/>
      <c r="M105" s="3522"/>
      <c r="N105" s="3512"/>
      <c r="O105" s="3512"/>
      <c r="P105" s="3626"/>
      <c r="Q105" s="3479"/>
      <c r="R105" s="3316"/>
      <c r="S105" s="3316"/>
      <c r="T105" s="3316"/>
      <c r="U105" s="3316"/>
      <c r="V105" s="3316"/>
      <c r="W105" s="3316"/>
      <c r="X105" s="3316"/>
      <c r="Y105" s="3316"/>
      <c r="Z105" s="3316"/>
      <c r="AA105" s="3316"/>
      <c r="AB105" s="3316"/>
      <c r="AC105" s="3316"/>
    </row>
    <row r="106" spans="1:29" ht="15.75" thickBot="1">
      <c r="A106" s="3355"/>
      <c r="B106" s="3523"/>
      <c r="C106" s="3531">
        <v>100</v>
      </c>
      <c r="D106" s="3531">
        <f t="shared" ref="D106:M106" si="24">C106-$K34</f>
        <v>98</v>
      </c>
      <c r="E106" s="3531">
        <f t="shared" si="24"/>
        <v>96</v>
      </c>
      <c r="F106" s="3531">
        <f t="shared" si="24"/>
        <v>94</v>
      </c>
      <c r="G106" s="3531">
        <f t="shared" si="24"/>
        <v>92</v>
      </c>
      <c r="H106" s="3531">
        <f t="shared" si="24"/>
        <v>90</v>
      </c>
      <c r="I106" s="3531">
        <f t="shared" si="24"/>
        <v>88</v>
      </c>
      <c r="J106" s="3531">
        <f t="shared" si="24"/>
        <v>86</v>
      </c>
      <c r="K106" s="3531">
        <f t="shared" si="24"/>
        <v>84</v>
      </c>
      <c r="L106" s="3531">
        <f t="shared" si="24"/>
        <v>82</v>
      </c>
      <c r="M106" s="3532">
        <f t="shared" si="24"/>
        <v>80</v>
      </c>
      <c r="N106" s="3517"/>
      <c r="O106" s="3517"/>
      <c r="P106" s="3626"/>
      <c r="Q106" s="3479"/>
      <c r="R106" s="3316"/>
      <c r="S106" s="3316"/>
      <c r="T106" s="3316"/>
      <c r="U106" s="3316"/>
      <c r="V106" s="3316"/>
      <c r="W106" s="3316"/>
      <c r="X106" s="3316"/>
      <c r="Y106" s="3316"/>
      <c r="Z106" s="3316"/>
      <c r="AA106" s="3316"/>
      <c r="AB106" s="3316"/>
      <c r="AC106" s="3316"/>
    </row>
    <row r="107" spans="1:29" ht="15" thickTop="1">
      <c r="A107" s="3423"/>
      <c r="B107" s="3518" t="s">
        <v>1740</v>
      </c>
      <c r="C107" s="3582" t="s">
        <v>3756</v>
      </c>
      <c r="D107" s="3534"/>
      <c r="E107" s="3534"/>
      <c r="F107" s="3519"/>
      <c r="G107" s="3519"/>
      <c r="H107" s="3519"/>
      <c r="I107" s="3519"/>
      <c r="J107" s="3519"/>
      <c r="K107" s="3520"/>
      <c r="L107" s="3521"/>
      <c r="M107" s="3522"/>
      <c r="N107" s="3512"/>
      <c r="O107" s="3512"/>
      <c r="P107" s="3626"/>
      <c r="Q107" s="3479"/>
      <c r="R107" s="3316"/>
      <c r="S107" s="3316"/>
      <c r="T107" s="3316"/>
      <c r="U107" s="3316"/>
      <c r="V107" s="3316"/>
      <c r="W107" s="3316"/>
      <c r="X107" s="3316"/>
      <c r="Y107" s="3316"/>
      <c r="Z107" s="3316"/>
      <c r="AA107" s="3316"/>
      <c r="AB107" s="3316"/>
      <c r="AC107" s="3316"/>
    </row>
    <row r="108" spans="1:29" ht="15.75" thickBot="1">
      <c r="A108" s="3355"/>
      <c r="B108" s="3523"/>
      <c r="C108" s="3531">
        <v>100</v>
      </c>
      <c r="D108" s="3531">
        <f t="shared" ref="D108:M108" si="25">C108-$K35</f>
        <v>98</v>
      </c>
      <c r="E108" s="3531">
        <f t="shared" si="25"/>
        <v>96</v>
      </c>
      <c r="F108" s="3531">
        <f t="shared" si="25"/>
        <v>94</v>
      </c>
      <c r="G108" s="3531">
        <f t="shared" si="25"/>
        <v>92</v>
      </c>
      <c r="H108" s="3531">
        <f t="shared" si="25"/>
        <v>90</v>
      </c>
      <c r="I108" s="3531">
        <f t="shared" si="25"/>
        <v>88</v>
      </c>
      <c r="J108" s="3531">
        <f t="shared" si="25"/>
        <v>86</v>
      </c>
      <c r="K108" s="3531">
        <f t="shared" si="25"/>
        <v>84</v>
      </c>
      <c r="L108" s="3531">
        <f t="shared" si="25"/>
        <v>82</v>
      </c>
      <c r="M108" s="3532">
        <f t="shared" si="25"/>
        <v>80</v>
      </c>
      <c r="N108" s="3517"/>
      <c r="O108" s="3517"/>
      <c r="P108" s="3626"/>
      <c r="Q108" s="3479"/>
      <c r="R108" s="3316"/>
      <c r="S108" s="3316"/>
      <c r="T108" s="3316"/>
      <c r="U108" s="3316"/>
      <c r="V108" s="3316"/>
      <c r="W108" s="3316"/>
      <c r="X108" s="3316"/>
      <c r="Y108" s="3316"/>
      <c r="Z108" s="3316"/>
      <c r="AA108" s="3316"/>
      <c r="AB108" s="3316"/>
      <c r="AC108" s="3316"/>
    </row>
    <row r="109" spans="1:29" ht="15" thickTop="1">
      <c r="A109" s="3423"/>
      <c r="B109" s="3518" t="s">
        <v>1190</v>
      </c>
      <c r="C109" s="3560" t="str">
        <f>C110&amp;"(含)"&amp;"-"&amp;D110</f>
        <v>0.5(含)-0.6</v>
      </c>
      <c r="D109" s="3560" t="str">
        <f>D110&amp;"(含)"&amp;"-"&amp;E110</f>
        <v>0.6(含)-0.7</v>
      </c>
      <c r="E109" s="3560" t="str">
        <f>E110&amp;"(含)"&amp;"-"&amp;F110</f>
        <v>0.7(含)-0.8</v>
      </c>
      <c r="F109" s="3560" t="str">
        <f>F110&amp;"(含)"&amp;"-"&amp;G110</f>
        <v>0.8(含)-0.9</v>
      </c>
      <c r="G109" s="3560" t="str">
        <f>G110&amp;"(含)"&amp;"-"&amp;ROUND(H110,0)&amp;"(含)"</f>
        <v>0.9(含)-1(含)</v>
      </c>
      <c r="H109" s="3560"/>
      <c r="I109" s="3519"/>
      <c r="J109" s="3519"/>
      <c r="K109" s="3520"/>
      <c r="L109" s="3521"/>
      <c r="M109" s="3522"/>
      <c r="N109" s="3512"/>
      <c r="O109" s="3512"/>
      <c r="P109" s="3626"/>
      <c r="Q109" s="3479"/>
      <c r="R109" s="3316"/>
      <c r="S109" s="3316"/>
      <c r="T109" s="3316"/>
      <c r="U109" s="3316"/>
      <c r="V109" s="3316"/>
      <c r="W109" s="3316"/>
      <c r="X109" s="3316"/>
      <c r="Y109" s="3316"/>
      <c r="Z109" s="3316"/>
      <c r="AA109" s="3316"/>
      <c r="AB109" s="3316"/>
      <c r="AC109" s="3316"/>
    </row>
    <row r="110" spans="1:29">
      <c r="A110" s="3423"/>
      <c r="B110" s="3524"/>
      <c r="C110" s="3346">
        <v>0.5</v>
      </c>
      <c r="D110" s="3346">
        <v>0.6</v>
      </c>
      <c r="E110" s="3346">
        <v>0.7</v>
      </c>
      <c r="F110" s="3346">
        <v>0.8</v>
      </c>
      <c r="G110" s="3346">
        <v>0.9</v>
      </c>
      <c r="H110" s="3346">
        <v>1.0001</v>
      </c>
      <c r="I110" s="3583"/>
      <c r="J110" s="3583"/>
      <c r="K110" s="3584"/>
      <c r="L110" s="3585"/>
      <c r="M110" s="3586"/>
      <c r="N110" s="3512"/>
      <c r="O110" s="3512"/>
      <c r="P110" s="3626"/>
      <c r="Q110" s="3479"/>
      <c r="R110" s="3316"/>
      <c r="S110" s="3316"/>
      <c r="T110" s="3316"/>
      <c r="U110" s="3316"/>
      <c r="V110" s="3316"/>
      <c r="W110" s="3316"/>
      <c r="X110" s="3316"/>
      <c r="Y110" s="3316"/>
      <c r="Z110" s="3316"/>
      <c r="AA110" s="3316"/>
      <c r="AB110" s="3316"/>
      <c r="AC110" s="3316"/>
    </row>
    <row r="111" spans="1:29" ht="15.75" thickBot="1">
      <c r="A111" s="3355"/>
      <c r="B111" s="3523"/>
      <c r="C111" s="3568">
        <v>100</v>
      </c>
      <c r="D111" s="3531">
        <f>C111+$K36</f>
        <v>101</v>
      </c>
      <c r="E111" s="3531">
        <f t="shared" ref="E111:M111" si="26">D111+$K36</f>
        <v>102</v>
      </c>
      <c r="F111" s="3531">
        <f t="shared" si="26"/>
        <v>103</v>
      </c>
      <c r="G111" s="3531">
        <f t="shared" si="26"/>
        <v>104</v>
      </c>
      <c r="H111" s="3531">
        <f t="shared" si="26"/>
        <v>105</v>
      </c>
      <c r="I111" s="3531">
        <f t="shared" si="26"/>
        <v>106</v>
      </c>
      <c r="J111" s="3531">
        <f t="shared" si="26"/>
        <v>107</v>
      </c>
      <c r="K111" s="3531">
        <f t="shared" si="26"/>
        <v>108</v>
      </c>
      <c r="L111" s="3531">
        <f t="shared" si="26"/>
        <v>109</v>
      </c>
      <c r="M111" s="3531">
        <f t="shared" si="26"/>
        <v>110</v>
      </c>
      <c r="N111" s="3517"/>
      <c r="O111" s="3517"/>
      <c r="P111" s="3626"/>
      <c r="Q111" s="3479"/>
      <c r="R111" s="3316"/>
      <c r="S111" s="3316"/>
      <c r="T111" s="3316"/>
      <c r="U111" s="3316"/>
      <c r="V111" s="3316"/>
      <c r="W111" s="3316"/>
      <c r="X111" s="3316"/>
      <c r="Y111" s="3316"/>
      <c r="Z111" s="3316"/>
      <c r="AA111" s="3316"/>
      <c r="AB111" s="3316"/>
      <c r="AC111" s="3316"/>
    </row>
    <row r="112" spans="1:29" s="3422" customFormat="1" ht="15" thickTop="1">
      <c r="A112" s="3414"/>
      <c r="B112" s="3518" t="s">
        <v>1742</v>
      </c>
      <c r="C112" s="3582" t="s">
        <v>3759</v>
      </c>
      <c r="D112" s="3582" t="s">
        <v>3760</v>
      </c>
      <c r="E112" s="3582" t="s">
        <v>3761</v>
      </c>
      <c r="F112" s="3534"/>
      <c r="G112" s="3534"/>
      <c r="H112" s="3519"/>
      <c r="I112" s="3519"/>
      <c r="J112" s="3519"/>
      <c r="K112" s="3520"/>
      <c r="L112" s="3521"/>
      <c r="M112" s="3522"/>
      <c r="N112" s="3538"/>
      <c r="O112" s="3538"/>
      <c r="P112" s="3627"/>
      <c r="Q112" s="3540"/>
      <c r="R112" s="3416"/>
      <c r="S112" s="3416"/>
      <c r="T112" s="3416"/>
      <c r="U112" s="3416"/>
      <c r="V112" s="3416"/>
      <c r="W112" s="3416"/>
      <c r="X112" s="3416"/>
      <c r="Y112" s="3416"/>
      <c r="Z112" s="3416"/>
      <c r="AA112" s="3416"/>
      <c r="AB112" s="3416"/>
      <c r="AC112" s="3416"/>
    </row>
    <row r="113" spans="1:29" s="3422" customFormat="1" ht="15.75" thickBot="1">
      <c r="A113" s="3533"/>
      <c r="B113" s="3523"/>
      <c r="C113" s="3531">
        <v>100</v>
      </c>
      <c r="D113" s="3531">
        <f>C113-$K37</f>
        <v>99</v>
      </c>
      <c r="E113" s="3531">
        <f t="shared" ref="E113:M113" si="27">D113-$K37</f>
        <v>98</v>
      </c>
      <c r="F113" s="3531">
        <f t="shared" si="27"/>
        <v>97</v>
      </c>
      <c r="G113" s="3531">
        <f t="shared" si="27"/>
        <v>96</v>
      </c>
      <c r="H113" s="3531">
        <f t="shared" si="27"/>
        <v>95</v>
      </c>
      <c r="I113" s="3531">
        <f t="shared" si="27"/>
        <v>94</v>
      </c>
      <c r="J113" s="3531">
        <f t="shared" si="27"/>
        <v>93</v>
      </c>
      <c r="K113" s="3531">
        <f t="shared" si="27"/>
        <v>92</v>
      </c>
      <c r="L113" s="3531">
        <f t="shared" si="27"/>
        <v>91</v>
      </c>
      <c r="M113" s="3531">
        <f t="shared" si="27"/>
        <v>90</v>
      </c>
      <c r="N113" s="3538"/>
      <c r="O113" s="3538"/>
      <c r="P113" s="3627"/>
      <c r="Q113" s="3540"/>
      <c r="R113" s="3416"/>
      <c r="S113" s="3416"/>
      <c r="T113" s="3416"/>
      <c r="U113" s="3416"/>
      <c r="V113" s="3416"/>
      <c r="W113" s="3416"/>
      <c r="X113" s="3416"/>
      <c r="Y113" s="3416"/>
      <c r="Z113" s="3416"/>
      <c r="AA113" s="3416"/>
      <c r="AB113" s="3416"/>
      <c r="AC113" s="3416"/>
    </row>
    <row r="114" spans="1:29" ht="15" thickTop="1">
      <c r="A114" s="3423"/>
      <c r="B114" s="3518" t="s">
        <v>1806</v>
      </c>
      <c r="C114" s="3582" t="s">
        <v>3800</v>
      </c>
      <c r="D114" s="3534"/>
      <c r="E114" s="3519"/>
      <c r="F114" s="3519"/>
      <c r="G114" s="3519"/>
      <c r="H114" s="3519"/>
      <c r="I114" s="3519"/>
      <c r="J114" s="3519"/>
      <c r="K114" s="3520"/>
      <c r="L114" s="3521"/>
      <c r="M114" s="3522"/>
      <c r="N114" s="3512"/>
      <c r="O114" s="3512"/>
      <c r="P114" s="3626"/>
      <c r="Q114" s="3479"/>
      <c r="R114" s="3316"/>
      <c r="S114" s="3316"/>
      <c r="T114" s="3316"/>
      <c r="U114" s="3316"/>
      <c r="V114" s="3316"/>
      <c r="W114" s="3316"/>
      <c r="X114" s="3316"/>
      <c r="Y114" s="3316"/>
      <c r="Z114" s="3316"/>
      <c r="AA114" s="3316"/>
      <c r="AB114" s="3316"/>
      <c r="AC114" s="3316"/>
    </row>
    <row r="115" spans="1:29" ht="15.75" thickBot="1">
      <c r="A115" s="3355"/>
      <c r="B115" s="3523"/>
      <c r="C115" s="3531">
        <v>100</v>
      </c>
      <c r="D115" s="3531">
        <f t="shared" ref="D115:M115" si="28">C115-$K38</f>
        <v>100</v>
      </c>
      <c r="E115" s="3531">
        <f t="shared" si="28"/>
        <v>100</v>
      </c>
      <c r="F115" s="3531">
        <f t="shared" si="28"/>
        <v>100</v>
      </c>
      <c r="G115" s="3531">
        <f t="shared" si="28"/>
        <v>100</v>
      </c>
      <c r="H115" s="3531">
        <f t="shared" si="28"/>
        <v>100</v>
      </c>
      <c r="I115" s="3531">
        <f t="shared" si="28"/>
        <v>100</v>
      </c>
      <c r="J115" s="3531">
        <f t="shared" si="28"/>
        <v>100</v>
      </c>
      <c r="K115" s="3531">
        <f t="shared" si="28"/>
        <v>100</v>
      </c>
      <c r="L115" s="3531">
        <f t="shared" si="28"/>
        <v>100</v>
      </c>
      <c r="M115" s="3532">
        <f t="shared" si="28"/>
        <v>100</v>
      </c>
      <c r="N115" s="3517"/>
      <c r="O115" s="3517"/>
      <c r="P115" s="3626"/>
      <c r="Q115" s="3479"/>
      <c r="R115" s="3316"/>
      <c r="S115" s="3316"/>
      <c r="T115" s="3316"/>
      <c r="U115" s="3316"/>
      <c r="V115" s="3316"/>
      <c r="W115" s="3316"/>
      <c r="X115" s="3316"/>
      <c r="Y115" s="3316"/>
      <c r="Z115" s="3316"/>
      <c r="AA115" s="3316"/>
      <c r="AB115" s="3316"/>
      <c r="AC115" s="3316"/>
    </row>
    <row r="116" spans="1:29" ht="15" thickTop="1">
      <c r="A116" s="3423"/>
      <c r="B116" s="3518" t="s">
        <v>1807</v>
      </c>
      <c r="C116" s="3582" t="s">
        <v>3801</v>
      </c>
      <c r="D116" s="3534"/>
      <c r="E116" s="3534"/>
      <c r="F116" s="3534"/>
      <c r="G116" s="3534"/>
      <c r="H116" s="3519"/>
      <c r="I116" s="3519"/>
      <c r="J116" s="3519"/>
      <c r="K116" s="3520"/>
      <c r="L116" s="3521"/>
      <c r="M116" s="3522"/>
      <c r="N116" s="3512"/>
      <c r="O116" s="3512"/>
      <c r="P116" s="3626"/>
      <c r="Q116" s="3479"/>
      <c r="R116" s="3316"/>
      <c r="S116" s="3316"/>
      <c r="T116" s="3316"/>
      <c r="U116" s="3316"/>
      <c r="V116" s="3316"/>
      <c r="W116" s="3316"/>
      <c r="X116" s="3316"/>
      <c r="Y116" s="3316"/>
      <c r="Z116" s="3316"/>
      <c r="AA116" s="3316"/>
      <c r="AB116" s="3316"/>
      <c r="AC116" s="3316"/>
    </row>
    <row r="117" spans="1:29" ht="15.75" thickBot="1">
      <c r="A117" s="3355"/>
      <c r="B117" s="3523"/>
      <c r="C117" s="3531">
        <v>100</v>
      </c>
      <c r="D117" s="3531">
        <f>C117-$K39</f>
        <v>98</v>
      </c>
      <c r="E117" s="3531">
        <f>D117-$K39</f>
        <v>96</v>
      </c>
      <c r="F117" s="3531">
        <f>E117-$K39</f>
        <v>94</v>
      </c>
      <c r="G117" s="3531">
        <f>F117-$K39</f>
        <v>92</v>
      </c>
      <c r="H117" s="3531"/>
      <c r="I117" s="3531"/>
      <c r="J117" s="3531"/>
      <c r="K117" s="3531"/>
      <c r="L117" s="3531"/>
      <c r="M117" s="3532"/>
      <c r="N117" s="3517"/>
      <c r="O117" s="3517"/>
      <c r="P117" s="3626"/>
      <c r="Q117" s="3479"/>
      <c r="R117" s="3316"/>
      <c r="S117" s="3316"/>
      <c r="T117" s="3316"/>
      <c r="U117" s="3316"/>
      <c r="V117" s="3316"/>
      <c r="W117" s="3316"/>
      <c r="X117" s="3316"/>
      <c r="Y117" s="3316"/>
      <c r="Z117" s="3316"/>
      <c r="AA117" s="3316"/>
      <c r="AB117" s="3316"/>
      <c r="AC117" s="3316"/>
    </row>
    <row r="118" spans="1:29" ht="15" thickTop="1">
      <c r="A118" s="3423"/>
      <c r="B118" s="3518" t="s">
        <v>1808</v>
      </c>
      <c r="C118" s="3633"/>
      <c r="D118" s="3633"/>
      <c r="E118" s="3633"/>
      <c r="F118" s="3633"/>
      <c r="G118" s="3633"/>
      <c r="H118" s="3535"/>
      <c r="I118" s="3535"/>
      <c r="J118" s="3535"/>
      <c r="K118" s="3535"/>
      <c r="L118" s="3536"/>
      <c r="M118" s="3537"/>
      <c r="N118" s="3512"/>
      <c r="O118" s="3512"/>
      <c r="P118" s="3626"/>
      <c r="Q118" s="3479"/>
      <c r="R118" s="3316"/>
      <c r="S118" s="3316"/>
      <c r="T118" s="3316"/>
      <c r="U118" s="3316"/>
      <c r="V118" s="3316"/>
      <c r="W118" s="3316"/>
      <c r="X118" s="3316"/>
      <c r="Y118" s="3316"/>
      <c r="Z118" s="3316"/>
      <c r="AA118" s="3316"/>
      <c r="AB118" s="3316"/>
      <c r="AC118" s="3316"/>
    </row>
    <row r="119" spans="1:29" ht="15.75" thickBot="1">
      <c r="A119" s="3355"/>
      <c r="B119" s="3523"/>
      <c r="C119" s="3541"/>
      <c r="D119" s="3515"/>
      <c r="E119" s="3515"/>
      <c r="F119" s="3515"/>
      <c r="G119" s="3515"/>
      <c r="H119" s="3515"/>
      <c r="I119" s="3515"/>
      <c r="J119" s="3515"/>
      <c r="K119" s="3515"/>
      <c r="L119" s="3515"/>
      <c r="M119" s="3516"/>
      <c r="N119" s="3517"/>
      <c r="O119" s="3517"/>
      <c r="P119" s="3626"/>
      <c r="Q119" s="3479"/>
      <c r="R119" s="3316"/>
      <c r="S119" s="3316"/>
      <c r="T119" s="3316"/>
      <c r="U119" s="3316"/>
      <c r="V119" s="3316"/>
      <c r="W119" s="3316"/>
      <c r="X119" s="3316"/>
      <c r="Y119" s="3316"/>
      <c r="Z119" s="3316"/>
      <c r="AA119" s="3316"/>
      <c r="AB119" s="3316"/>
      <c r="AC119" s="3316"/>
    </row>
    <row r="120" spans="1:29" s="3422" customFormat="1" ht="15" thickTop="1">
      <c r="A120" s="3414"/>
      <c r="B120" s="3518" t="s">
        <v>1809</v>
      </c>
      <c r="C120" s="3634" t="s">
        <v>3802</v>
      </c>
      <c r="D120" s="3519"/>
      <c r="E120" s="3519"/>
      <c r="F120" s="3519"/>
      <c r="G120" s="3535"/>
      <c r="H120" s="3535"/>
      <c r="I120" s="3535"/>
      <c r="J120" s="3535"/>
      <c r="K120" s="3535"/>
      <c r="L120" s="3536"/>
      <c r="M120" s="3537"/>
      <c r="N120" s="3538"/>
      <c r="O120" s="3538"/>
      <c r="P120" s="3627"/>
      <c r="Q120" s="3540"/>
      <c r="R120" s="3416"/>
      <c r="S120" s="3416"/>
      <c r="T120" s="3416"/>
      <c r="U120" s="3416"/>
      <c r="V120" s="3416"/>
      <c r="W120" s="3416"/>
      <c r="X120" s="3416"/>
      <c r="Y120" s="3416"/>
      <c r="Z120" s="3416"/>
      <c r="AA120" s="3416"/>
      <c r="AB120" s="3416"/>
      <c r="AC120" s="3416"/>
    </row>
    <row r="121" spans="1:29" s="3422" customFormat="1" ht="15.75" thickBot="1">
      <c r="A121" s="3533"/>
      <c r="B121" s="3514"/>
      <c r="C121" s="3568">
        <v>100</v>
      </c>
      <c r="D121" s="3531">
        <f>C121-$K41</f>
        <v>98</v>
      </c>
      <c r="E121" s="3531">
        <f t="shared" ref="E121:M121" si="29">D121-$K41</f>
        <v>96</v>
      </c>
      <c r="F121" s="3531">
        <f t="shared" si="29"/>
        <v>94</v>
      </c>
      <c r="G121" s="3531">
        <f t="shared" si="29"/>
        <v>92</v>
      </c>
      <c r="H121" s="3531">
        <f t="shared" si="29"/>
        <v>90</v>
      </c>
      <c r="I121" s="3531">
        <f t="shared" si="29"/>
        <v>88</v>
      </c>
      <c r="J121" s="3531">
        <f t="shared" si="29"/>
        <v>86</v>
      </c>
      <c r="K121" s="3531">
        <f t="shared" si="29"/>
        <v>84</v>
      </c>
      <c r="L121" s="3531">
        <f t="shared" si="29"/>
        <v>82</v>
      </c>
      <c r="M121" s="3532">
        <f t="shared" si="29"/>
        <v>80</v>
      </c>
      <c r="N121" s="3538"/>
      <c r="O121" s="3538"/>
      <c r="P121" s="3627"/>
      <c r="Q121" s="3540"/>
      <c r="R121" s="3416"/>
      <c r="S121" s="3416"/>
      <c r="T121" s="3416"/>
      <c r="U121" s="3416"/>
      <c r="V121" s="3416"/>
      <c r="W121" s="3416"/>
      <c r="X121" s="3416"/>
      <c r="Y121" s="3416"/>
      <c r="Z121" s="3416"/>
      <c r="AA121" s="3416"/>
      <c r="AB121" s="3416"/>
      <c r="AC121" s="3416"/>
    </row>
    <row r="122" spans="1:29" ht="15" thickTop="1">
      <c r="A122" s="3423"/>
      <c r="B122" s="3518" t="s">
        <v>1744</v>
      </c>
      <c r="C122" s="3534"/>
      <c r="D122" s="3534"/>
      <c r="E122" s="3534"/>
      <c r="F122" s="3519"/>
      <c r="G122" s="3519"/>
      <c r="H122" s="3519"/>
      <c r="I122" s="3519"/>
      <c r="J122" s="3519"/>
      <c r="K122" s="3520"/>
      <c r="L122" s="3521"/>
      <c r="M122" s="3522"/>
      <c r="N122" s="3512"/>
      <c r="O122" s="3512"/>
      <c r="P122" s="3626"/>
      <c r="Q122" s="3479"/>
      <c r="R122" s="3316"/>
      <c r="S122" s="3316"/>
      <c r="T122" s="3316"/>
      <c r="U122" s="3316"/>
      <c r="V122" s="3316"/>
      <c r="W122" s="3316"/>
      <c r="X122" s="3316"/>
      <c r="Y122" s="3316"/>
      <c r="Z122" s="3316"/>
      <c r="AA122" s="3316"/>
      <c r="AB122" s="3316"/>
      <c r="AC122" s="3316"/>
    </row>
    <row r="123" spans="1:29" ht="15.75" thickBot="1">
      <c r="A123" s="3355"/>
      <c r="B123" s="3523"/>
      <c r="C123" s="3531">
        <v>100</v>
      </c>
      <c r="D123" s="3531">
        <f t="shared" ref="D123:M123" si="30">C123-$K42</f>
        <v>100</v>
      </c>
      <c r="E123" s="3531">
        <f t="shared" si="30"/>
        <v>100</v>
      </c>
      <c r="F123" s="3531">
        <f t="shared" si="30"/>
        <v>100</v>
      </c>
      <c r="G123" s="3531">
        <f t="shared" si="30"/>
        <v>100</v>
      </c>
      <c r="H123" s="3531">
        <f t="shared" si="30"/>
        <v>100</v>
      </c>
      <c r="I123" s="3531">
        <f t="shared" si="30"/>
        <v>100</v>
      </c>
      <c r="J123" s="3531">
        <f t="shared" si="30"/>
        <v>100</v>
      </c>
      <c r="K123" s="3531">
        <f t="shared" si="30"/>
        <v>100</v>
      </c>
      <c r="L123" s="3531">
        <f t="shared" si="30"/>
        <v>100</v>
      </c>
      <c r="M123" s="3532">
        <f t="shared" si="30"/>
        <v>100</v>
      </c>
      <c r="N123" s="3517"/>
      <c r="O123" s="3517"/>
      <c r="P123" s="3626"/>
      <c r="Q123" s="3479"/>
      <c r="R123" s="3316"/>
      <c r="S123" s="3316"/>
      <c r="T123" s="3316"/>
      <c r="U123" s="3316"/>
      <c r="V123" s="3316"/>
      <c r="W123" s="3316"/>
      <c r="X123" s="3316"/>
      <c r="Y123" s="3316"/>
      <c r="Z123" s="3316"/>
      <c r="AA123" s="3316"/>
      <c r="AB123" s="3316"/>
      <c r="AC123" s="3316"/>
    </row>
    <row r="124" spans="1:29" ht="15" thickTop="1">
      <c r="A124" s="3423"/>
      <c r="B124" s="3518" t="s">
        <v>1745</v>
      </c>
      <c r="C124" s="3560" t="s">
        <v>1721</v>
      </c>
      <c r="D124" s="3560" t="s">
        <v>1722</v>
      </c>
      <c r="E124" s="3560" t="s">
        <v>1723</v>
      </c>
      <c r="F124" s="3560" t="s">
        <v>1724</v>
      </c>
      <c r="G124" s="3560" t="s">
        <v>1725</v>
      </c>
      <c r="H124" s="3561"/>
      <c r="I124" s="3561"/>
      <c r="J124" s="3561"/>
      <c r="K124" s="3562"/>
      <c r="L124" s="3563"/>
      <c r="M124" s="3564"/>
      <c r="N124" s="3512"/>
      <c r="O124" s="3512"/>
      <c r="P124" s="3627"/>
      <c r="Q124" s="3479"/>
      <c r="R124" s="3316"/>
      <c r="S124" s="3316"/>
      <c r="T124" s="3316"/>
      <c r="U124" s="3316"/>
      <c r="V124" s="3316"/>
      <c r="W124" s="3316"/>
      <c r="X124" s="3316"/>
      <c r="Y124" s="3316"/>
      <c r="Z124" s="3316"/>
      <c r="AA124" s="3316"/>
      <c r="AB124" s="3316"/>
      <c r="AC124" s="3316"/>
    </row>
    <row r="125" spans="1:29" ht="15.75" thickBot="1">
      <c r="A125" s="3355"/>
      <c r="B125" s="3523"/>
      <c r="C125" s="3531">
        <v>100</v>
      </c>
      <c r="D125" s="3531">
        <f>C125-$K43</f>
        <v>100</v>
      </c>
      <c r="E125" s="3531">
        <f>D125-$K43</f>
        <v>100</v>
      </c>
      <c r="F125" s="3531">
        <f>E125-$K43</f>
        <v>100</v>
      </c>
      <c r="G125" s="3531">
        <f>F125-$K43</f>
        <v>100</v>
      </c>
      <c r="H125" s="3531"/>
      <c r="I125" s="3531"/>
      <c r="J125" s="3531"/>
      <c r="K125" s="3531"/>
      <c r="L125" s="3531"/>
      <c r="M125" s="3532"/>
      <c r="N125" s="3517"/>
      <c r="O125" s="3517"/>
      <c r="P125" s="3626"/>
      <c r="Q125" s="3479"/>
      <c r="R125" s="3316"/>
      <c r="S125" s="3316"/>
      <c r="T125" s="3316"/>
      <c r="U125" s="3316"/>
      <c r="V125" s="3316"/>
      <c r="W125" s="3316"/>
      <c r="X125" s="3316"/>
      <c r="Y125" s="3316"/>
      <c r="Z125" s="3316"/>
      <c r="AA125" s="3316"/>
      <c r="AB125" s="3316"/>
      <c r="AC125" s="3316"/>
    </row>
    <row r="126" spans="1:29" s="3422" customFormat="1" ht="15" thickTop="1">
      <c r="A126" s="3414"/>
      <c r="B126" s="3518">
        <f>B44</f>
        <v>111</v>
      </c>
      <c r="C126" s="3534"/>
      <c r="D126" s="3534"/>
      <c r="E126" s="3534"/>
      <c r="F126" s="3534"/>
      <c r="G126" s="3534"/>
      <c r="H126" s="3535"/>
      <c r="I126" s="3535"/>
      <c r="J126" s="3535"/>
      <c r="K126" s="3535"/>
      <c r="L126" s="3536"/>
      <c r="M126" s="3537"/>
      <c r="N126" s="3538"/>
      <c r="O126" s="3538"/>
      <c r="P126" s="3627"/>
      <c r="Q126" s="3540"/>
      <c r="R126" s="3416"/>
      <c r="S126" s="3416"/>
      <c r="T126" s="3416"/>
      <c r="U126" s="3416"/>
      <c r="V126" s="3416"/>
      <c r="W126" s="3416"/>
      <c r="X126" s="3416"/>
      <c r="Y126" s="3416"/>
      <c r="Z126" s="3416"/>
      <c r="AA126" s="3416"/>
      <c r="AB126" s="3416"/>
      <c r="AC126" s="3416"/>
    </row>
    <row r="127" spans="1:29" s="3422" customFormat="1" ht="15.75" thickBot="1">
      <c r="A127" s="3533"/>
      <c r="B127" s="3523"/>
      <c r="C127" s="3541"/>
      <c r="D127" s="3515"/>
      <c r="E127" s="3515"/>
      <c r="F127" s="3515"/>
      <c r="G127" s="3541"/>
      <c r="H127" s="3544"/>
      <c r="I127" s="3544"/>
      <c r="J127" s="3544"/>
      <c r="K127" s="3544"/>
      <c r="L127" s="3544"/>
      <c r="M127" s="3545"/>
      <c r="N127" s="3538"/>
      <c r="O127" s="3538"/>
      <c r="P127" s="3627"/>
      <c r="Q127" s="3540"/>
      <c r="R127" s="3416"/>
      <c r="S127" s="3416"/>
      <c r="T127" s="3416"/>
      <c r="U127" s="3416"/>
      <c r="V127" s="3416"/>
      <c r="W127" s="3416"/>
      <c r="X127" s="3416"/>
      <c r="Y127" s="3416"/>
      <c r="Z127" s="3416"/>
      <c r="AA127" s="3416"/>
      <c r="AB127" s="3416"/>
      <c r="AC127" s="3416"/>
    </row>
    <row r="128" spans="1:29" ht="15" thickTop="1">
      <c r="A128" s="3423"/>
      <c r="B128" s="3518">
        <f>B45</f>
        <v>111</v>
      </c>
      <c r="C128" s="3534"/>
      <c r="D128" s="3534"/>
      <c r="E128" s="3534"/>
      <c r="F128" s="3534"/>
      <c r="G128" s="3519"/>
      <c r="H128" s="3519"/>
      <c r="I128" s="3519"/>
      <c r="J128" s="3519"/>
      <c r="K128" s="3520"/>
      <c r="L128" s="3521"/>
      <c r="M128" s="3522"/>
      <c r="N128" s="3512"/>
      <c r="O128" s="3512"/>
      <c r="P128" s="3626"/>
      <c r="Q128" s="3479"/>
      <c r="R128" s="3316"/>
      <c r="S128" s="3316"/>
      <c r="T128" s="3316"/>
      <c r="U128" s="3316"/>
      <c r="V128" s="3316"/>
      <c r="W128" s="3316"/>
      <c r="X128" s="3316"/>
      <c r="Y128" s="3316"/>
      <c r="Z128" s="3316"/>
      <c r="AA128" s="3316"/>
      <c r="AB128" s="3316"/>
      <c r="AC128" s="3316"/>
    </row>
    <row r="129" spans="1:29" ht="15.75" thickBot="1">
      <c r="A129" s="3355"/>
      <c r="B129" s="3523"/>
      <c r="C129" s="3541"/>
      <c r="D129" s="3515"/>
      <c r="E129" s="3515"/>
      <c r="F129" s="3515"/>
      <c r="G129" s="3515"/>
      <c r="H129" s="3515"/>
      <c r="I129" s="3515"/>
      <c r="J129" s="3515"/>
      <c r="K129" s="3515"/>
      <c r="L129" s="3515"/>
      <c r="M129" s="3516"/>
      <c r="N129" s="3517"/>
      <c r="O129" s="3517"/>
      <c r="P129" s="3626"/>
      <c r="Q129" s="3479"/>
      <c r="R129" s="3316"/>
      <c r="S129" s="3316"/>
      <c r="T129" s="3316"/>
      <c r="U129" s="3316"/>
      <c r="V129" s="3316"/>
      <c r="W129" s="3316"/>
      <c r="X129" s="3316"/>
      <c r="Y129" s="3316"/>
      <c r="Z129" s="3316"/>
      <c r="AA129" s="3316"/>
      <c r="AB129" s="3316"/>
      <c r="AC129" s="3316"/>
    </row>
    <row r="130" spans="1:29" ht="15" thickTop="1">
      <c r="A130" s="3423"/>
      <c r="B130" s="3524">
        <f>B46</f>
        <v>111</v>
      </c>
      <c r="C130" s="3534"/>
      <c r="D130" s="3534"/>
      <c r="E130" s="3534"/>
      <c r="F130" s="3534"/>
      <c r="G130" s="3570"/>
      <c r="H130" s="3570"/>
      <c r="I130" s="3570"/>
      <c r="J130" s="3570"/>
      <c r="K130" s="3499"/>
      <c r="L130" s="3500"/>
      <c r="M130" s="3573"/>
      <c r="N130" s="3512"/>
      <c r="O130" s="3512"/>
      <c r="P130" s="3626"/>
      <c r="Q130" s="3479"/>
      <c r="R130" s="3316"/>
      <c r="S130" s="3316"/>
      <c r="T130" s="3316"/>
      <c r="U130" s="3316"/>
      <c r="V130" s="3316"/>
      <c r="W130" s="3316"/>
      <c r="X130" s="3316"/>
      <c r="Y130" s="3316"/>
      <c r="Z130" s="3316"/>
      <c r="AA130" s="3316"/>
      <c r="AB130" s="3316"/>
      <c r="AC130" s="3316"/>
    </row>
    <row r="131" spans="1:29" ht="15.75" thickBot="1">
      <c r="A131" s="3369"/>
      <c r="B131" s="3551"/>
      <c r="C131" s="3552"/>
      <c r="D131" s="3552"/>
      <c r="E131" s="3552"/>
      <c r="F131" s="3552"/>
      <c r="G131" s="3574"/>
      <c r="H131" s="3574"/>
      <c r="I131" s="3574"/>
      <c r="J131" s="3574"/>
      <c r="K131" s="3574"/>
      <c r="L131" s="3574"/>
      <c r="M131" s="3575"/>
      <c r="N131" s="3517"/>
      <c r="O131" s="3517"/>
      <c r="P131" s="3626"/>
      <c r="Q131" s="3479"/>
      <c r="R131" s="3316"/>
      <c r="S131" s="3316"/>
      <c r="T131" s="3316"/>
      <c r="U131" s="3316"/>
      <c r="V131" s="3316"/>
      <c r="W131" s="3316"/>
      <c r="X131" s="3316"/>
      <c r="Y131" s="3316"/>
      <c r="Z131" s="3316"/>
      <c r="AA131" s="3316"/>
      <c r="AB131" s="3316"/>
      <c r="AC131" s="3316"/>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2DFC4D6F-290F-41C6-BE82-1F96A1975840}">
      <formula1>"项目模式,单套模式"</formula1>
    </dataValidation>
    <dataValidation type="list" allowBlank="1" showInputMessage="1" showErrorMessage="1" sqref="D48" xr:uid="{E9415BE7-1183-4445-BA58-C8D09FF7EF84}">
      <formula1>"简单平均,加权平均"</formula1>
    </dataValidation>
    <dataValidation type="list" allowBlank="1" showInputMessage="1" showErrorMessage="1" sqref="F2" xr:uid="{FF81F999-5784-44E9-AECE-9B3686038B90}">
      <formula1>估价方法</formula1>
    </dataValidation>
    <dataValidation type="list" allowBlank="1" showInputMessage="1" showErrorMessage="1" sqref="C2" xr:uid="{F556D183-6DC4-4C69-BC05-BBFF11AEACF8}">
      <formula1>"需扣减承租人权益,——"</formula1>
    </dataValidation>
    <dataValidation type="list" allowBlank="1" showInputMessage="1" showErrorMessage="1" sqref="F1" xr:uid="{6187BFAC-1B65-4250-B308-50853904AFA2}">
      <formula1>"售价,租金"</formula1>
    </dataValidation>
    <dataValidation type="list" allowBlank="1" showInputMessage="1" showErrorMessage="1" sqref="C22 E22 G22 I22" xr:uid="{F104F365-A289-4FE6-8576-A3E11539AC33}">
      <formula1>基础设施水平</formula1>
    </dataValidation>
    <dataValidation type="list" allowBlank="1" showInputMessage="1" showErrorMessage="1" sqref="C16 E16 G16 I16" xr:uid="{30A2D08E-7298-4953-BEAC-526A071E6B23}">
      <formula1>商业繁华度</formula1>
    </dataValidation>
    <dataValidation type="list" allowBlank="1" showInputMessage="1" showErrorMessage="1" sqref="C8" xr:uid="{14C30326-7196-447C-8342-F76517FFCB2C}">
      <formula1>商业交易情况</formula1>
    </dataValidation>
    <dataValidation type="list" allowBlank="1" showInputMessage="1" showErrorMessage="1" sqref="C39 E39 G39 I39" xr:uid="{1A6A6676-A170-413B-B547-B698D23890BA}">
      <formula1>商业层高</formula1>
    </dataValidation>
    <dataValidation type="list" allowBlank="1" showInputMessage="1" showErrorMessage="1" sqref="C38 E38 G38 I38" xr:uid="{3AF52007-6CCE-4393-BD39-4BE0B8946599}">
      <formula1>商业业态</formula1>
    </dataValidation>
    <dataValidation type="list" allowBlank="1" showInputMessage="1" showErrorMessage="1" sqref="E9 G9 I9" xr:uid="{A9C2F0B3-FA2C-4C13-9F1B-8FFC7B491D1E}">
      <formula1>商业用途</formula1>
    </dataValidation>
    <dataValidation type="list" allowBlank="1" showInputMessage="1" showErrorMessage="1" sqref="C42 E42 G42 I42" xr:uid="{64233719-CD23-4C26-B0BA-29EF90FA61C6}">
      <formula1>商业内部装修</formula1>
    </dataValidation>
    <dataValidation type="list" allowBlank="1" showInputMessage="1" showErrorMessage="1" sqref="C41 E41 G41 I41" xr:uid="{CF5E7065-6758-47E7-9EDE-04B7F636C105}">
      <formula1>商业进深比</formula1>
    </dataValidation>
    <dataValidation type="list" allowBlank="1" showInputMessage="1" showErrorMessage="1" sqref="C37 E37 G37 I37" xr:uid="{AA657079-EA14-40F3-B9D7-491009A46AFF}">
      <formula1>商业基础设施水平</formula1>
    </dataValidation>
    <dataValidation type="list" allowBlank="1" showInputMessage="1" showErrorMessage="1" sqref="C35 E35 G35 I35" xr:uid="{701D11C3-CDBA-48E7-8C81-859CB48D8E83}">
      <formula1>商业公共部分装修</formula1>
    </dataValidation>
    <dataValidation type="list" allowBlank="1" showInputMessage="1" showErrorMessage="1" sqref="C34 E34 G34 I34" xr:uid="{5D7C54C0-9410-4F49-B7A8-C0F9D3B94DB8}">
      <formula1>商业建筑结构</formula1>
    </dataValidation>
    <dataValidation type="list" allowBlank="1" showInputMessage="1" showErrorMessage="1" sqref="C32 I32 G32 E32" xr:uid="{5602CC2A-A0DA-4C7E-829D-D30C2C433865}">
      <formula1>商业类型</formula1>
    </dataValidation>
    <dataValidation type="list" allowBlank="1" showInputMessage="1" showErrorMessage="1" sqref="C28 E28 G28 I28" xr:uid="{1EE9522F-6E1A-4E40-AC5C-A73B240981AC}">
      <formula1>商业楼层</formula1>
    </dataValidation>
    <dataValidation type="list" allowBlank="1" showInputMessage="1" showErrorMessage="1" sqref="C27 E27 G27 I27" xr:uid="{1F3ED3E1-DD3B-4996-84B3-6427441510C0}">
      <formula1>商业人流量</formula1>
    </dataValidation>
    <dataValidation type="list" allowBlank="1" showInputMessage="1" showErrorMessage="1" sqref="C25 E25 G25 I25" xr:uid="{797043DC-4382-4ABD-B51D-05791567A45F}">
      <formula1>商业临街状况</formula1>
    </dataValidation>
    <dataValidation type="list" allowBlank="1" showInputMessage="1" showErrorMessage="1" sqref="E24 G24 I24 C24" xr:uid="{645DB4F0-58F5-4A9A-B20D-1CDD9A4E4F60}">
      <formula1>环境</formula1>
    </dataValidation>
    <dataValidation type="list" allowBlank="1" showInputMessage="1" showErrorMessage="1" sqref="E18 G18 I18 C18" xr:uid="{9AB93065-BF20-48D4-ADAA-E1FE2B751FE5}">
      <formula1>交通便捷度</formula1>
    </dataValidation>
    <dataValidation type="list" allowBlank="1" showInputMessage="1" showErrorMessage="1" sqref="E20 I20 G20 C20" xr:uid="{3B13448D-5F13-405F-8483-99091B90D24E}">
      <formula1>公共配套设施</formula1>
    </dataValidation>
    <dataValidation type="list" allowBlank="1" showInputMessage="1" showErrorMessage="1" sqref="C43 E43 G43 I43" xr:uid="{91142318-1CC5-4A42-BCBF-2A02AA67225D}">
      <formula1>内部装修维护情况</formula1>
    </dataValidation>
    <dataValidation type="list" allowBlank="1" showInputMessage="1" showErrorMessage="1" sqref="D1" xr:uid="{9B3943D6-8A3E-4293-A244-D5294D0EEE5E}">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E6AB6-2EAE-465C-AF24-F99D5B0C40D8}">
  <sheetPr>
    <tabColor theme="6" tint="0.79998168889431442"/>
  </sheetPr>
  <dimension ref="A1"/>
  <sheetViews>
    <sheetView workbookViewId="0">
      <selection activeCell="M42" sqref="M42"/>
    </sheetView>
  </sheetViews>
  <sheetFormatPr defaultRowHeight="13.5"/>
  <cols>
    <col min="1" max="16384" width="9" style="3167"/>
  </cols>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9F0D-9EE0-40E8-B8DB-9757EC776B1D}">
  <sheetPr>
    <tabColor rgb="FFFFFF00"/>
  </sheetPr>
  <dimension ref="G2:Z47"/>
  <sheetViews>
    <sheetView workbookViewId="0">
      <selection activeCell="S44" sqref="S44"/>
    </sheetView>
  </sheetViews>
  <sheetFormatPr defaultRowHeight="13.5"/>
  <cols>
    <col min="13" max="13" width="16.75" style="2814" customWidth="1"/>
    <col min="14" max="14" width="9" style="2814"/>
    <col min="15" max="15" width="13" style="2814" bestFit="1" customWidth="1"/>
    <col min="16" max="16" width="9" style="2814"/>
    <col min="21" max="21" width="9.5" bestFit="1" customWidth="1"/>
    <col min="22" max="22" width="19.25" hidden="1" customWidth="1"/>
    <col min="23" max="23" width="0" hidden="1" customWidth="1"/>
  </cols>
  <sheetData>
    <row r="2" spans="12:26">
      <c r="L2" t="s">
        <v>3619</v>
      </c>
      <c r="M2" s="2814" t="s">
        <v>3620</v>
      </c>
      <c r="N2" s="2814" t="s">
        <v>3446</v>
      </c>
      <c r="O2" s="2814" t="s">
        <v>3822</v>
      </c>
      <c r="P2" s="2814" t="s">
        <v>3823</v>
      </c>
      <c r="R2" t="s">
        <v>672</v>
      </c>
      <c r="T2" t="s">
        <v>3833</v>
      </c>
      <c r="U2">
        <f>SUM(P3:P27)</f>
        <v>35489.51</v>
      </c>
    </row>
    <row r="3" spans="12:26">
      <c r="L3" t="s">
        <v>3824</v>
      </c>
      <c r="M3" s="2814" t="s">
        <v>3626</v>
      </c>
      <c r="N3" s="2814" t="s">
        <v>3626</v>
      </c>
      <c r="O3" s="2814">
        <v>1026.51</v>
      </c>
      <c r="P3" s="2814">
        <v>734.88000000000011</v>
      </c>
      <c r="R3" t="s">
        <v>673</v>
      </c>
      <c r="T3" t="s">
        <v>3835</v>
      </c>
      <c r="U3">
        <v>43.769999999999996</v>
      </c>
    </row>
    <row r="4" spans="12:26">
      <c r="L4">
        <v>1</v>
      </c>
      <c r="M4" s="2814" t="s">
        <v>3825</v>
      </c>
      <c r="N4" s="2814" t="s">
        <v>3627</v>
      </c>
      <c r="O4" s="2814">
        <v>1807.12</v>
      </c>
      <c r="P4" s="2814">
        <v>1863.16</v>
      </c>
      <c r="R4" t="s">
        <v>673</v>
      </c>
      <c r="T4" t="s">
        <v>3837</v>
      </c>
      <c r="U4" s="3639">
        <f>U2+U3</f>
        <v>35533.279999999999</v>
      </c>
    </row>
    <row r="5" spans="12:26">
      <c r="L5">
        <v>2</v>
      </c>
      <c r="M5" s="2814" t="s">
        <v>3628</v>
      </c>
      <c r="N5" s="2814" t="s">
        <v>3628</v>
      </c>
      <c r="O5" s="2814">
        <v>1023.34</v>
      </c>
      <c r="P5" s="2814">
        <v>1062.1200000000001</v>
      </c>
      <c r="R5" t="s">
        <v>21</v>
      </c>
      <c r="T5" t="s">
        <v>3840</v>
      </c>
      <c r="U5">
        <f>SUM(N29:N35)</f>
        <v>10797.05</v>
      </c>
    </row>
    <row r="6" spans="12:26">
      <c r="L6">
        <v>3</v>
      </c>
      <c r="M6" s="2814" t="s">
        <v>3629</v>
      </c>
      <c r="N6" s="2814" t="s">
        <v>3629</v>
      </c>
      <c r="O6" s="2814">
        <v>1270.94</v>
      </c>
      <c r="P6" s="2814">
        <v>1320.97</v>
      </c>
      <c r="T6" t="s">
        <v>3842</v>
      </c>
      <c r="U6" s="3640">
        <f>U4+U5</f>
        <v>46330.33</v>
      </c>
    </row>
    <row r="7" spans="12:26">
      <c r="L7">
        <v>4</v>
      </c>
      <c r="M7" s="2814" t="s">
        <v>3485</v>
      </c>
      <c r="N7" s="2814" t="s">
        <v>3826</v>
      </c>
      <c r="O7" s="2814">
        <v>1388.11</v>
      </c>
      <c r="P7" s="2814">
        <v>1488.24</v>
      </c>
    </row>
    <row r="8" spans="12:26">
      <c r="L8">
        <v>5</v>
      </c>
      <c r="M8" s="2814" t="s">
        <v>3489</v>
      </c>
      <c r="N8" s="2814" t="s">
        <v>3827</v>
      </c>
      <c r="O8" s="2814">
        <v>1348.62</v>
      </c>
      <c r="P8" s="2814">
        <v>1435.93</v>
      </c>
    </row>
    <row r="9" spans="12:26" ht="15">
      <c r="L9">
        <v>6</v>
      </c>
      <c r="M9" s="2814" t="s">
        <v>3493</v>
      </c>
      <c r="N9" s="2814" t="s">
        <v>3495</v>
      </c>
      <c r="O9" s="2814">
        <v>1348.62</v>
      </c>
      <c r="P9" s="2814">
        <v>1435.93</v>
      </c>
      <c r="T9" s="1405" t="s">
        <v>3850</v>
      </c>
      <c r="U9" s="1405" t="s">
        <v>3851</v>
      </c>
      <c r="V9" s="3282" t="s">
        <v>3710</v>
      </c>
      <c r="X9" s="3282" t="s">
        <v>3711</v>
      </c>
      <c r="Y9" s="3145"/>
    </row>
    <row r="10" spans="12:26" ht="15">
      <c r="L10">
        <v>7</v>
      </c>
      <c r="M10" s="2814" t="s">
        <v>3496</v>
      </c>
      <c r="N10" s="2814" t="s">
        <v>3498</v>
      </c>
      <c r="O10" s="2814">
        <v>1388.11</v>
      </c>
      <c r="P10" s="2814">
        <v>1488.24</v>
      </c>
      <c r="T10" s="1405" t="s">
        <v>3846</v>
      </c>
      <c r="U10">
        <f>N35</f>
        <v>2671.2799999999993</v>
      </c>
      <c r="V10" s="3145"/>
      <c r="X10" s="3145">
        <f>U10-V10</f>
        <v>2671.2799999999993</v>
      </c>
      <c r="Y10" s="3145">
        <f>L38</f>
        <v>7.4</v>
      </c>
      <c r="Z10">
        <f>X10*Y10</f>
        <v>19767.471999999994</v>
      </c>
    </row>
    <row r="11" spans="12:26" ht="15">
      <c r="L11">
        <v>8</v>
      </c>
      <c r="M11" s="2814" t="s">
        <v>3500</v>
      </c>
      <c r="N11" s="2814" t="s">
        <v>3502</v>
      </c>
      <c r="O11" s="2814">
        <v>1348.62</v>
      </c>
      <c r="P11" s="2814">
        <v>1435.93</v>
      </c>
      <c r="T11" s="1405" t="s">
        <v>3847</v>
      </c>
      <c r="U11">
        <f>P4</f>
        <v>1863.16</v>
      </c>
      <c r="V11" s="3145"/>
      <c r="X11" s="3145">
        <f t="shared" ref="X11:X35" si="0">U11-V11</f>
        <v>1863.16</v>
      </c>
      <c r="Y11" s="3145">
        <f>L40</f>
        <v>11.4</v>
      </c>
      <c r="Z11">
        <f t="shared" ref="Z11:Z35" si="1">X11*Y11</f>
        <v>21240.024000000001</v>
      </c>
    </row>
    <row r="12" spans="12:26" ht="15">
      <c r="L12">
        <v>9</v>
      </c>
      <c r="M12" s="2814" t="s">
        <v>3503</v>
      </c>
      <c r="N12" s="2814" t="s">
        <v>3505</v>
      </c>
      <c r="O12" s="2814">
        <v>1348.62</v>
      </c>
      <c r="P12" s="2814">
        <v>1435.93</v>
      </c>
      <c r="T12" s="1405" t="s">
        <v>3848</v>
      </c>
      <c r="U12">
        <f>P3</f>
        <v>734.88000000000011</v>
      </c>
      <c r="V12" s="3145"/>
      <c r="X12" s="3145">
        <f t="shared" si="0"/>
        <v>734.88000000000011</v>
      </c>
      <c r="Y12" s="3145">
        <f>L39</f>
        <v>9.6999999999999993</v>
      </c>
      <c r="Z12">
        <f t="shared" si="1"/>
        <v>7128.3360000000002</v>
      </c>
    </row>
    <row r="13" spans="12:26" ht="15">
      <c r="L13">
        <v>10</v>
      </c>
      <c r="M13" s="2814" t="s">
        <v>3507</v>
      </c>
      <c r="N13" s="2814" t="s">
        <v>3509</v>
      </c>
      <c r="O13" s="2814">
        <v>1388.11</v>
      </c>
      <c r="P13" s="2814">
        <v>1488.24</v>
      </c>
      <c r="T13" s="2814" t="s">
        <v>3628</v>
      </c>
      <c r="U13">
        <f>P5</f>
        <v>1062.1200000000001</v>
      </c>
      <c r="V13" s="3145"/>
      <c r="X13" s="3145">
        <f t="shared" si="0"/>
        <v>1062.1200000000001</v>
      </c>
      <c r="Y13" s="3145">
        <f>L41</f>
        <v>7.9</v>
      </c>
      <c r="Z13">
        <f t="shared" si="1"/>
        <v>8390.7480000000014</v>
      </c>
    </row>
    <row r="14" spans="12:26" ht="15">
      <c r="L14">
        <v>11</v>
      </c>
      <c r="M14" s="2814" t="s">
        <v>3510</v>
      </c>
      <c r="N14" s="2814" t="s">
        <v>3512</v>
      </c>
      <c r="O14" s="2814">
        <v>1348.62</v>
      </c>
      <c r="P14" s="2814">
        <v>1435.93</v>
      </c>
      <c r="T14" s="2814" t="s">
        <v>3629</v>
      </c>
      <c r="U14">
        <f t="shared" ref="U14:U35" si="2">P6</f>
        <v>1320.97</v>
      </c>
      <c r="V14" s="3145"/>
      <c r="W14" s="3283">
        <f>'4-21火炬大厦'!U7</f>
        <v>13.906849315068493</v>
      </c>
      <c r="X14" s="3145">
        <f t="shared" si="0"/>
        <v>1320.97</v>
      </c>
      <c r="Y14" s="3145">
        <f>L41</f>
        <v>7.9</v>
      </c>
      <c r="Z14">
        <f t="shared" si="1"/>
        <v>10435.663</v>
      </c>
    </row>
    <row r="15" spans="12:26" ht="15">
      <c r="L15">
        <v>12</v>
      </c>
      <c r="M15" s="2814" t="s">
        <v>3514</v>
      </c>
      <c r="N15" s="2814" t="s">
        <v>3828</v>
      </c>
      <c r="O15" s="2814">
        <v>1348.62</v>
      </c>
      <c r="P15" s="2814">
        <v>1435.93</v>
      </c>
      <c r="T15" s="2814" t="s">
        <v>3485</v>
      </c>
      <c r="U15">
        <f t="shared" si="2"/>
        <v>1488.24</v>
      </c>
      <c r="V15" s="3145"/>
      <c r="W15" s="3283">
        <f>'4-21火炬大厦'!U8</f>
        <v>13.906849315068493</v>
      </c>
      <c r="X15" s="3145">
        <f t="shared" si="0"/>
        <v>1488.24</v>
      </c>
      <c r="Y15" s="3145">
        <f>L41</f>
        <v>7.9</v>
      </c>
      <c r="Z15">
        <f t="shared" si="1"/>
        <v>11757.096000000001</v>
      </c>
    </row>
    <row r="16" spans="12:26" ht="15">
      <c r="L16">
        <v>13</v>
      </c>
      <c r="M16" s="2814" t="s">
        <v>3517</v>
      </c>
      <c r="N16" s="2814" t="s">
        <v>3829</v>
      </c>
      <c r="O16" s="2814">
        <v>1388.11</v>
      </c>
      <c r="P16" s="2814">
        <v>1488.24</v>
      </c>
      <c r="T16" s="2814" t="s">
        <v>3489</v>
      </c>
      <c r="U16">
        <f t="shared" si="2"/>
        <v>1435.93</v>
      </c>
      <c r="V16" s="3145"/>
      <c r="W16" s="3283">
        <f>'4-21火炬大厦'!U9</f>
        <v>0</v>
      </c>
      <c r="X16" s="3145">
        <f t="shared" si="0"/>
        <v>1435.93</v>
      </c>
      <c r="Y16" s="3145">
        <f>L41</f>
        <v>7.9</v>
      </c>
      <c r="Z16">
        <f t="shared" si="1"/>
        <v>11343.847000000002</v>
      </c>
    </row>
    <row r="17" spans="7:26" ht="15">
      <c r="L17">
        <v>14</v>
      </c>
      <c r="M17" s="2814" t="s">
        <v>3521</v>
      </c>
      <c r="N17" s="2814" t="s">
        <v>3523</v>
      </c>
      <c r="O17" s="2814">
        <v>1348.62</v>
      </c>
      <c r="P17" s="2814">
        <v>1435.93</v>
      </c>
      <c r="T17" s="2814" t="s">
        <v>3493</v>
      </c>
      <c r="U17">
        <f t="shared" si="2"/>
        <v>1435.93</v>
      </c>
      <c r="V17" s="3145"/>
      <c r="W17" s="3283">
        <f>'4-21火炬大厦'!U10</f>
        <v>13.906849315068493</v>
      </c>
      <c r="X17" s="3145">
        <f t="shared" si="0"/>
        <v>1435.93</v>
      </c>
      <c r="Y17" s="3145">
        <f>L41</f>
        <v>7.9</v>
      </c>
      <c r="Z17">
        <f t="shared" si="1"/>
        <v>11343.847000000002</v>
      </c>
    </row>
    <row r="18" spans="7:26" ht="15">
      <c r="L18">
        <v>15</v>
      </c>
      <c r="M18" s="2814" t="s">
        <v>3525</v>
      </c>
      <c r="N18" s="2814" t="s">
        <v>3526</v>
      </c>
      <c r="O18" s="2814">
        <v>1348.62</v>
      </c>
      <c r="P18" s="2814">
        <v>1435.93</v>
      </c>
      <c r="T18" s="2814" t="s">
        <v>3496</v>
      </c>
      <c r="U18">
        <f t="shared" si="2"/>
        <v>1488.24</v>
      </c>
      <c r="V18" s="3145"/>
      <c r="W18" s="3283">
        <f>'4-21火炬大厦'!U11</f>
        <v>0</v>
      </c>
      <c r="X18" s="3145">
        <f t="shared" si="0"/>
        <v>1488.24</v>
      </c>
      <c r="Y18" s="3145">
        <f>L41</f>
        <v>7.9</v>
      </c>
      <c r="Z18">
        <f t="shared" si="1"/>
        <v>11757.096000000001</v>
      </c>
    </row>
    <row r="19" spans="7:26" ht="15">
      <c r="L19">
        <v>16</v>
      </c>
      <c r="M19" s="2814" t="s">
        <v>3528</v>
      </c>
      <c r="N19" s="2814" t="s">
        <v>3529</v>
      </c>
      <c r="O19" s="2814">
        <v>1388.11</v>
      </c>
      <c r="P19" s="2814">
        <v>1488.24</v>
      </c>
      <c r="T19" s="2814" t="s">
        <v>3500</v>
      </c>
      <c r="U19">
        <f t="shared" si="2"/>
        <v>1435.93</v>
      </c>
      <c r="V19" s="3145"/>
      <c r="W19" s="3283">
        <f>'4-21火炬大厦'!U12</f>
        <v>14.761643835616438</v>
      </c>
      <c r="X19" s="3145">
        <f t="shared" si="0"/>
        <v>1435.93</v>
      </c>
      <c r="Y19" s="3145">
        <f>L41</f>
        <v>7.9</v>
      </c>
      <c r="Z19">
        <f t="shared" si="1"/>
        <v>11343.847000000002</v>
      </c>
    </row>
    <row r="20" spans="7:26" ht="15">
      <c r="L20">
        <v>17</v>
      </c>
      <c r="M20" s="2814" t="s">
        <v>3531</v>
      </c>
      <c r="N20" s="2814" t="s">
        <v>3532</v>
      </c>
      <c r="O20" s="2814">
        <v>1348.62</v>
      </c>
      <c r="P20" s="2814">
        <v>1435.93</v>
      </c>
      <c r="T20" s="2814" t="s">
        <v>3503</v>
      </c>
      <c r="U20">
        <f t="shared" si="2"/>
        <v>1435.93</v>
      </c>
      <c r="V20" s="3145"/>
      <c r="W20" s="3283">
        <f>'4-21火炬大厦'!U13</f>
        <v>14.761643835616438</v>
      </c>
      <c r="X20" s="3145">
        <f t="shared" si="0"/>
        <v>1435.93</v>
      </c>
      <c r="Y20" s="3145">
        <f>L41</f>
        <v>7.9</v>
      </c>
      <c r="Z20">
        <f t="shared" si="1"/>
        <v>11343.847000000002</v>
      </c>
    </row>
    <row r="21" spans="7:26" ht="15">
      <c r="L21">
        <v>18</v>
      </c>
      <c r="M21" s="2814" t="s">
        <v>3534</v>
      </c>
      <c r="N21" s="2814" t="s">
        <v>3535</v>
      </c>
      <c r="O21" s="2814">
        <v>1348.62</v>
      </c>
      <c r="P21" s="2814">
        <v>1435.93</v>
      </c>
      <c r="T21" s="2814" t="s">
        <v>3507</v>
      </c>
      <c r="U21">
        <f t="shared" si="2"/>
        <v>1488.24</v>
      </c>
      <c r="V21" s="3145"/>
      <c r="W21" s="3283">
        <f>'4-21火炬大厦'!U14</f>
        <v>14.761643835616438</v>
      </c>
      <c r="X21" s="3145">
        <f t="shared" si="0"/>
        <v>1488.24</v>
      </c>
      <c r="Y21" s="3145">
        <f>L41</f>
        <v>7.9</v>
      </c>
      <c r="Z21">
        <f t="shared" si="1"/>
        <v>11757.096000000001</v>
      </c>
    </row>
    <row r="22" spans="7:26" ht="15">
      <c r="L22">
        <v>19</v>
      </c>
      <c r="M22" s="2814" t="s">
        <v>3537</v>
      </c>
      <c r="N22" s="2814" t="s">
        <v>3538</v>
      </c>
      <c r="O22" s="2814">
        <v>1388.11</v>
      </c>
      <c r="P22" s="2814">
        <v>1488.24</v>
      </c>
      <c r="T22" s="2814" t="s">
        <v>3510</v>
      </c>
      <c r="U22">
        <f t="shared" si="2"/>
        <v>1435.93</v>
      </c>
      <c r="V22" s="3145"/>
      <c r="W22" s="3283">
        <f>'4-21火炬大厦'!U15</f>
        <v>0</v>
      </c>
      <c r="X22" s="3145">
        <f t="shared" si="0"/>
        <v>1435.93</v>
      </c>
      <c r="Y22" s="3145">
        <f>L41</f>
        <v>7.9</v>
      </c>
      <c r="Z22">
        <f t="shared" si="1"/>
        <v>11343.847000000002</v>
      </c>
    </row>
    <row r="23" spans="7:26" ht="15">
      <c r="L23">
        <v>20</v>
      </c>
      <c r="M23" s="2814" t="s">
        <v>3540</v>
      </c>
      <c r="N23" s="2814" t="s">
        <v>3541</v>
      </c>
      <c r="O23" s="2814">
        <v>1348.62</v>
      </c>
      <c r="P23" s="2814">
        <v>1435.93</v>
      </c>
      <c r="T23" s="2814" t="s">
        <v>3514</v>
      </c>
      <c r="U23">
        <f t="shared" si="2"/>
        <v>1435.93</v>
      </c>
      <c r="V23" s="3145"/>
      <c r="W23" s="3283">
        <f>'4-21火炬大厦'!U16</f>
        <v>0</v>
      </c>
      <c r="X23" s="3145">
        <f t="shared" si="0"/>
        <v>1435.93</v>
      </c>
      <c r="Y23" s="3145">
        <f>L41</f>
        <v>7.9</v>
      </c>
      <c r="Z23">
        <f t="shared" si="1"/>
        <v>11343.847000000002</v>
      </c>
    </row>
    <row r="24" spans="7:26" ht="15">
      <c r="L24">
        <v>21</v>
      </c>
      <c r="M24" s="2814" t="s">
        <v>3543</v>
      </c>
      <c r="N24" s="2814" t="s">
        <v>3830</v>
      </c>
      <c r="O24" s="2814">
        <v>1348.62</v>
      </c>
      <c r="P24" s="2814">
        <v>1435.93</v>
      </c>
      <c r="T24" s="2814" t="s">
        <v>3517</v>
      </c>
      <c r="U24">
        <f t="shared" si="2"/>
        <v>1488.24</v>
      </c>
      <c r="V24" s="3145"/>
      <c r="W24" s="3283">
        <f>'4-21火炬大厦'!U17</f>
        <v>0</v>
      </c>
      <c r="X24" s="3145">
        <f t="shared" si="0"/>
        <v>1488.24</v>
      </c>
      <c r="Y24" s="3145">
        <f>L42</f>
        <v>8.1</v>
      </c>
      <c r="Z24">
        <f t="shared" si="1"/>
        <v>12054.743999999999</v>
      </c>
    </row>
    <row r="25" spans="7:26" ht="15">
      <c r="L25">
        <v>22</v>
      </c>
      <c r="M25" s="2814" t="s">
        <v>3547</v>
      </c>
      <c r="N25" s="2814" t="s">
        <v>3831</v>
      </c>
      <c r="O25" s="2814">
        <v>1388.11</v>
      </c>
      <c r="P25" s="2814">
        <v>1488.24</v>
      </c>
      <c r="T25" s="2814" t="s">
        <v>3521</v>
      </c>
      <c r="U25">
        <f t="shared" si="2"/>
        <v>1435.93</v>
      </c>
      <c r="V25" s="3145"/>
      <c r="W25" s="3283">
        <f>'4-21火炬大厦'!U18</f>
        <v>0</v>
      </c>
      <c r="X25" s="3145">
        <f t="shared" si="0"/>
        <v>1435.93</v>
      </c>
      <c r="Y25" s="3145">
        <f>L42</f>
        <v>8.1</v>
      </c>
      <c r="Z25">
        <f t="shared" si="1"/>
        <v>11631.032999999999</v>
      </c>
    </row>
    <row r="26" spans="7:26" ht="15">
      <c r="L26">
        <v>23</v>
      </c>
      <c r="M26" s="2814" t="s">
        <v>3551</v>
      </c>
      <c r="N26" s="2814" t="s">
        <v>3552</v>
      </c>
      <c r="O26" s="2814">
        <v>1348.62</v>
      </c>
      <c r="P26" s="2814">
        <v>1429.77</v>
      </c>
      <c r="T26" s="2814" t="s">
        <v>3525</v>
      </c>
      <c r="U26">
        <f t="shared" si="2"/>
        <v>1435.93</v>
      </c>
      <c r="V26" s="3145"/>
      <c r="W26" s="3283">
        <f>'4-21火炬大厦'!U19</f>
        <v>0</v>
      </c>
      <c r="X26" s="3145">
        <f t="shared" si="0"/>
        <v>1435.93</v>
      </c>
      <c r="Y26" s="3145">
        <f>L42</f>
        <v>8.1</v>
      </c>
      <c r="Z26">
        <f t="shared" si="1"/>
        <v>11631.032999999999</v>
      </c>
    </row>
    <row r="27" spans="7:26" ht="15">
      <c r="L27">
        <v>24</v>
      </c>
      <c r="M27" s="2814" t="s">
        <v>3832</v>
      </c>
      <c r="N27" s="2814" t="s">
        <v>3556</v>
      </c>
      <c r="O27" s="2814">
        <v>1348.62</v>
      </c>
      <c r="P27" s="2814">
        <v>1429.77</v>
      </c>
      <c r="T27" s="2814" t="s">
        <v>3528</v>
      </c>
      <c r="U27">
        <f t="shared" si="2"/>
        <v>1488.24</v>
      </c>
      <c r="V27" s="3145"/>
      <c r="W27" s="3283">
        <f>'4-21火炬大厦'!U20</f>
        <v>0</v>
      </c>
      <c r="X27" s="3145">
        <f t="shared" si="0"/>
        <v>1488.24</v>
      </c>
      <c r="Y27" s="3145">
        <f>L42</f>
        <v>8.1</v>
      </c>
      <c r="Z27">
        <f t="shared" si="1"/>
        <v>12054.743999999999</v>
      </c>
    </row>
    <row r="28" spans="7:26" ht="15">
      <c r="G28">
        <f>8.3-7.6</f>
        <v>0.70000000000000107</v>
      </c>
      <c r="M28" s="2814" t="s">
        <v>3446</v>
      </c>
      <c r="N28" s="2814" t="s">
        <v>3448</v>
      </c>
      <c r="T28" s="2814" t="s">
        <v>3531</v>
      </c>
      <c r="U28">
        <f t="shared" si="2"/>
        <v>1435.93</v>
      </c>
      <c r="V28" s="3145"/>
      <c r="W28" s="3283">
        <f>'4-21火炬大厦'!U21</f>
        <v>0</v>
      </c>
      <c r="X28" s="3145">
        <f t="shared" si="0"/>
        <v>1435.93</v>
      </c>
      <c r="Y28" s="3145">
        <f>L42</f>
        <v>8.1</v>
      </c>
      <c r="Z28">
        <f t="shared" si="1"/>
        <v>11631.032999999999</v>
      </c>
    </row>
    <row r="29" spans="7:26" ht="15">
      <c r="M29" s="2814" t="s">
        <v>3834</v>
      </c>
      <c r="N29" s="2814">
        <v>4191.13</v>
      </c>
      <c r="R29" t="s">
        <v>3335</v>
      </c>
      <c r="T29" s="2814" t="s">
        <v>3534</v>
      </c>
      <c r="U29">
        <f t="shared" si="2"/>
        <v>1435.93</v>
      </c>
      <c r="V29" s="3145"/>
      <c r="W29" s="3283">
        <f>'4-21火炬大厦'!U22</f>
        <v>0</v>
      </c>
      <c r="X29" s="3145">
        <f t="shared" si="0"/>
        <v>1435.93</v>
      </c>
      <c r="Y29" s="3145">
        <f>L42</f>
        <v>8.1</v>
      </c>
      <c r="Z29">
        <f t="shared" si="1"/>
        <v>11631.032999999999</v>
      </c>
    </row>
    <row r="30" spans="7:26" ht="15">
      <c r="M30" s="2814" t="s">
        <v>3836</v>
      </c>
      <c r="N30" s="2814">
        <v>238.65</v>
      </c>
      <c r="R30" t="s">
        <v>3838</v>
      </c>
      <c r="T30" s="2814" t="s">
        <v>3537</v>
      </c>
      <c r="U30">
        <f t="shared" si="2"/>
        <v>1488.24</v>
      </c>
      <c r="V30" s="3145"/>
      <c r="W30" s="3283">
        <f>'4-21火炬大厦'!U23</f>
        <v>0</v>
      </c>
      <c r="X30" s="3145">
        <f t="shared" si="0"/>
        <v>1488.24</v>
      </c>
      <c r="Y30" s="3145">
        <f>L42</f>
        <v>8.1</v>
      </c>
      <c r="Z30">
        <f t="shared" si="1"/>
        <v>12054.743999999999</v>
      </c>
    </row>
    <row r="31" spans="7:26" ht="15">
      <c r="M31" s="2814" t="s">
        <v>3839</v>
      </c>
      <c r="N31" s="2814">
        <v>2955.16</v>
      </c>
      <c r="R31" t="s">
        <v>3335</v>
      </c>
      <c r="T31" s="2814" t="s">
        <v>3540</v>
      </c>
      <c r="U31">
        <f t="shared" si="2"/>
        <v>1435.93</v>
      </c>
      <c r="V31" s="3145"/>
      <c r="W31" s="3283">
        <f>'4-21火炬大厦'!U24</f>
        <v>0</v>
      </c>
      <c r="X31" s="3145">
        <f t="shared" si="0"/>
        <v>1435.93</v>
      </c>
      <c r="Y31" s="3145">
        <f>L42</f>
        <v>8.1</v>
      </c>
      <c r="Z31">
        <f t="shared" si="1"/>
        <v>11631.032999999999</v>
      </c>
    </row>
    <row r="32" spans="7:26" ht="15">
      <c r="M32" s="2814" t="s">
        <v>3841</v>
      </c>
      <c r="N32" s="2814">
        <v>316.12</v>
      </c>
      <c r="R32" t="s">
        <v>3838</v>
      </c>
      <c r="T32" s="2814" t="s">
        <v>3543</v>
      </c>
      <c r="U32">
        <f t="shared" si="2"/>
        <v>1435.93</v>
      </c>
      <c r="V32" s="3145"/>
      <c r="W32" s="3283">
        <f>'4-21火炬大厦'!U25</f>
        <v>0</v>
      </c>
      <c r="X32" s="3145">
        <f t="shared" si="0"/>
        <v>1435.93</v>
      </c>
      <c r="Y32" s="3145">
        <f>L42</f>
        <v>8.1</v>
      </c>
      <c r="Z32">
        <f t="shared" si="1"/>
        <v>11631.032999999999</v>
      </c>
    </row>
    <row r="33" spans="7:26" ht="15">
      <c r="M33" s="2814" t="s">
        <v>3843</v>
      </c>
      <c r="N33" s="2814">
        <v>135.82999999999998</v>
      </c>
      <c r="T33" s="2814" t="s">
        <v>3547</v>
      </c>
      <c r="U33">
        <f t="shared" si="2"/>
        <v>1488.24</v>
      </c>
      <c r="V33" s="3145"/>
      <c r="W33" s="3283">
        <f>'4-21火炬大厦'!U26</f>
        <v>16.010958904109589</v>
      </c>
      <c r="X33" s="3145">
        <f t="shared" si="0"/>
        <v>1488.24</v>
      </c>
      <c r="Y33" s="3145">
        <f>L42</f>
        <v>8.1</v>
      </c>
      <c r="Z33">
        <f t="shared" si="1"/>
        <v>12054.743999999999</v>
      </c>
    </row>
    <row r="34" spans="7:26" ht="15">
      <c r="M34" s="2814" t="s">
        <v>3844</v>
      </c>
      <c r="N34" s="2814">
        <v>288.88</v>
      </c>
      <c r="R34" t="s">
        <v>3335</v>
      </c>
      <c r="T34" s="2814" t="s">
        <v>3551</v>
      </c>
      <c r="U34">
        <f t="shared" si="2"/>
        <v>1429.77</v>
      </c>
      <c r="V34" s="3145"/>
      <c r="W34" s="3283">
        <f>'4-21火炬大厦'!U27</f>
        <v>16.109589041095891</v>
      </c>
      <c r="X34" s="3145">
        <f t="shared" si="0"/>
        <v>1429.77</v>
      </c>
      <c r="Y34" s="3145">
        <f>L42</f>
        <v>8.1</v>
      </c>
      <c r="Z34">
        <f t="shared" si="1"/>
        <v>11581.136999999999</v>
      </c>
    </row>
    <row r="35" spans="7:26" ht="15">
      <c r="M35" s="2814" t="s">
        <v>3845</v>
      </c>
      <c r="N35" s="2814">
        <v>2671.2799999999993</v>
      </c>
      <c r="R35" t="s">
        <v>673</v>
      </c>
      <c r="T35" s="1421" t="s">
        <v>3849</v>
      </c>
      <c r="U35">
        <f t="shared" si="2"/>
        <v>1429.77</v>
      </c>
      <c r="V35" s="3145"/>
      <c r="W35" s="3283">
        <f>'4-21火炬大厦'!U28</f>
        <v>16.109589041095891</v>
      </c>
      <c r="X35" s="3145">
        <f t="shared" si="0"/>
        <v>1429.77</v>
      </c>
      <c r="Y35" s="3145">
        <f>L42</f>
        <v>8.1</v>
      </c>
      <c r="Z35">
        <f t="shared" si="1"/>
        <v>11581.136999999999</v>
      </c>
    </row>
    <row r="36" spans="7:26" ht="15">
      <c r="R36">
        <v>172</v>
      </c>
      <c r="S36">
        <f>U36/R36</f>
        <v>43.227732558139536</v>
      </c>
      <c r="T36" s="1421" t="s">
        <v>3852</v>
      </c>
      <c r="U36">
        <f>N29+N31+N34</f>
        <v>7435.17</v>
      </c>
      <c r="V36" s="3278">
        <f>SUM(V10:V35)</f>
        <v>0</v>
      </c>
      <c r="W36" s="3640">
        <f>SUMPRODUCT(V12:V35,W12:W35)</f>
        <v>0</v>
      </c>
      <c r="X36" s="3278">
        <f>SUM(X10:X35)</f>
        <v>38160.79</v>
      </c>
      <c r="Y36" s="3640"/>
      <c r="Z36" s="3640">
        <f>SUM(Z10:Z35)</f>
        <v>311464.06100000005</v>
      </c>
    </row>
    <row r="37" spans="7:26" ht="15">
      <c r="H37" s="3145" t="s">
        <v>3450</v>
      </c>
      <c r="I37" s="3145" t="s">
        <v>3446</v>
      </c>
      <c r="J37" s="3145" t="s">
        <v>3447</v>
      </c>
      <c r="K37" s="3145" t="s">
        <v>3448</v>
      </c>
      <c r="L37" s="3145" t="s">
        <v>3449</v>
      </c>
      <c r="M37" s="3145"/>
      <c r="T37" s="1421" t="s">
        <v>3853</v>
      </c>
      <c r="U37">
        <f>N30+N32+N33</f>
        <v>690.59999999999991</v>
      </c>
      <c r="V37" s="3145"/>
      <c r="W37" t="e">
        <f>ROUND(W36/V36,1)</f>
        <v>#DIV/0!</v>
      </c>
      <c r="X37" s="3145"/>
      <c r="Y37" s="3145">
        <f>ROUND(Z36/X36,1)</f>
        <v>8.1999999999999993</v>
      </c>
    </row>
    <row r="38" spans="7:26" ht="15">
      <c r="G38">
        <v>0.65</v>
      </c>
      <c r="H38" s="4012" t="s">
        <v>3631</v>
      </c>
      <c r="I38" s="3198" t="s">
        <v>3452</v>
      </c>
      <c r="J38" s="3145" t="s">
        <v>673</v>
      </c>
      <c r="K38" s="3145">
        <f>U10</f>
        <v>2671.2799999999993</v>
      </c>
      <c r="L38" s="3145">
        <f>ROUND(L40*G38,1)</f>
        <v>7.4</v>
      </c>
      <c r="M38" s="3145">
        <f>K38*L38</f>
        <v>19767.471999999994</v>
      </c>
      <c r="O38" s="3145"/>
      <c r="P38" s="3199">
        <v>45473</v>
      </c>
      <c r="U38">
        <f>SUM(U10:U37)</f>
        <v>46286.559999999998</v>
      </c>
      <c r="V38" s="3145"/>
      <c r="X38" s="3145"/>
      <c r="Y38" s="3145"/>
    </row>
    <row r="39" spans="7:26" ht="15">
      <c r="G39">
        <v>0.85</v>
      </c>
      <c r="H39" s="4012"/>
      <c r="I39" s="3198">
        <v>1</v>
      </c>
      <c r="J39" s="3145" t="s">
        <v>673</v>
      </c>
      <c r="K39" s="3145">
        <f>U12</f>
        <v>734.88000000000011</v>
      </c>
      <c r="L39" s="3145">
        <f>ROUND(L40*G39,1)</f>
        <v>9.6999999999999993</v>
      </c>
      <c r="M39" s="3145">
        <f t="shared" ref="M39:M42" si="3">K39*L39</f>
        <v>7128.3360000000002</v>
      </c>
      <c r="O39" s="3145"/>
      <c r="P39" s="3199">
        <v>46295</v>
      </c>
      <c r="T39" s="1421" t="s">
        <v>3861</v>
      </c>
      <c r="U39">
        <f>U3</f>
        <v>43.769999999999996</v>
      </c>
      <c r="V39" s="4013" t="s">
        <v>3807</v>
      </c>
      <c r="W39">
        <f>SUMPRODUCT(V12:V35,Y12:Y35)</f>
        <v>0</v>
      </c>
      <c r="X39" s="3145"/>
      <c r="Y39" s="3145"/>
    </row>
    <row r="40" spans="7:26" ht="15">
      <c r="H40" s="4012"/>
      <c r="I40" s="3198" t="s">
        <v>3453</v>
      </c>
      <c r="J40" s="3145" t="s">
        <v>673</v>
      </c>
      <c r="K40" s="3145">
        <f>U11</f>
        <v>1863.16</v>
      </c>
      <c r="L40" s="3145">
        <f>'4-21火炬大厦'!K27</f>
        <v>11.4</v>
      </c>
      <c r="M40" s="3145">
        <f t="shared" si="3"/>
        <v>21240.024000000001</v>
      </c>
      <c r="O40" s="3145"/>
      <c r="P40" s="3145">
        <f>P39-P38</f>
        <v>822</v>
      </c>
      <c r="U40">
        <f>U38+U39</f>
        <v>46330.329999999994</v>
      </c>
      <c r="V40" s="4012"/>
      <c r="W40" t="e">
        <f>ROUND(W39/V36,1)</f>
        <v>#DIV/0!</v>
      </c>
      <c r="X40" s="3145"/>
      <c r="Y40" s="3145"/>
    </row>
    <row r="41" spans="7:26" ht="15">
      <c r="H41" s="4012"/>
      <c r="I41" s="3198" t="s">
        <v>3632</v>
      </c>
      <c r="J41" s="3145" t="s">
        <v>21</v>
      </c>
      <c r="K41" s="3145">
        <f>SUM(U13:U23)</f>
        <v>15463.390000000001</v>
      </c>
      <c r="L41" s="3145">
        <f>'4-21火炬大厦'!K28</f>
        <v>7.9</v>
      </c>
      <c r="M41" s="3145">
        <f t="shared" si="3"/>
        <v>122160.78100000002</v>
      </c>
      <c r="O41" s="3282" t="s">
        <v>3809</v>
      </c>
      <c r="P41" s="3145">
        <f>ROUND(P40/365,2)</f>
        <v>2.25</v>
      </c>
      <c r="V41" s="3282" t="s">
        <v>3808</v>
      </c>
      <c r="W41" t="e">
        <f>ROUND(W40*(1+'数据-取费表'!AA6)^P41,2)</f>
        <v>#DIV/0!</v>
      </c>
      <c r="X41" s="3145"/>
      <c r="Y41" s="3145"/>
    </row>
    <row r="42" spans="7:26" ht="15">
      <c r="H42" s="4012"/>
      <c r="I42" s="3198" t="s">
        <v>3633</v>
      </c>
      <c r="J42" s="3145" t="s">
        <v>21</v>
      </c>
      <c r="K42" s="3145">
        <f>SUM(U24:U35)</f>
        <v>17428.080000000002</v>
      </c>
      <c r="L42" s="3145">
        <f>'4-21火炬大厦'!K29</f>
        <v>8.1</v>
      </c>
      <c r="M42" s="3145">
        <f t="shared" si="3"/>
        <v>141167.448</v>
      </c>
      <c r="V42" s="3145"/>
      <c r="X42" s="3145"/>
      <c r="Y42" s="3145"/>
    </row>
    <row r="43" spans="7:26" ht="15">
      <c r="H43" s="3145" t="s">
        <v>3456</v>
      </c>
      <c r="I43" s="3145"/>
      <c r="J43" s="3145"/>
      <c r="K43" s="3145">
        <f>SUM(K38:K42)</f>
        <v>38160.79</v>
      </c>
      <c r="L43" s="3278">
        <f>ROUND(M43/K43,1)</f>
        <v>8.1999999999999993</v>
      </c>
      <c r="M43" s="3145">
        <f>SUM(M38:M42)</f>
        <v>311464.06099999999</v>
      </c>
      <c r="V43" s="3145"/>
      <c r="X43" s="3145"/>
      <c r="Y43" s="3145"/>
    </row>
    <row r="44" spans="7:26" ht="15">
      <c r="J44" s="3145" t="s">
        <v>3854</v>
      </c>
      <c r="K44">
        <f>U36</f>
        <v>7435.17</v>
      </c>
      <c r="V44" s="3145"/>
      <c r="X44" s="3145"/>
      <c r="Y44" s="3145"/>
    </row>
    <row r="45" spans="7:26" ht="15">
      <c r="J45" s="3145" t="s">
        <v>3855</v>
      </c>
      <c r="K45">
        <f>U37</f>
        <v>690.59999999999991</v>
      </c>
    </row>
    <row r="46" spans="7:26">
      <c r="K46">
        <f>K44+K45</f>
        <v>8125.77</v>
      </c>
    </row>
    <row r="47" spans="7:26">
      <c r="K47">
        <f>K43+K46</f>
        <v>46286.559999999998</v>
      </c>
    </row>
  </sheetData>
  <mergeCells count="2">
    <mergeCell ref="H38:H42"/>
    <mergeCell ref="V39:V40"/>
  </mergeCells>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F306C-96AC-4BF1-933E-AD116E1D7B7A}">
  <sheetPr>
    <tabColor theme="5" tint="0.79998168889431442"/>
  </sheetPr>
  <dimension ref="A1:W48"/>
  <sheetViews>
    <sheetView topLeftCell="D1" zoomScale="115" zoomScaleNormal="115" workbookViewId="0">
      <selection activeCell="R36" sqref="R36:S39"/>
    </sheetView>
  </sheetViews>
  <sheetFormatPr defaultColWidth="8.25" defaultRowHeight="15"/>
  <cols>
    <col min="1" max="1" width="15.5" style="3145" customWidth="1"/>
    <col min="2" max="2" width="16.125" style="3145" customWidth="1"/>
    <col min="3" max="3" width="16.375" style="3145" customWidth="1"/>
    <col min="4" max="4" width="42.875" style="3145" customWidth="1"/>
    <col min="5" max="5" width="8.25" style="3145"/>
    <col min="6" max="6" width="13.125" style="3145" customWidth="1"/>
    <col min="7" max="7" width="13.875" style="3145" customWidth="1"/>
    <col min="8" max="8" width="17.375" style="3145" customWidth="1"/>
    <col min="9" max="9" width="8.25" style="3145"/>
    <col min="10" max="10" width="9.375" style="3145" bestFit="1" customWidth="1"/>
    <col min="11" max="11" width="8.25" style="3145"/>
    <col min="12" max="12" width="12.5" style="3145" bestFit="1" customWidth="1"/>
    <col min="13" max="15" width="8.25" style="3145"/>
    <col min="16" max="16" width="9.375" style="3145" bestFit="1" customWidth="1"/>
    <col min="17" max="17" width="8.25" style="3145"/>
    <col min="18" max="18" width="11.375" style="3145" customWidth="1"/>
    <col min="19" max="19" width="9.5" style="3145" bestFit="1" customWidth="1"/>
    <col min="20" max="20" width="13.75" style="3145" customWidth="1"/>
    <col min="21" max="21" width="11.625" bestFit="1" customWidth="1"/>
    <col min="22" max="22" width="9.375" style="3145" bestFit="1" customWidth="1"/>
    <col min="23" max="23" width="9.5" style="3145" bestFit="1" customWidth="1"/>
    <col min="24" max="256" width="8.25" style="3145"/>
    <col min="257" max="257" width="15.5" style="3145" customWidth="1"/>
    <col min="258" max="258" width="16.125" style="3145" customWidth="1"/>
    <col min="259" max="259" width="16.375" style="3145" customWidth="1"/>
    <col min="260" max="260" width="42.875" style="3145" customWidth="1"/>
    <col min="261" max="261" width="8.25" style="3145"/>
    <col min="262" max="262" width="13.125" style="3145" customWidth="1"/>
    <col min="263" max="263" width="13.875" style="3145" customWidth="1"/>
    <col min="264" max="264" width="17.375" style="3145" customWidth="1"/>
    <col min="265" max="512" width="8.25" style="3145"/>
    <col min="513" max="513" width="15.5" style="3145" customWidth="1"/>
    <col min="514" max="514" width="16.125" style="3145" customWidth="1"/>
    <col min="515" max="515" width="16.375" style="3145" customWidth="1"/>
    <col min="516" max="516" width="42.875" style="3145" customWidth="1"/>
    <col min="517" max="517" width="8.25" style="3145"/>
    <col min="518" max="518" width="13.125" style="3145" customWidth="1"/>
    <col min="519" max="519" width="13.875" style="3145" customWidth="1"/>
    <col min="520" max="520" width="17.375" style="3145" customWidth="1"/>
    <col min="521" max="768" width="8.25" style="3145"/>
    <col min="769" max="769" width="15.5" style="3145" customWidth="1"/>
    <col min="770" max="770" width="16.125" style="3145" customWidth="1"/>
    <col min="771" max="771" width="16.375" style="3145" customWidth="1"/>
    <col min="772" max="772" width="42.875" style="3145" customWidth="1"/>
    <col min="773" max="773" width="8.25" style="3145"/>
    <col min="774" max="774" width="13.125" style="3145" customWidth="1"/>
    <col min="775" max="775" width="13.875" style="3145" customWidth="1"/>
    <col min="776" max="776" width="17.375" style="3145" customWidth="1"/>
    <col min="777" max="1024" width="8.25" style="3145"/>
    <col min="1025" max="1025" width="15.5" style="3145" customWidth="1"/>
    <col min="1026" max="1026" width="16.125" style="3145" customWidth="1"/>
    <col min="1027" max="1027" width="16.375" style="3145" customWidth="1"/>
    <col min="1028" max="1028" width="42.875" style="3145" customWidth="1"/>
    <col min="1029" max="1029" width="8.25" style="3145"/>
    <col min="1030" max="1030" width="13.125" style="3145" customWidth="1"/>
    <col min="1031" max="1031" width="13.875" style="3145" customWidth="1"/>
    <col min="1032" max="1032" width="17.375" style="3145" customWidth="1"/>
    <col min="1033" max="1280" width="8.25" style="3145"/>
    <col min="1281" max="1281" width="15.5" style="3145" customWidth="1"/>
    <col min="1282" max="1282" width="16.125" style="3145" customWidth="1"/>
    <col min="1283" max="1283" width="16.375" style="3145" customWidth="1"/>
    <col min="1284" max="1284" width="42.875" style="3145" customWidth="1"/>
    <col min="1285" max="1285" width="8.25" style="3145"/>
    <col min="1286" max="1286" width="13.125" style="3145" customWidth="1"/>
    <col min="1287" max="1287" width="13.875" style="3145" customWidth="1"/>
    <col min="1288" max="1288" width="17.375" style="3145" customWidth="1"/>
    <col min="1289" max="1536" width="8.25" style="3145"/>
    <col min="1537" max="1537" width="15.5" style="3145" customWidth="1"/>
    <col min="1538" max="1538" width="16.125" style="3145" customWidth="1"/>
    <col min="1539" max="1539" width="16.375" style="3145" customWidth="1"/>
    <col min="1540" max="1540" width="42.875" style="3145" customWidth="1"/>
    <col min="1541" max="1541" width="8.25" style="3145"/>
    <col min="1542" max="1542" width="13.125" style="3145" customWidth="1"/>
    <col min="1543" max="1543" width="13.875" style="3145" customWidth="1"/>
    <col min="1544" max="1544" width="17.375" style="3145" customWidth="1"/>
    <col min="1545" max="1792" width="8.25" style="3145"/>
    <col min="1793" max="1793" width="15.5" style="3145" customWidth="1"/>
    <col min="1794" max="1794" width="16.125" style="3145" customWidth="1"/>
    <col min="1795" max="1795" width="16.375" style="3145" customWidth="1"/>
    <col min="1796" max="1796" width="42.875" style="3145" customWidth="1"/>
    <col min="1797" max="1797" width="8.25" style="3145"/>
    <col min="1798" max="1798" width="13.125" style="3145" customWidth="1"/>
    <col min="1799" max="1799" width="13.875" style="3145" customWidth="1"/>
    <col min="1800" max="1800" width="17.375" style="3145" customWidth="1"/>
    <col min="1801" max="2048" width="8.25" style="3145"/>
    <col min="2049" max="2049" width="15.5" style="3145" customWidth="1"/>
    <col min="2050" max="2050" width="16.125" style="3145" customWidth="1"/>
    <col min="2051" max="2051" width="16.375" style="3145" customWidth="1"/>
    <col min="2052" max="2052" width="42.875" style="3145" customWidth="1"/>
    <col min="2053" max="2053" width="8.25" style="3145"/>
    <col min="2054" max="2054" width="13.125" style="3145" customWidth="1"/>
    <col min="2055" max="2055" width="13.875" style="3145" customWidth="1"/>
    <col min="2056" max="2056" width="17.375" style="3145" customWidth="1"/>
    <col min="2057" max="2304" width="8.25" style="3145"/>
    <col min="2305" max="2305" width="15.5" style="3145" customWidth="1"/>
    <col min="2306" max="2306" width="16.125" style="3145" customWidth="1"/>
    <col min="2307" max="2307" width="16.375" style="3145" customWidth="1"/>
    <col min="2308" max="2308" width="42.875" style="3145" customWidth="1"/>
    <col min="2309" max="2309" width="8.25" style="3145"/>
    <col min="2310" max="2310" width="13.125" style="3145" customWidth="1"/>
    <col min="2311" max="2311" width="13.875" style="3145" customWidth="1"/>
    <col min="2312" max="2312" width="17.375" style="3145" customWidth="1"/>
    <col min="2313" max="2560" width="8.25" style="3145"/>
    <col min="2561" max="2561" width="15.5" style="3145" customWidth="1"/>
    <col min="2562" max="2562" width="16.125" style="3145" customWidth="1"/>
    <col min="2563" max="2563" width="16.375" style="3145" customWidth="1"/>
    <col min="2564" max="2564" width="42.875" style="3145" customWidth="1"/>
    <col min="2565" max="2565" width="8.25" style="3145"/>
    <col min="2566" max="2566" width="13.125" style="3145" customWidth="1"/>
    <col min="2567" max="2567" width="13.875" style="3145" customWidth="1"/>
    <col min="2568" max="2568" width="17.375" style="3145" customWidth="1"/>
    <col min="2569" max="2816" width="8.25" style="3145"/>
    <col min="2817" max="2817" width="15.5" style="3145" customWidth="1"/>
    <col min="2818" max="2818" width="16.125" style="3145" customWidth="1"/>
    <col min="2819" max="2819" width="16.375" style="3145" customWidth="1"/>
    <col min="2820" max="2820" width="42.875" style="3145" customWidth="1"/>
    <col min="2821" max="2821" width="8.25" style="3145"/>
    <col min="2822" max="2822" width="13.125" style="3145" customWidth="1"/>
    <col min="2823" max="2823" width="13.875" style="3145" customWidth="1"/>
    <col min="2824" max="2824" width="17.375" style="3145" customWidth="1"/>
    <col min="2825" max="3072" width="8.25" style="3145"/>
    <col min="3073" max="3073" width="15.5" style="3145" customWidth="1"/>
    <col min="3074" max="3074" width="16.125" style="3145" customWidth="1"/>
    <col min="3075" max="3075" width="16.375" style="3145" customWidth="1"/>
    <col min="3076" max="3076" width="42.875" style="3145" customWidth="1"/>
    <col min="3077" max="3077" width="8.25" style="3145"/>
    <col min="3078" max="3078" width="13.125" style="3145" customWidth="1"/>
    <col min="3079" max="3079" width="13.875" style="3145" customWidth="1"/>
    <col min="3080" max="3080" width="17.375" style="3145" customWidth="1"/>
    <col min="3081" max="3328" width="8.25" style="3145"/>
    <col min="3329" max="3329" width="15.5" style="3145" customWidth="1"/>
    <col min="3330" max="3330" width="16.125" style="3145" customWidth="1"/>
    <col min="3331" max="3331" width="16.375" style="3145" customWidth="1"/>
    <col min="3332" max="3332" width="42.875" style="3145" customWidth="1"/>
    <col min="3333" max="3333" width="8.25" style="3145"/>
    <col min="3334" max="3334" width="13.125" style="3145" customWidth="1"/>
    <col min="3335" max="3335" width="13.875" style="3145" customWidth="1"/>
    <col min="3336" max="3336" width="17.375" style="3145" customWidth="1"/>
    <col min="3337" max="3584" width="8.25" style="3145"/>
    <col min="3585" max="3585" width="15.5" style="3145" customWidth="1"/>
    <col min="3586" max="3586" width="16.125" style="3145" customWidth="1"/>
    <col min="3587" max="3587" width="16.375" style="3145" customWidth="1"/>
    <col min="3588" max="3588" width="42.875" style="3145" customWidth="1"/>
    <col min="3589" max="3589" width="8.25" style="3145"/>
    <col min="3590" max="3590" width="13.125" style="3145" customWidth="1"/>
    <col min="3591" max="3591" width="13.875" style="3145" customWidth="1"/>
    <col min="3592" max="3592" width="17.375" style="3145" customWidth="1"/>
    <col min="3593" max="3840" width="8.25" style="3145"/>
    <col min="3841" max="3841" width="15.5" style="3145" customWidth="1"/>
    <col min="3842" max="3842" width="16.125" style="3145" customWidth="1"/>
    <col min="3843" max="3843" width="16.375" style="3145" customWidth="1"/>
    <col min="3844" max="3844" width="42.875" style="3145" customWidth="1"/>
    <col min="3845" max="3845" width="8.25" style="3145"/>
    <col min="3846" max="3846" width="13.125" style="3145" customWidth="1"/>
    <col min="3847" max="3847" width="13.875" style="3145" customWidth="1"/>
    <col min="3848" max="3848" width="17.375" style="3145" customWidth="1"/>
    <col min="3849" max="4096" width="8.25" style="3145"/>
    <col min="4097" max="4097" width="15.5" style="3145" customWidth="1"/>
    <col min="4098" max="4098" width="16.125" style="3145" customWidth="1"/>
    <col min="4099" max="4099" width="16.375" style="3145" customWidth="1"/>
    <col min="4100" max="4100" width="42.875" style="3145" customWidth="1"/>
    <col min="4101" max="4101" width="8.25" style="3145"/>
    <col min="4102" max="4102" width="13.125" style="3145" customWidth="1"/>
    <col min="4103" max="4103" width="13.875" style="3145" customWidth="1"/>
    <col min="4104" max="4104" width="17.375" style="3145" customWidth="1"/>
    <col min="4105" max="4352" width="8.25" style="3145"/>
    <col min="4353" max="4353" width="15.5" style="3145" customWidth="1"/>
    <col min="4354" max="4354" width="16.125" style="3145" customWidth="1"/>
    <col min="4355" max="4355" width="16.375" style="3145" customWidth="1"/>
    <col min="4356" max="4356" width="42.875" style="3145" customWidth="1"/>
    <col min="4357" max="4357" width="8.25" style="3145"/>
    <col min="4358" max="4358" width="13.125" style="3145" customWidth="1"/>
    <col min="4359" max="4359" width="13.875" style="3145" customWidth="1"/>
    <col min="4360" max="4360" width="17.375" style="3145" customWidth="1"/>
    <col min="4361" max="4608" width="8.25" style="3145"/>
    <col min="4609" max="4609" width="15.5" style="3145" customWidth="1"/>
    <col min="4610" max="4610" width="16.125" style="3145" customWidth="1"/>
    <col min="4611" max="4611" width="16.375" style="3145" customWidth="1"/>
    <col min="4612" max="4612" width="42.875" style="3145" customWidth="1"/>
    <col min="4613" max="4613" width="8.25" style="3145"/>
    <col min="4614" max="4614" width="13.125" style="3145" customWidth="1"/>
    <col min="4615" max="4615" width="13.875" style="3145" customWidth="1"/>
    <col min="4616" max="4616" width="17.375" style="3145" customWidth="1"/>
    <col min="4617" max="4864" width="8.25" style="3145"/>
    <col min="4865" max="4865" width="15.5" style="3145" customWidth="1"/>
    <col min="4866" max="4866" width="16.125" style="3145" customWidth="1"/>
    <col min="4867" max="4867" width="16.375" style="3145" customWidth="1"/>
    <col min="4868" max="4868" width="42.875" style="3145" customWidth="1"/>
    <col min="4869" max="4869" width="8.25" style="3145"/>
    <col min="4870" max="4870" width="13.125" style="3145" customWidth="1"/>
    <col min="4871" max="4871" width="13.875" style="3145" customWidth="1"/>
    <col min="4872" max="4872" width="17.375" style="3145" customWidth="1"/>
    <col min="4873" max="5120" width="8.25" style="3145"/>
    <col min="5121" max="5121" width="15.5" style="3145" customWidth="1"/>
    <col min="5122" max="5122" width="16.125" style="3145" customWidth="1"/>
    <col min="5123" max="5123" width="16.375" style="3145" customWidth="1"/>
    <col min="5124" max="5124" width="42.875" style="3145" customWidth="1"/>
    <col min="5125" max="5125" width="8.25" style="3145"/>
    <col min="5126" max="5126" width="13.125" style="3145" customWidth="1"/>
    <col min="5127" max="5127" width="13.875" style="3145" customWidth="1"/>
    <col min="5128" max="5128" width="17.375" style="3145" customWidth="1"/>
    <col min="5129" max="5376" width="8.25" style="3145"/>
    <col min="5377" max="5377" width="15.5" style="3145" customWidth="1"/>
    <col min="5378" max="5378" width="16.125" style="3145" customWidth="1"/>
    <col min="5379" max="5379" width="16.375" style="3145" customWidth="1"/>
    <col min="5380" max="5380" width="42.875" style="3145" customWidth="1"/>
    <col min="5381" max="5381" width="8.25" style="3145"/>
    <col min="5382" max="5382" width="13.125" style="3145" customWidth="1"/>
    <col min="5383" max="5383" width="13.875" style="3145" customWidth="1"/>
    <col min="5384" max="5384" width="17.375" style="3145" customWidth="1"/>
    <col min="5385" max="5632" width="8.25" style="3145"/>
    <col min="5633" max="5633" width="15.5" style="3145" customWidth="1"/>
    <col min="5634" max="5634" width="16.125" style="3145" customWidth="1"/>
    <col min="5635" max="5635" width="16.375" style="3145" customWidth="1"/>
    <col min="5636" max="5636" width="42.875" style="3145" customWidth="1"/>
    <col min="5637" max="5637" width="8.25" style="3145"/>
    <col min="5638" max="5638" width="13.125" style="3145" customWidth="1"/>
    <col min="5639" max="5639" width="13.875" style="3145" customWidth="1"/>
    <col min="5640" max="5640" width="17.375" style="3145" customWidth="1"/>
    <col min="5641" max="5888" width="8.25" style="3145"/>
    <col min="5889" max="5889" width="15.5" style="3145" customWidth="1"/>
    <col min="5890" max="5890" width="16.125" style="3145" customWidth="1"/>
    <col min="5891" max="5891" width="16.375" style="3145" customWidth="1"/>
    <col min="5892" max="5892" width="42.875" style="3145" customWidth="1"/>
    <col min="5893" max="5893" width="8.25" style="3145"/>
    <col min="5894" max="5894" width="13.125" style="3145" customWidth="1"/>
    <col min="5895" max="5895" width="13.875" style="3145" customWidth="1"/>
    <col min="5896" max="5896" width="17.375" style="3145" customWidth="1"/>
    <col min="5897" max="6144" width="8.25" style="3145"/>
    <col min="6145" max="6145" width="15.5" style="3145" customWidth="1"/>
    <col min="6146" max="6146" width="16.125" style="3145" customWidth="1"/>
    <col min="6147" max="6147" width="16.375" style="3145" customWidth="1"/>
    <col min="6148" max="6148" width="42.875" style="3145" customWidth="1"/>
    <col min="6149" max="6149" width="8.25" style="3145"/>
    <col min="6150" max="6150" width="13.125" style="3145" customWidth="1"/>
    <col min="6151" max="6151" width="13.875" style="3145" customWidth="1"/>
    <col min="6152" max="6152" width="17.375" style="3145" customWidth="1"/>
    <col min="6153" max="6400" width="8.25" style="3145"/>
    <col min="6401" max="6401" width="15.5" style="3145" customWidth="1"/>
    <col min="6402" max="6402" width="16.125" style="3145" customWidth="1"/>
    <col min="6403" max="6403" width="16.375" style="3145" customWidth="1"/>
    <col min="6404" max="6404" width="42.875" style="3145" customWidth="1"/>
    <col min="6405" max="6405" width="8.25" style="3145"/>
    <col min="6406" max="6406" width="13.125" style="3145" customWidth="1"/>
    <col min="6407" max="6407" width="13.875" style="3145" customWidth="1"/>
    <col min="6408" max="6408" width="17.375" style="3145" customWidth="1"/>
    <col min="6409" max="6656" width="8.25" style="3145"/>
    <col min="6657" max="6657" width="15.5" style="3145" customWidth="1"/>
    <col min="6658" max="6658" width="16.125" style="3145" customWidth="1"/>
    <col min="6659" max="6659" width="16.375" style="3145" customWidth="1"/>
    <col min="6660" max="6660" width="42.875" style="3145" customWidth="1"/>
    <col min="6661" max="6661" width="8.25" style="3145"/>
    <col min="6662" max="6662" width="13.125" style="3145" customWidth="1"/>
    <col min="6663" max="6663" width="13.875" style="3145" customWidth="1"/>
    <col min="6664" max="6664" width="17.375" style="3145" customWidth="1"/>
    <col min="6665" max="6912" width="8.25" style="3145"/>
    <col min="6913" max="6913" width="15.5" style="3145" customWidth="1"/>
    <col min="6914" max="6914" width="16.125" style="3145" customWidth="1"/>
    <col min="6915" max="6915" width="16.375" style="3145" customWidth="1"/>
    <col min="6916" max="6916" width="42.875" style="3145" customWidth="1"/>
    <col min="6917" max="6917" width="8.25" style="3145"/>
    <col min="6918" max="6918" width="13.125" style="3145" customWidth="1"/>
    <col min="6919" max="6919" width="13.875" style="3145" customWidth="1"/>
    <col min="6920" max="6920" width="17.375" style="3145" customWidth="1"/>
    <col min="6921" max="7168" width="8.25" style="3145"/>
    <col min="7169" max="7169" width="15.5" style="3145" customWidth="1"/>
    <col min="7170" max="7170" width="16.125" style="3145" customWidth="1"/>
    <col min="7171" max="7171" width="16.375" style="3145" customWidth="1"/>
    <col min="7172" max="7172" width="42.875" style="3145" customWidth="1"/>
    <col min="7173" max="7173" width="8.25" style="3145"/>
    <col min="7174" max="7174" width="13.125" style="3145" customWidth="1"/>
    <col min="7175" max="7175" width="13.875" style="3145" customWidth="1"/>
    <col min="7176" max="7176" width="17.375" style="3145" customWidth="1"/>
    <col min="7177" max="7424" width="8.25" style="3145"/>
    <col min="7425" max="7425" width="15.5" style="3145" customWidth="1"/>
    <col min="7426" max="7426" width="16.125" style="3145" customWidth="1"/>
    <col min="7427" max="7427" width="16.375" style="3145" customWidth="1"/>
    <col min="7428" max="7428" width="42.875" style="3145" customWidth="1"/>
    <col min="7429" max="7429" width="8.25" style="3145"/>
    <col min="7430" max="7430" width="13.125" style="3145" customWidth="1"/>
    <col min="7431" max="7431" width="13.875" style="3145" customWidth="1"/>
    <col min="7432" max="7432" width="17.375" style="3145" customWidth="1"/>
    <col min="7433" max="7680" width="8.25" style="3145"/>
    <col min="7681" max="7681" width="15.5" style="3145" customWidth="1"/>
    <col min="7682" max="7682" width="16.125" style="3145" customWidth="1"/>
    <col min="7683" max="7683" width="16.375" style="3145" customWidth="1"/>
    <col min="7684" max="7684" width="42.875" style="3145" customWidth="1"/>
    <col min="7685" max="7685" width="8.25" style="3145"/>
    <col min="7686" max="7686" width="13.125" style="3145" customWidth="1"/>
    <col min="7687" max="7687" width="13.875" style="3145" customWidth="1"/>
    <col min="7688" max="7688" width="17.375" style="3145" customWidth="1"/>
    <col min="7689" max="7936" width="8.25" style="3145"/>
    <col min="7937" max="7937" width="15.5" style="3145" customWidth="1"/>
    <col min="7938" max="7938" width="16.125" style="3145" customWidth="1"/>
    <col min="7939" max="7939" width="16.375" style="3145" customWidth="1"/>
    <col min="7940" max="7940" width="42.875" style="3145" customWidth="1"/>
    <col min="7941" max="7941" width="8.25" style="3145"/>
    <col min="7942" max="7942" width="13.125" style="3145" customWidth="1"/>
    <col min="7943" max="7943" width="13.875" style="3145" customWidth="1"/>
    <col min="7944" max="7944" width="17.375" style="3145" customWidth="1"/>
    <col min="7945" max="8192" width="8.25" style="3145"/>
    <col min="8193" max="8193" width="15.5" style="3145" customWidth="1"/>
    <col min="8194" max="8194" width="16.125" style="3145" customWidth="1"/>
    <col min="8195" max="8195" width="16.375" style="3145" customWidth="1"/>
    <col min="8196" max="8196" width="42.875" style="3145" customWidth="1"/>
    <col min="8197" max="8197" width="8.25" style="3145"/>
    <col min="8198" max="8198" width="13.125" style="3145" customWidth="1"/>
    <col min="8199" max="8199" width="13.875" style="3145" customWidth="1"/>
    <col min="8200" max="8200" width="17.375" style="3145" customWidth="1"/>
    <col min="8201" max="8448" width="8.25" style="3145"/>
    <col min="8449" max="8449" width="15.5" style="3145" customWidth="1"/>
    <col min="8450" max="8450" width="16.125" style="3145" customWidth="1"/>
    <col min="8451" max="8451" width="16.375" style="3145" customWidth="1"/>
    <col min="8452" max="8452" width="42.875" style="3145" customWidth="1"/>
    <col min="8453" max="8453" width="8.25" style="3145"/>
    <col min="8454" max="8454" width="13.125" style="3145" customWidth="1"/>
    <col min="8455" max="8455" width="13.875" style="3145" customWidth="1"/>
    <col min="8456" max="8456" width="17.375" style="3145" customWidth="1"/>
    <col min="8457" max="8704" width="8.25" style="3145"/>
    <col min="8705" max="8705" width="15.5" style="3145" customWidth="1"/>
    <col min="8706" max="8706" width="16.125" style="3145" customWidth="1"/>
    <col min="8707" max="8707" width="16.375" style="3145" customWidth="1"/>
    <col min="8708" max="8708" width="42.875" style="3145" customWidth="1"/>
    <col min="8709" max="8709" width="8.25" style="3145"/>
    <col min="8710" max="8710" width="13.125" style="3145" customWidth="1"/>
    <col min="8711" max="8711" width="13.875" style="3145" customWidth="1"/>
    <col min="8712" max="8712" width="17.375" style="3145" customWidth="1"/>
    <col min="8713" max="8960" width="8.25" style="3145"/>
    <col min="8961" max="8961" width="15.5" style="3145" customWidth="1"/>
    <col min="8962" max="8962" width="16.125" style="3145" customWidth="1"/>
    <col min="8963" max="8963" width="16.375" style="3145" customWidth="1"/>
    <col min="8964" max="8964" width="42.875" style="3145" customWidth="1"/>
    <col min="8965" max="8965" width="8.25" style="3145"/>
    <col min="8966" max="8966" width="13.125" style="3145" customWidth="1"/>
    <col min="8967" max="8967" width="13.875" style="3145" customWidth="1"/>
    <col min="8968" max="8968" width="17.375" style="3145" customWidth="1"/>
    <col min="8969" max="9216" width="8.25" style="3145"/>
    <col min="9217" max="9217" width="15.5" style="3145" customWidth="1"/>
    <col min="9218" max="9218" width="16.125" style="3145" customWidth="1"/>
    <col min="9219" max="9219" width="16.375" style="3145" customWidth="1"/>
    <col min="9220" max="9220" width="42.875" style="3145" customWidth="1"/>
    <col min="9221" max="9221" width="8.25" style="3145"/>
    <col min="9222" max="9222" width="13.125" style="3145" customWidth="1"/>
    <col min="9223" max="9223" width="13.875" style="3145" customWidth="1"/>
    <col min="9224" max="9224" width="17.375" style="3145" customWidth="1"/>
    <col min="9225" max="9472" width="8.25" style="3145"/>
    <col min="9473" max="9473" width="15.5" style="3145" customWidth="1"/>
    <col min="9474" max="9474" width="16.125" style="3145" customWidth="1"/>
    <col min="9475" max="9475" width="16.375" style="3145" customWidth="1"/>
    <col min="9476" max="9476" width="42.875" style="3145" customWidth="1"/>
    <col min="9477" max="9477" width="8.25" style="3145"/>
    <col min="9478" max="9478" width="13.125" style="3145" customWidth="1"/>
    <col min="9479" max="9479" width="13.875" style="3145" customWidth="1"/>
    <col min="9480" max="9480" width="17.375" style="3145" customWidth="1"/>
    <col min="9481" max="9728" width="8.25" style="3145"/>
    <col min="9729" max="9729" width="15.5" style="3145" customWidth="1"/>
    <col min="9730" max="9730" width="16.125" style="3145" customWidth="1"/>
    <col min="9731" max="9731" width="16.375" style="3145" customWidth="1"/>
    <col min="9732" max="9732" width="42.875" style="3145" customWidth="1"/>
    <col min="9733" max="9733" width="8.25" style="3145"/>
    <col min="9734" max="9734" width="13.125" style="3145" customWidth="1"/>
    <col min="9735" max="9735" width="13.875" style="3145" customWidth="1"/>
    <col min="9736" max="9736" width="17.375" style="3145" customWidth="1"/>
    <col min="9737" max="9984" width="8.25" style="3145"/>
    <col min="9985" max="9985" width="15.5" style="3145" customWidth="1"/>
    <col min="9986" max="9986" width="16.125" style="3145" customWidth="1"/>
    <col min="9987" max="9987" width="16.375" style="3145" customWidth="1"/>
    <col min="9988" max="9988" width="42.875" style="3145" customWidth="1"/>
    <col min="9989" max="9989" width="8.25" style="3145"/>
    <col min="9990" max="9990" width="13.125" style="3145" customWidth="1"/>
    <col min="9991" max="9991" width="13.875" style="3145" customWidth="1"/>
    <col min="9992" max="9992" width="17.375" style="3145" customWidth="1"/>
    <col min="9993" max="10240" width="8.25" style="3145"/>
    <col min="10241" max="10241" width="15.5" style="3145" customWidth="1"/>
    <col min="10242" max="10242" width="16.125" style="3145" customWidth="1"/>
    <col min="10243" max="10243" width="16.375" style="3145" customWidth="1"/>
    <col min="10244" max="10244" width="42.875" style="3145" customWidth="1"/>
    <col min="10245" max="10245" width="8.25" style="3145"/>
    <col min="10246" max="10246" width="13.125" style="3145" customWidth="1"/>
    <col min="10247" max="10247" width="13.875" style="3145" customWidth="1"/>
    <col min="10248" max="10248" width="17.375" style="3145" customWidth="1"/>
    <col min="10249" max="10496" width="8.25" style="3145"/>
    <col min="10497" max="10497" width="15.5" style="3145" customWidth="1"/>
    <col min="10498" max="10498" width="16.125" style="3145" customWidth="1"/>
    <col min="10499" max="10499" width="16.375" style="3145" customWidth="1"/>
    <col min="10500" max="10500" width="42.875" style="3145" customWidth="1"/>
    <col min="10501" max="10501" width="8.25" style="3145"/>
    <col min="10502" max="10502" width="13.125" style="3145" customWidth="1"/>
    <col min="10503" max="10503" width="13.875" style="3145" customWidth="1"/>
    <col min="10504" max="10504" width="17.375" style="3145" customWidth="1"/>
    <col min="10505" max="10752" width="8.25" style="3145"/>
    <col min="10753" max="10753" width="15.5" style="3145" customWidth="1"/>
    <col min="10754" max="10754" width="16.125" style="3145" customWidth="1"/>
    <col min="10755" max="10755" width="16.375" style="3145" customWidth="1"/>
    <col min="10756" max="10756" width="42.875" style="3145" customWidth="1"/>
    <col min="10757" max="10757" width="8.25" style="3145"/>
    <col min="10758" max="10758" width="13.125" style="3145" customWidth="1"/>
    <col min="10759" max="10759" width="13.875" style="3145" customWidth="1"/>
    <col min="10760" max="10760" width="17.375" style="3145" customWidth="1"/>
    <col min="10761" max="11008" width="8.25" style="3145"/>
    <col min="11009" max="11009" width="15.5" style="3145" customWidth="1"/>
    <col min="11010" max="11010" width="16.125" style="3145" customWidth="1"/>
    <col min="11011" max="11011" width="16.375" style="3145" customWidth="1"/>
    <col min="11012" max="11012" width="42.875" style="3145" customWidth="1"/>
    <col min="11013" max="11013" width="8.25" style="3145"/>
    <col min="11014" max="11014" width="13.125" style="3145" customWidth="1"/>
    <col min="11015" max="11015" width="13.875" style="3145" customWidth="1"/>
    <col min="11016" max="11016" width="17.375" style="3145" customWidth="1"/>
    <col min="11017" max="11264" width="8.25" style="3145"/>
    <col min="11265" max="11265" width="15.5" style="3145" customWidth="1"/>
    <col min="11266" max="11266" width="16.125" style="3145" customWidth="1"/>
    <col min="11267" max="11267" width="16.375" style="3145" customWidth="1"/>
    <col min="11268" max="11268" width="42.875" style="3145" customWidth="1"/>
    <col min="11269" max="11269" width="8.25" style="3145"/>
    <col min="11270" max="11270" width="13.125" style="3145" customWidth="1"/>
    <col min="11271" max="11271" width="13.875" style="3145" customWidth="1"/>
    <col min="11272" max="11272" width="17.375" style="3145" customWidth="1"/>
    <col min="11273" max="11520" width="8.25" style="3145"/>
    <col min="11521" max="11521" width="15.5" style="3145" customWidth="1"/>
    <col min="11522" max="11522" width="16.125" style="3145" customWidth="1"/>
    <col min="11523" max="11523" width="16.375" style="3145" customWidth="1"/>
    <col min="11524" max="11524" width="42.875" style="3145" customWidth="1"/>
    <col min="11525" max="11525" width="8.25" style="3145"/>
    <col min="11526" max="11526" width="13.125" style="3145" customWidth="1"/>
    <col min="11527" max="11527" width="13.875" style="3145" customWidth="1"/>
    <col min="11528" max="11528" width="17.375" style="3145" customWidth="1"/>
    <col min="11529" max="11776" width="8.25" style="3145"/>
    <col min="11777" max="11777" width="15.5" style="3145" customWidth="1"/>
    <col min="11778" max="11778" width="16.125" style="3145" customWidth="1"/>
    <col min="11779" max="11779" width="16.375" style="3145" customWidth="1"/>
    <col min="11780" max="11780" width="42.875" style="3145" customWidth="1"/>
    <col min="11781" max="11781" width="8.25" style="3145"/>
    <col min="11782" max="11782" width="13.125" style="3145" customWidth="1"/>
    <col min="11783" max="11783" width="13.875" style="3145" customWidth="1"/>
    <col min="11784" max="11784" width="17.375" style="3145" customWidth="1"/>
    <col min="11785" max="12032" width="8.25" style="3145"/>
    <col min="12033" max="12033" width="15.5" style="3145" customWidth="1"/>
    <col min="12034" max="12034" width="16.125" style="3145" customWidth="1"/>
    <col min="12035" max="12035" width="16.375" style="3145" customWidth="1"/>
    <col min="12036" max="12036" width="42.875" style="3145" customWidth="1"/>
    <col min="12037" max="12037" width="8.25" style="3145"/>
    <col min="12038" max="12038" width="13.125" style="3145" customWidth="1"/>
    <col min="12039" max="12039" width="13.875" style="3145" customWidth="1"/>
    <col min="12040" max="12040" width="17.375" style="3145" customWidth="1"/>
    <col min="12041" max="12288" width="8.25" style="3145"/>
    <col min="12289" max="12289" width="15.5" style="3145" customWidth="1"/>
    <col min="12290" max="12290" width="16.125" style="3145" customWidth="1"/>
    <col min="12291" max="12291" width="16.375" style="3145" customWidth="1"/>
    <col min="12292" max="12292" width="42.875" style="3145" customWidth="1"/>
    <col min="12293" max="12293" width="8.25" style="3145"/>
    <col min="12294" max="12294" width="13.125" style="3145" customWidth="1"/>
    <col min="12295" max="12295" width="13.875" style="3145" customWidth="1"/>
    <col min="12296" max="12296" width="17.375" style="3145" customWidth="1"/>
    <col min="12297" max="12544" width="8.25" style="3145"/>
    <col min="12545" max="12545" width="15.5" style="3145" customWidth="1"/>
    <col min="12546" max="12546" width="16.125" style="3145" customWidth="1"/>
    <col min="12547" max="12547" width="16.375" style="3145" customWidth="1"/>
    <col min="12548" max="12548" width="42.875" style="3145" customWidth="1"/>
    <col min="12549" max="12549" width="8.25" style="3145"/>
    <col min="12550" max="12550" width="13.125" style="3145" customWidth="1"/>
    <col min="12551" max="12551" width="13.875" style="3145" customWidth="1"/>
    <col min="12552" max="12552" width="17.375" style="3145" customWidth="1"/>
    <col min="12553" max="12800" width="8.25" style="3145"/>
    <col min="12801" max="12801" width="15.5" style="3145" customWidth="1"/>
    <col min="12802" max="12802" width="16.125" style="3145" customWidth="1"/>
    <col min="12803" max="12803" width="16.375" style="3145" customWidth="1"/>
    <col min="12804" max="12804" width="42.875" style="3145" customWidth="1"/>
    <col min="12805" max="12805" width="8.25" style="3145"/>
    <col min="12806" max="12806" width="13.125" style="3145" customWidth="1"/>
    <col min="12807" max="12807" width="13.875" style="3145" customWidth="1"/>
    <col min="12808" max="12808" width="17.375" style="3145" customWidth="1"/>
    <col min="12809" max="13056" width="8.25" style="3145"/>
    <col min="13057" max="13057" width="15.5" style="3145" customWidth="1"/>
    <col min="13058" max="13058" width="16.125" style="3145" customWidth="1"/>
    <col min="13059" max="13059" width="16.375" style="3145" customWidth="1"/>
    <col min="13060" max="13060" width="42.875" style="3145" customWidth="1"/>
    <col min="13061" max="13061" width="8.25" style="3145"/>
    <col min="13062" max="13062" width="13.125" style="3145" customWidth="1"/>
    <col min="13063" max="13063" width="13.875" style="3145" customWidth="1"/>
    <col min="13064" max="13064" width="17.375" style="3145" customWidth="1"/>
    <col min="13065" max="13312" width="8.25" style="3145"/>
    <col min="13313" max="13313" width="15.5" style="3145" customWidth="1"/>
    <col min="13314" max="13314" width="16.125" style="3145" customWidth="1"/>
    <col min="13315" max="13315" width="16.375" style="3145" customWidth="1"/>
    <col min="13316" max="13316" width="42.875" style="3145" customWidth="1"/>
    <col min="13317" max="13317" width="8.25" style="3145"/>
    <col min="13318" max="13318" width="13.125" style="3145" customWidth="1"/>
    <col min="13319" max="13319" width="13.875" style="3145" customWidth="1"/>
    <col min="13320" max="13320" width="17.375" style="3145" customWidth="1"/>
    <col min="13321" max="13568" width="8.25" style="3145"/>
    <col min="13569" max="13569" width="15.5" style="3145" customWidth="1"/>
    <col min="13570" max="13570" width="16.125" style="3145" customWidth="1"/>
    <col min="13571" max="13571" width="16.375" style="3145" customWidth="1"/>
    <col min="13572" max="13572" width="42.875" style="3145" customWidth="1"/>
    <col min="13573" max="13573" width="8.25" style="3145"/>
    <col min="13574" max="13574" width="13.125" style="3145" customWidth="1"/>
    <col min="13575" max="13575" width="13.875" style="3145" customWidth="1"/>
    <col min="13576" max="13576" width="17.375" style="3145" customWidth="1"/>
    <col min="13577" max="13824" width="8.25" style="3145"/>
    <col min="13825" max="13825" width="15.5" style="3145" customWidth="1"/>
    <col min="13826" max="13826" width="16.125" style="3145" customWidth="1"/>
    <col min="13827" max="13827" width="16.375" style="3145" customWidth="1"/>
    <col min="13828" max="13828" width="42.875" style="3145" customWidth="1"/>
    <col min="13829" max="13829" width="8.25" style="3145"/>
    <col min="13830" max="13830" width="13.125" style="3145" customWidth="1"/>
    <col min="13831" max="13831" width="13.875" style="3145" customWidth="1"/>
    <col min="13832" max="13832" width="17.375" style="3145" customWidth="1"/>
    <col min="13833" max="14080" width="8.25" style="3145"/>
    <col min="14081" max="14081" width="15.5" style="3145" customWidth="1"/>
    <col min="14082" max="14082" width="16.125" style="3145" customWidth="1"/>
    <col min="14083" max="14083" width="16.375" style="3145" customWidth="1"/>
    <col min="14084" max="14084" width="42.875" style="3145" customWidth="1"/>
    <col min="14085" max="14085" width="8.25" style="3145"/>
    <col min="14086" max="14086" width="13.125" style="3145" customWidth="1"/>
    <col min="14087" max="14087" width="13.875" style="3145" customWidth="1"/>
    <col min="14088" max="14088" width="17.375" style="3145" customWidth="1"/>
    <col min="14089" max="14336" width="8.25" style="3145"/>
    <col min="14337" max="14337" width="15.5" style="3145" customWidth="1"/>
    <col min="14338" max="14338" width="16.125" style="3145" customWidth="1"/>
    <col min="14339" max="14339" width="16.375" style="3145" customWidth="1"/>
    <col min="14340" max="14340" width="42.875" style="3145" customWidth="1"/>
    <col min="14341" max="14341" width="8.25" style="3145"/>
    <col min="14342" max="14342" width="13.125" style="3145" customWidth="1"/>
    <col min="14343" max="14343" width="13.875" style="3145" customWidth="1"/>
    <col min="14344" max="14344" width="17.375" style="3145" customWidth="1"/>
    <col min="14345" max="14592" width="8.25" style="3145"/>
    <col min="14593" max="14593" width="15.5" style="3145" customWidth="1"/>
    <col min="14594" max="14594" width="16.125" style="3145" customWidth="1"/>
    <col min="14595" max="14595" width="16.375" style="3145" customWidth="1"/>
    <col min="14596" max="14596" width="42.875" style="3145" customWidth="1"/>
    <col min="14597" max="14597" width="8.25" style="3145"/>
    <col min="14598" max="14598" width="13.125" style="3145" customWidth="1"/>
    <col min="14599" max="14599" width="13.875" style="3145" customWidth="1"/>
    <col min="14600" max="14600" width="17.375" style="3145" customWidth="1"/>
    <col min="14601" max="14848" width="8.25" style="3145"/>
    <col min="14849" max="14849" width="15.5" style="3145" customWidth="1"/>
    <col min="14850" max="14850" width="16.125" style="3145" customWidth="1"/>
    <col min="14851" max="14851" width="16.375" style="3145" customWidth="1"/>
    <col min="14852" max="14852" width="42.875" style="3145" customWidth="1"/>
    <col min="14853" max="14853" width="8.25" style="3145"/>
    <col min="14854" max="14854" width="13.125" style="3145" customWidth="1"/>
    <col min="14855" max="14855" width="13.875" style="3145" customWidth="1"/>
    <col min="14856" max="14856" width="17.375" style="3145" customWidth="1"/>
    <col min="14857" max="15104" width="8.25" style="3145"/>
    <col min="15105" max="15105" width="15.5" style="3145" customWidth="1"/>
    <col min="15106" max="15106" width="16.125" style="3145" customWidth="1"/>
    <col min="15107" max="15107" width="16.375" style="3145" customWidth="1"/>
    <col min="15108" max="15108" width="42.875" style="3145" customWidth="1"/>
    <col min="15109" max="15109" width="8.25" style="3145"/>
    <col min="15110" max="15110" width="13.125" style="3145" customWidth="1"/>
    <col min="15111" max="15111" width="13.875" style="3145" customWidth="1"/>
    <col min="15112" max="15112" width="17.375" style="3145" customWidth="1"/>
    <col min="15113" max="15360" width="8.25" style="3145"/>
    <col min="15361" max="15361" width="15.5" style="3145" customWidth="1"/>
    <col min="15362" max="15362" width="16.125" style="3145" customWidth="1"/>
    <col min="15363" max="15363" width="16.375" style="3145" customWidth="1"/>
    <col min="15364" max="15364" width="42.875" style="3145" customWidth="1"/>
    <col min="15365" max="15365" width="8.25" style="3145"/>
    <col min="15366" max="15366" width="13.125" style="3145" customWidth="1"/>
    <col min="15367" max="15367" width="13.875" style="3145" customWidth="1"/>
    <col min="15368" max="15368" width="17.375" style="3145" customWidth="1"/>
    <col min="15369" max="15616" width="8.25" style="3145"/>
    <col min="15617" max="15617" width="15.5" style="3145" customWidth="1"/>
    <col min="15618" max="15618" width="16.125" style="3145" customWidth="1"/>
    <col min="15619" max="15619" width="16.375" style="3145" customWidth="1"/>
    <col min="15620" max="15620" width="42.875" style="3145" customWidth="1"/>
    <col min="15621" max="15621" width="8.25" style="3145"/>
    <col min="15622" max="15622" width="13.125" style="3145" customWidth="1"/>
    <col min="15623" max="15623" width="13.875" style="3145" customWidth="1"/>
    <col min="15624" max="15624" width="17.375" style="3145" customWidth="1"/>
    <col min="15625" max="15872" width="8.25" style="3145"/>
    <col min="15873" max="15873" width="15.5" style="3145" customWidth="1"/>
    <col min="15874" max="15874" width="16.125" style="3145" customWidth="1"/>
    <col min="15875" max="15875" width="16.375" style="3145" customWidth="1"/>
    <col min="15876" max="15876" width="42.875" style="3145" customWidth="1"/>
    <col min="15877" max="15877" width="8.25" style="3145"/>
    <col min="15878" max="15878" width="13.125" style="3145" customWidth="1"/>
    <col min="15879" max="15879" width="13.875" style="3145" customWidth="1"/>
    <col min="15880" max="15880" width="17.375" style="3145" customWidth="1"/>
    <col min="15881" max="16128" width="8.25" style="3145"/>
    <col min="16129" max="16129" width="15.5" style="3145" customWidth="1"/>
    <col min="16130" max="16130" width="16.125" style="3145" customWidth="1"/>
    <col min="16131" max="16131" width="16.375" style="3145" customWidth="1"/>
    <col min="16132" max="16132" width="42.875" style="3145" customWidth="1"/>
    <col min="16133" max="16133" width="8.25" style="3145"/>
    <col min="16134" max="16134" width="13.125" style="3145" customWidth="1"/>
    <col min="16135" max="16135" width="13.875" style="3145" customWidth="1"/>
    <col min="16136" max="16136" width="17.375" style="3145" customWidth="1"/>
    <col min="16137" max="16384" width="8.25" style="3145"/>
  </cols>
  <sheetData>
    <row r="1" spans="1:23">
      <c r="A1" s="4016"/>
      <c r="B1" s="4016"/>
      <c r="C1" s="4016"/>
      <c r="D1" s="4016"/>
    </row>
    <row r="2" spans="1:23">
      <c r="A2" s="3146" t="s">
        <v>3394</v>
      </c>
      <c r="B2" s="3146"/>
      <c r="C2" s="3146"/>
      <c r="D2" s="3145" t="s">
        <v>3395</v>
      </c>
      <c r="M2" s="3146" t="s">
        <v>3618</v>
      </c>
      <c r="N2" s="3146" t="s">
        <v>3619</v>
      </c>
      <c r="O2" s="3146" t="s">
        <v>3620</v>
      </c>
      <c r="P2" s="3146" t="s">
        <v>3621</v>
      </c>
      <c r="Q2" s="3146" t="s">
        <v>3447</v>
      </c>
      <c r="R2" s="3146" t="s">
        <v>3622</v>
      </c>
      <c r="T2" s="3282" t="s">
        <v>3710</v>
      </c>
      <c r="V2" s="3282" t="s">
        <v>3711</v>
      </c>
    </row>
    <row r="3" spans="1:23">
      <c r="A3" s="4014" t="s">
        <v>3396</v>
      </c>
      <c r="B3" s="4015"/>
      <c r="C3" s="3147">
        <v>45291</v>
      </c>
      <c r="M3" s="3146" t="s">
        <v>3623</v>
      </c>
      <c r="N3" s="3146" t="s">
        <v>3452</v>
      </c>
      <c r="O3" s="3146" t="s">
        <v>3624</v>
      </c>
      <c r="P3" s="3146" t="s">
        <v>21</v>
      </c>
      <c r="Q3" s="3146" t="s">
        <v>673</v>
      </c>
      <c r="R3" s="3146">
        <v>2671.2799999999993</v>
      </c>
      <c r="V3" s="3145">
        <f t="shared" ref="V3:V28" si="0">R3-T3</f>
        <v>2671.2799999999993</v>
      </c>
      <c r="W3" s="3145">
        <f>K25</f>
        <v>7.4</v>
      </c>
    </row>
    <row r="4" spans="1:23">
      <c r="A4" s="4014" t="s">
        <v>3397</v>
      </c>
      <c r="B4" s="4015"/>
      <c r="C4" s="3148">
        <v>56227</v>
      </c>
      <c r="D4" s="3145" t="s">
        <v>3398</v>
      </c>
      <c r="M4" s="3146" t="s">
        <v>3625</v>
      </c>
      <c r="N4" s="3146">
        <v>1</v>
      </c>
      <c r="O4" s="3146" t="s">
        <v>3626</v>
      </c>
      <c r="P4" s="3146" t="s">
        <v>21</v>
      </c>
      <c r="Q4" s="3146" t="s">
        <v>673</v>
      </c>
      <c r="R4" s="3146">
        <v>734.88</v>
      </c>
      <c r="V4" s="3145">
        <f t="shared" si="0"/>
        <v>734.88</v>
      </c>
      <c r="W4" s="3145">
        <f>K26</f>
        <v>9.6999999999999993</v>
      </c>
    </row>
    <row r="5" spans="1:23">
      <c r="A5" s="4014" t="s">
        <v>3399</v>
      </c>
      <c r="B5" s="4015"/>
      <c r="C5" s="3146">
        <v>29.94</v>
      </c>
      <c r="M5" s="3146"/>
      <c r="N5" s="3146" t="s">
        <v>3453</v>
      </c>
      <c r="O5" s="3146" t="s">
        <v>3627</v>
      </c>
      <c r="P5" s="3146" t="s">
        <v>21</v>
      </c>
      <c r="Q5" s="3146" t="s">
        <v>673</v>
      </c>
      <c r="R5" s="3146">
        <v>1863.16</v>
      </c>
      <c r="V5" s="3145">
        <f t="shared" si="0"/>
        <v>1863.16</v>
      </c>
      <c r="W5" s="3145">
        <f>K27</f>
        <v>11.4</v>
      </c>
    </row>
    <row r="6" spans="1:23">
      <c r="A6" s="4014" t="s">
        <v>3400</v>
      </c>
      <c r="B6" s="4015"/>
      <c r="C6" s="3148">
        <v>38918</v>
      </c>
      <c r="D6" s="3145" t="s">
        <v>3401</v>
      </c>
      <c r="F6" s="3149"/>
      <c r="M6" s="3146"/>
      <c r="N6" s="3146">
        <v>3</v>
      </c>
      <c r="O6" s="3146" t="s">
        <v>3628</v>
      </c>
      <c r="P6" s="3146" t="s">
        <v>21</v>
      </c>
      <c r="Q6" s="3146" t="s">
        <v>21</v>
      </c>
      <c r="R6" s="3146">
        <v>1002.32</v>
      </c>
      <c r="V6" s="3145">
        <f t="shared" si="0"/>
        <v>1002.32</v>
      </c>
      <c r="W6" s="3145">
        <f>$K$28</f>
        <v>7.9</v>
      </c>
    </row>
    <row r="7" spans="1:23">
      <c r="A7" s="4014" t="s">
        <v>3402</v>
      </c>
      <c r="B7" s="4015"/>
      <c r="C7" s="3150" t="s">
        <v>3403</v>
      </c>
      <c r="M7" s="3146"/>
      <c r="N7" s="3146">
        <v>4</v>
      </c>
      <c r="O7" s="3146" t="s">
        <v>3629</v>
      </c>
      <c r="P7" s="3146" t="s">
        <v>21</v>
      </c>
      <c r="Q7" s="3146" t="s">
        <v>21</v>
      </c>
      <c r="R7" s="3146">
        <v>1320.97</v>
      </c>
      <c r="T7" s="3145">
        <f>R7</f>
        <v>1320.97</v>
      </c>
      <c r="U7" s="3283">
        <f>租户信息表!M26</f>
        <v>13.906849315068493</v>
      </c>
      <c r="V7" s="3145">
        <f t="shared" si="0"/>
        <v>0</v>
      </c>
      <c r="W7" s="3145">
        <f t="shared" ref="W7:W18" si="1">$K$28</f>
        <v>7.9</v>
      </c>
    </row>
    <row r="8" spans="1:23">
      <c r="A8" s="4014" t="s">
        <v>3404</v>
      </c>
      <c r="B8" s="4015"/>
      <c r="C8" s="3151">
        <v>60</v>
      </c>
      <c r="M8" s="3146"/>
      <c r="N8" s="3146">
        <v>5</v>
      </c>
      <c r="O8" s="3146" t="s">
        <v>3485</v>
      </c>
      <c r="P8" s="3146" t="s">
        <v>21</v>
      </c>
      <c r="Q8" s="3146" t="s">
        <v>21</v>
      </c>
      <c r="R8" s="3146">
        <v>1488.24</v>
      </c>
      <c r="T8" s="3145">
        <f>R8</f>
        <v>1488.24</v>
      </c>
      <c r="U8" s="3283">
        <f>租户信息表!M25</f>
        <v>13.906849315068493</v>
      </c>
      <c r="V8" s="3145">
        <f t="shared" si="0"/>
        <v>0</v>
      </c>
      <c r="W8" s="3145">
        <f t="shared" si="1"/>
        <v>7.9</v>
      </c>
    </row>
    <row r="9" spans="1:23">
      <c r="A9" s="4014" t="s">
        <v>3405</v>
      </c>
      <c r="B9" s="4015"/>
      <c r="C9" s="3146">
        <v>12.61</v>
      </c>
      <c r="M9" s="3146"/>
      <c r="N9" s="3146">
        <v>6</v>
      </c>
      <c r="O9" s="3146" t="s">
        <v>3489</v>
      </c>
      <c r="P9" s="3146" t="s">
        <v>21</v>
      </c>
      <c r="Q9" s="3146" t="s">
        <v>21</v>
      </c>
      <c r="R9" s="3146">
        <v>1435.93</v>
      </c>
      <c r="V9" s="3145">
        <f t="shared" si="0"/>
        <v>1435.93</v>
      </c>
      <c r="W9" s="3145">
        <f t="shared" si="1"/>
        <v>7.9</v>
      </c>
    </row>
    <row r="10" spans="1:23">
      <c r="A10" s="4014" t="s">
        <v>3406</v>
      </c>
      <c r="B10" s="4015"/>
      <c r="C10" s="3277">
        <v>46330.33</v>
      </c>
      <c r="D10" s="3145" t="s">
        <v>3407</v>
      </c>
      <c r="M10" s="3146"/>
      <c r="N10" s="3146">
        <v>7</v>
      </c>
      <c r="O10" s="3146" t="s">
        <v>3493</v>
      </c>
      <c r="P10" s="3146" t="s">
        <v>21</v>
      </c>
      <c r="Q10" s="3146" t="s">
        <v>21</v>
      </c>
      <c r="R10" s="3146">
        <v>1435.93</v>
      </c>
      <c r="T10" s="3145">
        <f>R10</f>
        <v>1435.93</v>
      </c>
      <c r="U10" s="3283">
        <f>租户信息表!M23</f>
        <v>13.906849315068493</v>
      </c>
      <c r="V10" s="3145">
        <f t="shared" si="0"/>
        <v>0</v>
      </c>
      <c r="W10" s="3145">
        <f t="shared" si="1"/>
        <v>7.9</v>
      </c>
    </row>
    <row r="11" spans="1:23" ht="15.75" thickBot="1">
      <c r="A11" s="4014" t="s">
        <v>3408</v>
      </c>
      <c r="B11" s="4015"/>
      <c r="C11" s="3152">
        <v>38139.919999999998</v>
      </c>
      <c r="D11" s="3145" t="s">
        <v>3409</v>
      </c>
      <c r="G11" s="3199">
        <v>45478</v>
      </c>
      <c r="M11" s="3146"/>
      <c r="N11" s="3146">
        <v>8</v>
      </c>
      <c r="O11" s="3146" t="s">
        <v>3496</v>
      </c>
      <c r="P11" s="3146" t="s">
        <v>21</v>
      </c>
      <c r="Q11" s="3146" t="s">
        <v>21</v>
      </c>
      <c r="R11" s="3146">
        <v>1488.24</v>
      </c>
      <c r="V11" s="3145">
        <f t="shared" si="0"/>
        <v>1488.24</v>
      </c>
      <c r="W11" s="3145">
        <f t="shared" si="1"/>
        <v>7.9</v>
      </c>
    </row>
    <row r="12" spans="1:23" ht="15.75" thickTop="1">
      <c r="A12" s="4014" t="s">
        <v>3410</v>
      </c>
      <c r="B12" s="4015"/>
      <c r="C12" s="3152">
        <v>203159971.69439995</v>
      </c>
      <c r="G12" s="3162" t="s">
        <v>3445</v>
      </c>
      <c r="H12" s="4017" t="s">
        <v>3446</v>
      </c>
      <c r="I12" s="4017" t="s">
        <v>3447</v>
      </c>
      <c r="J12" s="4017" t="s">
        <v>3448</v>
      </c>
      <c r="K12" s="4017" t="s">
        <v>3449</v>
      </c>
      <c r="M12" s="3146"/>
      <c r="N12" s="3146">
        <v>9</v>
      </c>
      <c r="O12" s="3146" t="s">
        <v>3500</v>
      </c>
      <c r="P12" s="3146" t="s">
        <v>21</v>
      </c>
      <c r="Q12" s="3146" t="s">
        <v>21</v>
      </c>
      <c r="R12" s="3146">
        <v>1435.93</v>
      </c>
      <c r="T12" s="3145">
        <f>R12</f>
        <v>1435.93</v>
      </c>
      <c r="U12" s="3283">
        <f>租户信息表!M18</f>
        <v>14.761643835616438</v>
      </c>
      <c r="V12" s="3145">
        <f t="shared" si="0"/>
        <v>0</v>
      </c>
      <c r="W12" s="3145">
        <f t="shared" si="1"/>
        <v>7.9</v>
      </c>
    </row>
    <row r="13" spans="1:23">
      <c r="A13" s="4014" t="s">
        <v>3411</v>
      </c>
      <c r="B13" s="4015"/>
      <c r="C13" s="3153">
        <v>0.08</v>
      </c>
      <c r="D13" s="3145" t="s">
        <v>3412</v>
      </c>
      <c r="G13" s="3163" t="s">
        <v>3450</v>
      </c>
      <c r="H13" s="4018"/>
      <c r="I13" s="4018"/>
      <c r="J13" s="4018"/>
      <c r="K13" s="4018"/>
      <c r="M13" s="3146"/>
      <c r="N13" s="3146">
        <v>10</v>
      </c>
      <c r="O13" s="3146" t="s">
        <v>3503</v>
      </c>
      <c r="P13" s="3146" t="s">
        <v>21</v>
      </c>
      <c r="Q13" s="3146" t="s">
        <v>21</v>
      </c>
      <c r="R13" s="3146">
        <v>1435.93</v>
      </c>
      <c r="T13" s="3145">
        <f>R13</f>
        <v>1435.93</v>
      </c>
      <c r="U13" s="3283">
        <f>U12</f>
        <v>14.761643835616438</v>
      </c>
      <c r="V13" s="3145">
        <f t="shared" si="0"/>
        <v>0</v>
      </c>
      <c r="W13" s="3145">
        <f t="shared" si="1"/>
        <v>7.9</v>
      </c>
    </row>
    <row r="14" spans="1:23">
      <c r="A14" s="4014" t="s">
        <v>3413</v>
      </c>
      <c r="B14" s="4015"/>
      <c r="C14" s="3154">
        <v>186907173.95884797</v>
      </c>
      <c r="D14" s="3145" t="s">
        <v>3414</v>
      </c>
      <c r="G14" s="4019" t="s">
        <v>3451</v>
      </c>
      <c r="H14" s="3164" t="s">
        <v>3452</v>
      </c>
      <c r="I14" s="3165" t="s">
        <v>673</v>
      </c>
      <c r="J14" s="3164">
        <v>2671.28</v>
      </c>
      <c r="K14" s="3164">
        <f>ROUND($K$16*L14,1)</f>
        <v>7.4</v>
      </c>
      <c r="L14" s="3145">
        <v>0.65</v>
      </c>
      <c r="M14" s="3146"/>
      <c r="N14" s="3146">
        <v>11</v>
      </c>
      <c r="O14" s="3146" t="s">
        <v>3507</v>
      </c>
      <c r="P14" s="3146" t="s">
        <v>21</v>
      </c>
      <c r="Q14" s="3146" t="s">
        <v>21</v>
      </c>
      <c r="R14" s="3146">
        <v>1488.24</v>
      </c>
      <c r="T14" s="3145">
        <f>R14</f>
        <v>1488.24</v>
      </c>
      <c r="U14" s="3283">
        <f>U13</f>
        <v>14.761643835616438</v>
      </c>
      <c r="V14" s="3145">
        <f t="shared" si="0"/>
        <v>0</v>
      </c>
      <c r="W14" s="3145">
        <f t="shared" si="1"/>
        <v>7.9</v>
      </c>
    </row>
    <row r="15" spans="1:23">
      <c r="A15" s="4014" t="s">
        <v>3415</v>
      </c>
      <c r="B15" s="4015"/>
      <c r="C15" s="3154">
        <v>38173921.485377274</v>
      </c>
      <c r="D15" s="3145" t="s">
        <v>3416</v>
      </c>
      <c r="G15" s="4020"/>
      <c r="H15" s="3164">
        <v>1</v>
      </c>
      <c r="I15" s="3165" t="s">
        <v>673</v>
      </c>
      <c r="J15" s="3164">
        <v>734.88</v>
      </c>
      <c r="K15" s="3164">
        <f>ROUND($K$16*L15,1)</f>
        <v>9.6999999999999993</v>
      </c>
      <c r="L15" s="3145">
        <v>0.85</v>
      </c>
      <c r="M15" s="3146"/>
      <c r="N15" s="3146">
        <v>12</v>
      </c>
      <c r="O15" s="3146" t="s">
        <v>3510</v>
      </c>
      <c r="P15" s="3146" t="s">
        <v>21</v>
      </c>
      <c r="Q15" s="3146" t="s">
        <v>21</v>
      </c>
      <c r="R15" s="3146">
        <v>1435.93</v>
      </c>
      <c r="V15" s="3145">
        <f t="shared" si="0"/>
        <v>1435.93</v>
      </c>
      <c r="W15" s="3145">
        <f t="shared" si="1"/>
        <v>7.9</v>
      </c>
    </row>
    <row r="16" spans="1:23">
      <c r="A16" s="4014" t="s">
        <v>3417</v>
      </c>
      <c r="B16" s="4015"/>
      <c r="C16" s="3154"/>
      <c r="G16" s="4020"/>
      <c r="H16" s="3164" t="s">
        <v>3453</v>
      </c>
      <c r="I16" s="3165" t="s">
        <v>673</v>
      </c>
      <c r="J16" s="3164">
        <v>1863.16</v>
      </c>
      <c r="K16" s="3164">
        <f>'租金比较法-商业'!C48</f>
        <v>11.4</v>
      </c>
      <c r="M16" s="3146"/>
      <c r="N16" s="3146">
        <v>13</v>
      </c>
      <c r="O16" s="3146" t="s">
        <v>3514</v>
      </c>
      <c r="P16" s="3146" t="s">
        <v>21</v>
      </c>
      <c r="Q16" s="3146" t="s">
        <v>21</v>
      </c>
      <c r="R16" s="3146">
        <v>1435.93</v>
      </c>
      <c r="V16" s="3145">
        <f t="shared" si="0"/>
        <v>1435.93</v>
      </c>
      <c r="W16" s="3145">
        <f t="shared" si="1"/>
        <v>7.9</v>
      </c>
    </row>
    <row r="17" spans="1:23">
      <c r="A17" s="4014" t="s">
        <v>3418</v>
      </c>
      <c r="B17" s="4015"/>
      <c r="C17" s="3154"/>
      <c r="G17" s="4020"/>
      <c r="H17" s="3164" t="s">
        <v>3454</v>
      </c>
      <c r="I17" s="3165" t="s">
        <v>21</v>
      </c>
      <c r="J17" s="3164">
        <v>18327.759999999998</v>
      </c>
      <c r="K17" s="3164">
        <f>'租金比较法-办公'!C49</f>
        <v>7.9</v>
      </c>
      <c r="M17" s="3146"/>
      <c r="N17" s="3146">
        <v>14</v>
      </c>
      <c r="O17" s="3146" t="s">
        <v>3517</v>
      </c>
      <c r="P17" s="3146" t="s">
        <v>21</v>
      </c>
      <c r="Q17" s="3146" t="s">
        <v>21</v>
      </c>
      <c r="R17" s="3146">
        <v>1488.24</v>
      </c>
      <c r="V17" s="3145">
        <f t="shared" si="0"/>
        <v>1488.24</v>
      </c>
      <c r="W17" s="3145">
        <f t="shared" si="1"/>
        <v>7.9</v>
      </c>
    </row>
    <row r="18" spans="1:23">
      <c r="A18" s="3146" t="s">
        <v>3419</v>
      </c>
      <c r="B18" s="3154">
        <v>4000</v>
      </c>
      <c r="C18" s="3154">
        <v>185321320</v>
      </c>
      <c r="D18" s="3145" t="s">
        <v>3420</v>
      </c>
      <c r="G18" s="4018"/>
      <c r="H18" s="3164" t="s">
        <v>3455</v>
      </c>
      <c r="I18" s="3165" t="s">
        <v>21</v>
      </c>
      <c r="J18" s="3164">
        <v>14503.91</v>
      </c>
      <c r="K18" s="3164">
        <f>ROUND(K17*L18,1)</f>
        <v>8.1</v>
      </c>
      <c r="L18" s="3145">
        <v>1.02</v>
      </c>
      <c r="M18" s="3146"/>
      <c r="N18" s="3146">
        <v>15</v>
      </c>
      <c r="O18" s="3146" t="s">
        <v>3521</v>
      </c>
      <c r="P18" s="3146" t="s">
        <v>21</v>
      </c>
      <c r="Q18" s="3146" t="s">
        <v>21</v>
      </c>
      <c r="R18" s="3146">
        <v>1435.93</v>
      </c>
      <c r="V18" s="3145">
        <f t="shared" si="0"/>
        <v>1435.93</v>
      </c>
      <c r="W18" s="3145">
        <f t="shared" si="1"/>
        <v>7.9</v>
      </c>
    </row>
    <row r="19" spans="1:23" ht="15.75" thickBot="1">
      <c r="A19" s="3146" t="s">
        <v>3421</v>
      </c>
      <c r="B19" s="3154">
        <v>0.01</v>
      </c>
      <c r="C19" s="3154">
        <v>1853213.2</v>
      </c>
      <c r="D19" s="3145" t="s">
        <v>3422</v>
      </c>
      <c r="G19" s="4021" t="s">
        <v>3456</v>
      </c>
      <c r="H19" s="4022"/>
      <c r="I19" s="4023"/>
      <c r="J19" s="3166">
        <v>38100.99</v>
      </c>
      <c r="K19" s="3166" t="s">
        <v>3457</v>
      </c>
      <c r="M19" s="3146"/>
      <c r="N19" s="3146">
        <v>16</v>
      </c>
      <c r="O19" s="3146" t="s">
        <v>3525</v>
      </c>
      <c r="P19" s="3146" t="s">
        <v>21</v>
      </c>
      <c r="Q19" s="3146" t="s">
        <v>21</v>
      </c>
      <c r="R19" s="3146">
        <v>1435.93</v>
      </c>
      <c r="V19" s="3145">
        <f t="shared" si="0"/>
        <v>1435.93</v>
      </c>
      <c r="W19" s="3145">
        <f>$K$29</f>
        <v>8.1</v>
      </c>
    </row>
    <row r="20" spans="1:23" ht="15.75" thickTop="1">
      <c r="A20" s="3146" t="s">
        <v>3423</v>
      </c>
      <c r="B20" s="3154">
        <v>0.02</v>
      </c>
      <c r="C20" s="3154">
        <v>3738143.4791769595</v>
      </c>
      <c r="D20" s="3145" t="s">
        <v>3424</v>
      </c>
      <c r="M20" s="3146"/>
      <c r="N20" s="3146">
        <v>17</v>
      </c>
      <c r="O20" s="3146" t="s">
        <v>3528</v>
      </c>
      <c r="P20" s="3146" t="s">
        <v>21</v>
      </c>
      <c r="Q20" s="3146" t="s">
        <v>21</v>
      </c>
      <c r="R20" s="3146">
        <v>1488.24</v>
      </c>
      <c r="V20" s="3145">
        <f t="shared" si="0"/>
        <v>1488.24</v>
      </c>
      <c r="W20" s="3145">
        <f t="shared" ref="W20:W28" si="2">$K$29</f>
        <v>8.1</v>
      </c>
    </row>
    <row r="21" spans="1:23">
      <c r="A21" s="3146" t="s">
        <v>3425</v>
      </c>
      <c r="B21" s="3155">
        <v>1E-3</v>
      </c>
      <c r="C21" s="3154">
        <v>185321.32</v>
      </c>
      <c r="D21" s="3145" t="s">
        <v>3426</v>
      </c>
      <c r="M21" s="3146"/>
      <c r="N21" s="3146">
        <v>18</v>
      </c>
      <c r="O21" s="3146" t="s">
        <v>3531</v>
      </c>
      <c r="P21" s="3146" t="s">
        <v>21</v>
      </c>
      <c r="Q21" s="3146" t="s">
        <v>21</v>
      </c>
      <c r="R21" s="3146">
        <v>1435.93</v>
      </c>
      <c r="V21" s="3145">
        <f t="shared" si="0"/>
        <v>1435.93</v>
      </c>
      <c r="W21" s="3145">
        <f t="shared" si="2"/>
        <v>8.1</v>
      </c>
    </row>
    <row r="22" spans="1:23">
      <c r="A22" s="3146" t="s">
        <v>3427</v>
      </c>
      <c r="B22" s="3146"/>
      <c r="C22" s="3154">
        <v>32397243.486200314</v>
      </c>
      <c r="M22" s="3146"/>
      <c r="N22" s="3146">
        <v>19</v>
      </c>
      <c r="O22" s="3146" t="s">
        <v>3534</v>
      </c>
      <c r="P22" s="3146" t="s">
        <v>21</v>
      </c>
      <c r="Q22" s="3146" t="s">
        <v>21</v>
      </c>
      <c r="R22" s="3146">
        <v>1435.93</v>
      </c>
      <c r="V22" s="3145">
        <f t="shared" si="0"/>
        <v>1435.93</v>
      </c>
      <c r="W22" s="3145">
        <f t="shared" si="2"/>
        <v>8.1</v>
      </c>
    </row>
    <row r="23" spans="1:23">
      <c r="A23" s="3146" t="s">
        <v>3428</v>
      </c>
      <c r="B23" s="3146">
        <v>0.12</v>
      </c>
      <c r="C23" s="3154">
        <v>22428860.875061754</v>
      </c>
      <c r="M23" s="3146"/>
      <c r="N23" s="3146">
        <v>20</v>
      </c>
      <c r="O23" s="3146" t="s">
        <v>3537</v>
      </c>
      <c r="P23" s="3146" t="s">
        <v>21</v>
      </c>
      <c r="Q23" s="3146" t="s">
        <v>21</v>
      </c>
      <c r="R23" s="3146">
        <v>1488.24</v>
      </c>
      <c r="V23" s="3145">
        <f t="shared" si="0"/>
        <v>1488.24</v>
      </c>
      <c r="W23" s="3145">
        <f t="shared" si="2"/>
        <v>8.1</v>
      </c>
    </row>
    <row r="24" spans="1:23">
      <c r="A24" s="3146" t="s">
        <v>3428</v>
      </c>
      <c r="B24" s="3146">
        <v>1.2E-2</v>
      </c>
      <c r="C24" s="3154">
        <v>0</v>
      </c>
      <c r="E24" s="3145">
        <f ca="1">'收益法（汇总）'!B6</f>
        <v>0</v>
      </c>
      <c r="G24" s="3145" t="s">
        <v>3450</v>
      </c>
      <c r="H24" s="3145" t="s">
        <v>3446</v>
      </c>
      <c r="I24" s="3145" t="s">
        <v>3447</v>
      </c>
      <c r="J24" s="3145" t="s">
        <v>3448</v>
      </c>
      <c r="K24" s="3145" t="s">
        <v>3449</v>
      </c>
      <c r="M24" s="3146"/>
      <c r="N24" s="3146">
        <v>21</v>
      </c>
      <c r="O24" s="3146" t="s">
        <v>3540</v>
      </c>
      <c r="P24" s="3146" t="s">
        <v>21</v>
      </c>
      <c r="Q24" s="3146" t="s">
        <v>21</v>
      </c>
      <c r="R24" s="3146">
        <v>1435.93</v>
      </c>
      <c r="V24" s="3145">
        <f t="shared" si="0"/>
        <v>1435.93</v>
      </c>
      <c r="W24" s="3145">
        <f t="shared" si="2"/>
        <v>8.1</v>
      </c>
    </row>
    <row r="25" spans="1:23">
      <c r="A25" s="3146" t="s">
        <v>3429</v>
      </c>
      <c r="B25" s="3146">
        <v>0.05</v>
      </c>
      <c r="C25" s="3154">
        <v>8900341.6170879975</v>
      </c>
      <c r="E25" s="3145">
        <f ca="1">'收益法（汇总）'!B7</f>
        <v>1937</v>
      </c>
      <c r="G25" s="4012" t="s">
        <v>3631</v>
      </c>
      <c r="H25" s="3198" t="s">
        <v>3452</v>
      </c>
      <c r="I25" s="3145" t="s">
        <v>673</v>
      </c>
      <c r="J25" s="3145">
        <v>2671.28</v>
      </c>
      <c r="K25" s="3145">
        <f>K14</f>
        <v>7.4</v>
      </c>
      <c r="L25" s="3145">
        <f>J25*K25</f>
        <v>19767.472000000002</v>
      </c>
      <c r="M25" s="3146"/>
      <c r="N25" s="3146">
        <v>22</v>
      </c>
      <c r="O25" s="3146" t="s">
        <v>3543</v>
      </c>
      <c r="P25" s="3146" t="s">
        <v>21</v>
      </c>
      <c r="Q25" s="3146" t="s">
        <v>21</v>
      </c>
      <c r="R25" s="3146">
        <v>1435.93</v>
      </c>
      <c r="V25" s="3145">
        <f t="shared" si="0"/>
        <v>1435.93</v>
      </c>
      <c r="W25" s="3145">
        <f t="shared" si="2"/>
        <v>8.1</v>
      </c>
    </row>
    <row r="26" spans="1:23">
      <c r="A26" s="3146" t="s">
        <v>3430</v>
      </c>
      <c r="B26" s="3146">
        <v>7.0000000000000007E-2</v>
      </c>
      <c r="C26" s="3154">
        <v>623023.91319615988</v>
      </c>
      <c r="E26" s="3145">
        <f ca="1">'收益法（汇总）'!B8</f>
        <v>204521</v>
      </c>
      <c r="G26" s="4012"/>
      <c r="H26" s="3198">
        <v>1</v>
      </c>
      <c r="I26" s="3145" t="s">
        <v>673</v>
      </c>
      <c r="J26" s="3145">
        <v>734.88</v>
      </c>
      <c r="K26" s="3145">
        <f t="shared" ref="K26:K29" si="3">K15</f>
        <v>9.6999999999999993</v>
      </c>
      <c r="L26" s="3145">
        <f t="shared" ref="L26:L29" si="4">J26*K26</f>
        <v>7128.3359999999993</v>
      </c>
      <c r="M26" s="3146"/>
      <c r="N26" s="3146">
        <v>23</v>
      </c>
      <c r="O26" s="3146" t="s">
        <v>3547</v>
      </c>
      <c r="P26" s="3146" t="s">
        <v>21</v>
      </c>
      <c r="Q26" s="3146" t="s">
        <v>21</v>
      </c>
      <c r="R26" s="3146">
        <v>1488.24</v>
      </c>
      <c r="T26" s="3145">
        <f>R26</f>
        <v>1488.24</v>
      </c>
      <c r="U26" s="3283">
        <f>租户信息表!M5</f>
        <v>16.010958904109589</v>
      </c>
      <c r="V26" s="3145">
        <f t="shared" si="0"/>
        <v>0</v>
      </c>
      <c r="W26" s="3145">
        <f t="shared" si="2"/>
        <v>8.1</v>
      </c>
    </row>
    <row r="27" spans="1:23">
      <c r="A27" s="3146" t="s">
        <v>3431</v>
      </c>
      <c r="B27" s="3146">
        <v>0.03</v>
      </c>
      <c r="C27" s="3154">
        <v>267010.2485126399</v>
      </c>
      <c r="E27" s="3145">
        <f ca="1">'收益法（汇总）'!B2</f>
        <v>206496</v>
      </c>
      <c r="G27" s="4012"/>
      <c r="H27" s="3198" t="s">
        <v>3453</v>
      </c>
      <c r="I27" s="3145" t="s">
        <v>673</v>
      </c>
      <c r="J27" s="3145">
        <v>1863.16</v>
      </c>
      <c r="K27" s="3145">
        <f t="shared" si="3"/>
        <v>11.4</v>
      </c>
      <c r="L27" s="3145">
        <f t="shared" si="4"/>
        <v>21240.024000000001</v>
      </c>
      <c r="M27" s="3146"/>
      <c r="N27" s="3146">
        <v>24</v>
      </c>
      <c r="O27" s="3146" t="s">
        <v>3551</v>
      </c>
      <c r="P27" s="3146" t="s">
        <v>21</v>
      </c>
      <c r="Q27" s="3146" t="s">
        <v>21</v>
      </c>
      <c r="R27" s="3146">
        <v>1429.77</v>
      </c>
      <c r="T27" s="3145">
        <f>R27</f>
        <v>1429.77</v>
      </c>
      <c r="U27" s="3283">
        <f>租户信息表!M3</f>
        <v>16.109589041095891</v>
      </c>
      <c r="V27" s="3145">
        <f t="shared" si="0"/>
        <v>0</v>
      </c>
      <c r="W27" s="3145">
        <f t="shared" si="2"/>
        <v>8.1</v>
      </c>
    </row>
    <row r="28" spans="1:23">
      <c r="A28" s="3146" t="s">
        <v>3432</v>
      </c>
      <c r="B28" s="3146">
        <v>0.02</v>
      </c>
      <c r="C28" s="3154">
        <v>178006.83234175996</v>
      </c>
      <c r="G28" s="4012"/>
      <c r="H28" s="3198" t="s">
        <v>3632</v>
      </c>
      <c r="I28" s="3145" t="s">
        <v>21</v>
      </c>
      <c r="J28" s="3145">
        <v>18327.759999999998</v>
      </c>
      <c r="K28" s="3145">
        <f t="shared" si="3"/>
        <v>7.9</v>
      </c>
      <c r="L28" s="3145">
        <f t="shared" si="4"/>
        <v>144789.304</v>
      </c>
      <c r="M28" s="3146"/>
      <c r="N28" s="3146">
        <v>25</v>
      </c>
      <c r="O28" s="3146" t="s">
        <v>3554</v>
      </c>
      <c r="P28" s="3146" t="s">
        <v>21</v>
      </c>
      <c r="Q28" s="3146" t="s">
        <v>21</v>
      </c>
      <c r="R28" s="3146">
        <v>1429.77</v>
      </c>
      <c r="T28" s="3145">
        <f>R28</f>
        <v>1429.77</v>
      </c>
      <c r="U28" s="3283">
        <f>U27</f>
        <v>16.109589041095891</v>
      </c>
      <c r="V28" s="3145">
        <f t="shared" si="0"/>
        <v>0</v>
      </c>
      <c r="W28" s="3145">
        <f t="shared" si="2"/>
        <v>8.1</v>
      </c>
    </row>
    <row r="29" spans="1:23">
      <c r="A29" s="3146" t="s">
        <v>3433</v>
      </c>
      <c r="B29" s="3146"/>
      <c r="C29" s="3154"/>
      <c r="G29" s="4012"/>
      <c r="H29" s="3198" t="s">
        <v>3633</v>
      </c>
      <c r="I29" s="3145" t="s">
        <v>21</v>
      </c>
      <c r="J29" s="3145">
        <v>14503.91</v>
      </c>
      <c r="K29" s="3145">
        <f t="shared" si="3"/>
        <v>8.1</v>
      </c>
      <c r="L29" s="3145">
        <f t="shared" si="4"/>
        <v>117481.67099999999</v>
      </c>
      <c r="M29" s="3197" t="s">
        <v>3617</v>
      </c>
      <c r="N29" s="3146" t="s">
        <v>3630</v>
      </c>
      <c r="O29" s="3146" t="s">
        <v>3457</v>
      </c>
      <c r="P29" s="3146" t="s">
        <v>3457</v>
      </c>
      <c r="Q29" s="3146" t="s">
        <v>3457</v>
      </c>
      <c r="R29" s="3146">
        <f>SUM(R4:R28)</f>
        <v>35429.710000000006</v>
      </c>
      <c r="S29" s="3145">
        <f>35489.51-R29</f>
        <v>59.799999999995634</v>
      </c>
    </row>
    <row r="30" spans="1:23">
      <c r="A30" s="4014" t="s">
        <v>3434</v>
      </c>
      <c r="B30" s="4015"/>
      <c r="C30" s="3154">
        <v>148733252.47347069</v>
      </c>
      <c r="G30" s="3145" t="s">
        <v>3456</v>
      </c>
      <c r="J30" s="3145">
        <f>SUM(J25:J29)</f>
        <v>38100.99</v>
      </c>
      <c r="K30" s="3278">
        <f>ROUND(L30/J30,2)</f>
        <v>8.15</v>
      </c>
      <c r="L30" s="3145">
        <f t="shared" ref="L30" si="5">SUM(L25:L29)</f>
        <v>310406.80699999997</v>
      </c>
      <c r="M30" s="3146" t="s">
        <v>3456</v>
      </c>
      <c r="N30" s="3146"/>
      <c r="O30" s="3146"/>
      <c r="P30" s="3146"/>
      <c r="Q30" s="3146"/>
      <c r="R30" s="3146">
        <f>R29+R3</f>
        <v>38100.990000000005</v>
      </c>
    </row>
    <row r="31" spans="1:23">
      <c r="A31" s="4014" t="s">
        <v>3435</v>
      </c>
      <c r="B31" s="4015"/>
      <c r="C31" s="3161">
        <v>0.03</v>
      </c>
      <c r="R31" s="3276">
        <f>C10-R30</f>
        <v>8229.3399999999965</v>
      </c>
      <c r="T31" s="3145">
        <f>SUM(T3:T30)</f>
        <v>12953.020000000002</v>
      </c>
      <c r="U31">
        <f>SUMPRODUCT(T7:T28,U7:U28)</f>
        <v>193292.92931506853</v>
      </c>
      <c r="V31" s="3145">
        <f>SUM(V3:V28)</f>
        <v>25147.970000000005</v>
      </c>
      <c r="W31">
        <f>SUMPRODUCT(V3:V28,W3:W28)</f>
        <v>207208.39300000001</v>
      </c>
    </row>
    <row r="32" spans="1:23">
      <c r="A32" s="4014" t="s">
        <v>3436</v>
      </c>
      <c r="B32" s="4015"/>
      <c r="C32" s="3161">
        <v>6.5000000000000002E-2</v>
      </c>
      <c r="U32">
        <f>ROUND(U31/T31,2)</f>
        <v>14.92</v>
      </c>
      <c r="W32" s="3145">
        <f>ROUND(W31/V31,2)</f>
        <v>8.24</v>
      </c>
    </row>
    <row r="33" spans="1:21" ht="16.5">
      <c r="A33" s="4014" t="s">
        <v>3437</v>
      </c>
      <c r="B33" s="4015"/>
      <c r="C33" s="3146">
        <v>29.94</v>
      </c>
      <c r="N33" s="3145">
        <v>-3</v>
      </c>
      <c r="O33" s="3279" t="s">
        <v>3703</v>
      </c>
      <c r="P33" s="3280">
        <v>4191.13</v>
      </c>
    </row>
    <row r="34" spans="1:21" ht="16.5">
      <c r="A34" s="4014" t="s">
        <v>3438</v>
      </c>
      <c r="B34" s="4015"/>
      <c r="C34" s="3156">
        <v>18.065578310479708</v>
      </c>
      <c r="O34" s="3279" t="s">
        <v>3704</v>
      </c>
      <c r="P34" s="3280">
        <v>238.65</v>
      </c>
      <c r="T34" s="4013" t="s">
        <v>3807</v>
      </c>
      <c r="U34">
        <f>SUMPRODUCT(T7:T28,W7:W28)</f>
        <v>103198.41400000002</v>
      </c>
    </row>
    <row r="35" spans="1:21" ht="16.5">
      <c r="A35" s="4014" t="s">
        <v>3439</v>
      </c>
      <c r="B35" s="4015"/>
      <c r="C35" s="3154">
        <v>2686952219.9318342</v>
      </c>
      <c r="O35" s="3279" t="s">
        <v>3705</v>
      </c>
      <c r="P35" s="3280">
        <v>47.22</v>
      </c>
      <c r="T35" s="4012"/>
      <c r="U35">
        <f>ROUND(U34/T31,2)</f>
        <v>7.97</v>
      </c>
    </row>
    <row r="36" spans="1:21" ht="16.5">
      <c r="A36" s="4014" t="s">
        <v>3440</v>
      </c>
      <c r="B36" s="4015"/>
      <c r="C36" s="3154">
        <v>38948364.086666666</v>
      </c>
      <c r="O36" s="3279" t="s">
        <v>3706</v>
      </c>
      <c r="P36" s="3280">
        <v>47.23</v>
      </c>
      <c r="S36" s="3199">
        <v>45473</v>
      </c>
      <c r="T36" s="3282" t="s">
        <v>3808</v>
      </c>
      <c r="U36">
        <f>ROUND(U35*(1+3%)^S39,2)</f>
        <v>8.52</v>
      </c>
    </row>
    <row r="37" spans="1:21" ht="16.5">
      <c r="A37" s="4014" t="s">
        <v>3441</v>
      </c>
      <c r="B37" s="4015"/>
      <c r="C37" s="3157">
        <v>7.4999999999999997E-2</v>
      </c>
      <c r="D37" s="3158"/>
      <c r="N37" s="3145">
        <v>-2</v>
      </c>
      <c r="O37" s="3279" t="s">
        <v>3703</v>
      </c>
      <c r="P37" s="3280">
        <v>3420.9</v>
      </c>
      <c r="S37" s="3199">
        <v>46295</v>
      </c>
    </row>
    <row r="38" spans="1:21" ht="16.5">
      <c r="A38" s="4014" t="s">
        <v>3442</v>
      </c>
      <c r="B38" s="4015"/>
      <c r="C38" s="3154">
        <v>4468068.2813530955</v>
      </c>
      <c r="O38" s="3279" t="s">
        <v>3704</v>
      </c>
      <c r="P38" s="3280">
        <v>316.12</v>
      </c>
      <c r="S38" s="3145">
        <f>S37-S36</f>
        <v>822</v>
      </c>
    </row>
    <row r="39" spans="1:21" ht="16.5">
      <c r="A39" s="4014" t="s">
        <v>3443</v>
      </c>
      <c r="B39" s="4015"/>
      <c r="C39" s="3159">
        <v>2691420300</v>
      </c>
      <c r="O39" s="3279" t="s">
        <v>3707</v>
      </c>
      <c r="P39" s="3280">
        <v>47.22</v>
      </c>
      <c r="R39" s="3282" t="s">
        <v>3809</v>
      </c>
      <c r="S39" s="3145">
        <f>ROUND(S38/365,2)</f>
        <v>2.25</v>
      </c>
    </row>
    <row r="40" spans="1:21" ht="16.5">
      <c r="A40" s="4014" t="s">
        <v>3444</v>
      </c>
      <c r="B40" s="4015"/>
      <c r="C40" s="3154">
        <v>58092</v>
      </c>
      <c r="O40" s="3279" t="s">
        <v>3708</v>
      </c>
      <c r="P40" s="3280">
        <v>47.23</v>
      </c>
    </row>
    <row r="41" spans="1:21" ht="16.5">
      <c r="O41" s="3279" t="s">
        <v>3709</v>
      </c>
      <c r="P41" s="3280">
        <v>41.38</v>
      </c>
    </row>
    <row r="42" spans="1:21" ht="16.5">
      <c r="N42" s="3145">
        <v>-1</v>
      </c>
      <c r="O42" s="3279" t="s">
        <v>3703</v>
      </c>
      <c r="P42" s="3280">
        <v>288.88</v>
      </c>
      <c r="U42">
        <v>35000</v>
      </c>
    </row>
    <row r="43" spans="1:21">
      <c r="P43" s="3145">
        <f>SUM(P33:P42)</f>
        <v>8685.9599999999973</v>
      </c>
      <c r="Q43" s="3275">
        <f>P43-R31</f>
        <v>456.6200000000008</v>
      </c>
      <c r="U43">
        <f>U42*R30/10000</f>
        <v>133353.46500000003</v>
      </c>
    </row>
    <row r="44" spans="1:21">
      <c r="D44" s="3160"/>
      <c r="P44" s="3281">
        <v>10797.05</v>
      </c>
    </row>
    <row r="45" spans="1:21">
      <c r="P45" s="3145">
        <f>P43+J25</f>
        <v>11357.239999999998</v>
      </c>
      <c r="Q45" s="3145">
        <f>P45-P44</f>
        <v>560.18999999999869</v>
      </c>
    </row>
    <row r="48" spans="1:21">
      <c r="C48" s="3160"/>
    </row>
  </sheetData>
  <mergeCells count="35">
    <mergeCell ref="T34:T35"/>
    <mergeCell ref="K12:K13"/>
    <mergeCell ref="G14:G18"/>
    <mergeCell ref="G19:I19"/>
    <mergeCell ref="A38:B38"/>
    <mergeCell ref="I12:I13"/>
    <mergeCell ref="J12:J13"/>
    <mergeCell ref="A30:B30"/>
    <mergeCell ref="A39:B39"/>
    <mergeCell ref="A31:B31"/>
    <mergeCell ref="A13:B13"/>
    <mergeCell ref="A40:B40"/>
    <mergeCell ref="H12:H13"/>
    <mergeCell ref="G25:G29"/>
    <mergeCell ref="A32:B32"/>
    <mergeCell ref="A33:B33"/>
    <mergeCell ref="A34:B34"/>
    <mergeCell ref="A35:B35"/>
    <mergeCell ref="A36:B36"/>
    <mergeCell ref="A37:B37"/>
    <mergeCell ref="A14:B14"/>
    <mergeCell ref="A15:B15"/>
    <mergeCell ref="A16:B16"/>
    <mergeCell ref="A17:B17"/>
    <mergeCell ref="A8:B8"/>
    <mergeCell ref="A9:B9"/>
    <mergeCell ref="A10:B10"/>
    <mergeCell ref="A11:B11"/>
    <mergeCell ref="A12:B12"/>
    <mergeCell ref="A7:B7"/>
    <mergeCell ref="A1:D1"/>
    <mergeCell ref="A3:B3"/>
    <mergeCell ref="A4:B4"/>
    <mergeCell ref="A5:B5"/>
    <mergeCell ref="A6:B6"/>
  </mergeCells>
  <phoneticPr fontId="134"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7B10D-6B50-4F35-806E-5CED26343E4A}">
  <dimension ref="A1:U44"/>
  <sheetViews>
    <sheetView zoomScaleNormal="100" workbookViewId="0">
      <selection activeCell="M53" sqref="M53"/>
    </sheetView>
  </sheetViews>
  <sheetFormatPr defaultColWidth="8.625" defaultRowHeight="12.75"/>
  <cols>
    <col min="1" max="1" width="41.5" style="3238" customWidth="1"/>
    <col min="2" max="2" width="13.125" style="3223" customWidth="1"/>
    <col min="3" max="3" width="5.375" style="3238" customWidth="1"/>
    <col min="4" max="4" width="15.125" style="3238" customWidth="1"/>
    <col min="5" max="5" width="8.625" style="3223"/>
    <col min="6" max="6" width="8.625" style="3223" hidden="1" customWidth="1"/>
    <col min="7" max="8" width="15.875" style="3239" customWidth="1"/>
    <col min="9" max="9" width="8.625" style="3223" customWidth="1"/>
    <col min="10" max="11" width="15.875" style="3240" customWidth="1"/>
    <col min="12" max="12" width="8.625" style="3223" customWidth="1"/>
    <col min="13" max="13" width="24.25" style="3223" customWidth="1"/>
    <col min="14" max="14" width="12.5" style="3241" customWidth="1"/>
    <col min="15" max="15" width="12.5" style="3242" customWidth="1"/>
    <col min="16" max="16" width="11.875" style="3205" customWidth="1"/>
    <col min="17" max="18" width="11.625" style="3205" customWidth="1"/>
    <col min="19" max="19" width="10.625" style="3205" customWidth="1"/>
    <col min="20" max="20" width="13.625" style="3205" customWidth="1"/>
    <col min="21" max="21" width="11.625" style="3205" customWidth="1"/>
    <col min="22" max="16384" width="8.625" style="3205"/>
  </cols>
  <sheetData>
    <row r="1" spans="1:21" s="3201" customFormat="1" ht="29.25" customHeight="1">
      <c r="A1" s="4035"/>
      <c r="B1" s="4035"/>
      <c r="C1" s="4036" t="s">
        <v>3634</v>
      </c>
      <c r="D1" s="4037"/>
      <c r="E1" s="4037"/>
      <c r="F1" s="4038"/>
      <c r="G1" s="4039" t="s">
        <v>3635</v>
      </c>
      <c r="H1" s="4039"/>
      <c r="I1" s="4039"/>
      <c r="J1" s="4039"/>
      <c r="K1" s="4039"/>
      <c r="L1" s="4039"/>
      <c r="M1" s="3200" t="s">
        <v>3636</v>
      </c>
      <c r="N1" s="4024" t="s">
        <v>3637</v>
      </c>
      <c r="O1" s="4026" t="s">
        <v>3638</v>
      </c>
    </row>
    <row r="2" spans="1:21" s="3201" customFormat="1" ht="57" customHeight="1">
      <c r="A2" s="3200" t="s">
        <v>3639</v>
      </c>
      <c r="B2" s="3200" t="s">
        <v>3640</v>
      </c>
      <c r="C2" s="3200" t="s">
        <v>3641</v>
      </c>
      <c r="D2" s="3202" t="s">
        <v>3642</v>
      </c>
      <c r="E2" s="3203" t="s">
        <v>3643</v>
      </c>
      <c r="F2" s="3203" t="s">
        <v>3644</v>
      </c>
      <c r="G2" s="3204" t="s">
        <v>3645</v>
      </c>
      <c r="H2" s="3204" t="s">
        <v>3646</v>
      </c>
      <c r="I2" s="3203" t="s">
        <v>3647</v>
      </c>
      <c r="J2" s="4028" t="s">
        <v>3648</v>
      </c>
      <c r="K2" s="4029"/>
      <c r="L2" s="4030"/>
      <c r="M2" s="3200" t="s">
        <v>3649</v>
      </c>
      <c r="N2" s="4025"/>
      <c r="O2" s="4027"/>
    </row>
    <row r="3" spans="1:21" s="3201" customFormat="1" ht="36" customHeight="1">
      <c r="A3" s="4040" t="s">
        <v>3862</v>
      </c>
      <c r="B3" s="3206"/>
      <c r="C3" s="3207">
        <v>28</v>
      </c>
      <c r="D3" s="3208" t="s">
        <v>3651</v>
      </c>
      <c r="E3" s="3243">
        <v>1444.5</v>
      </c>
      <c r="F3" s="3244"/>
      <c r="G3" s="4041">
        <v>44378</v>
      </c>
      <c r="H3" s="4041">
        <v>46295</v>
      </c>
      <c r="I3" s="4031">
        <v>63</v>
      </c>
      <c r="J3" s="4043" t="s">
        <v>3652</v>
      </c>
      <c r="K3" s="4044"/>
      <c r="L3" s="4031">
        <v>3</v>
      </c>
      <c r="M3" s="3246">
        <f>M4</f>
        <v>16.109589041095891</v>
      </c>
      <c r="N3" s="3247"/>
      <c r="O3" s="3248"/>
    </row>
    <row r="4" spans="1:21" s="3201" customFormat="1" ht="36" customHeight="1">
      <c r="A4" s="4040"/>
      <c r="B4" s="3206"/>
      <c r="C4" s="3207">
        <v>27</v>
      </c>
      <c r="D4" s="3249" t="s">
        <v>3651</v>
      </c>
      <c r="E4" s="3243">
        <v>1444.5</v>
      </c>
      <c r="F4" s="3244"/>
      <c r="G4" s="4042"/>
      <c r="H4" s="4042"/>
      <c r="I4" s="4032"/>
      <c r="J4" s="4045"/>
      <c r="K4" s="4046"/>
      <c r="L4" s="4032"/>
      <c r="M4" s="3246">
        <f>490*12/365</f>
        <v>16.109589041095891</v>
      </c>
      <c r="N4" s="3247"/>
      <c r="O4" s="3248"/>
    </row>
    <row r="5" spans="1:21" ht="36" customHeight="1">
      <c r="A5" s="4040"/>
      <c r="B5" s="3206"/>
      <c r="C5" s="3207">
        <v>26</v>
      </c>
      <c r="D5" s="3208" t="s">
        <v>3651</v>
      </c>
      <c r="E5" s="3206">
        <v>1511.24</v>
      </c>
      <c r="F5" s="3206"/>
      <c r="G5" s="3209">
        <v>44409</v>
      </c>
      <c r="H5" s="3209">
        <v>46295</v>
      </c>
      <c r="I5" s="3206">
        <v>62</v>
      </c>
      <c r="J5" s="4033" t="s">
        <v>3653</v>
      </c>
      <c r="K5" s="4034"/>
      <c r="L5" s="3206">
        <v>4</v>
      </c>
      <c r="M5" s="3246">
        <f>487*12/365</f>
        <v>16.010958904109589</v>
      </c>
      <c r="N5" s="3252"/>
      <c r="O5" s="3248"/>
    </row>
    <row r="6" spans="1:21" ht="36" hidden="1" customHeight="1">
      <c r="A6" s="3253" t="s">
        <v>3654</v>
      </c>
      <c r="B6" s="3206"/>
      <c r="C6" s="3207">
        <v>25</v>
      </c>
      <c r="D6" s="3208">
        <v>2503</v>
      </c>
      <c r="E6" s="3206">
        <f>1456.04-E7</f>
        <v>339.74</v>
      </c>
      <c r="F6" s="3206">
        <v>290.64</v>
      </c>
      <c r="G6" s="3209">
        <v>44295</v>
      </c>
      <c r="H6" s="3209">
        <v>45390</v>
      </c>
      <c r="I6" s="3206">
        <v>36</v>
      </c>
      <c r="J6" s="4047" t="s">
        <v>3655</v>
      </c>
      <c r="K6" s="4048"/>
      <c r="L6" s="3206">
        <v>6</v>
      </c>
      <c r="M6" s="3206">
        <v>13.2</v>
      </c>
      <c r="N6" s="3252"/>
      <c r="O6" s="3248"/>
    </row>
    <row r="7" spans="1:21" s="3201" customFormat="1" ht="64.5" hidden="1" customHeight="1">
      <c r="A7" s="3253" t="s">
        <v>3656</v>
      </c>
      <c r="B7" s="3206"/>
      <c r="C7" s="3207">
        <v>25</v>
      </c>
      <c r="D7" s="3249" t="s">
        <v>3657</v>
      </c>
      <c r="E7" s="3244">
        <v>1116.3</v>
      </c>
      <c r="F7" s="3244"/>
      <c r="G7" s="3245">
        <v>44113</v>
      </c>
      <c r="H7" s="3245">
        <v>44477</v>
      </c>
      <c r="I7" s="3244">
        <v>12</v>
      </c>
      <c r="J7" s="4047" t="s">
        <v>3658</v>
      </c>
      <c r="K7" s="4048"/>
      <c r="L7" s="3206">
        <v>2</v>
      </c>
      <c r="M7" s="3206">
        <v>15.5</v>
      </c>
      <c r="N7" s="3247"/>
      <c r="O7" s="3248"/>
      <c r="Q7" s="3201">
        <v>1578866.81</v>
      </c>
      <c r="R7" s="3254">
        <f>(Q7/E7/3)</f>
        <v>471.45833258681955</v>
      </c>
      <c r="S7" s="3201">
        <f>924249.89+1190999.08</f>
        <v>2115248.9700000002</v>
      </c>
      <c r="T7" s="3254">
        <f>S7/E7/6</f>
        <v>315.81250111977073</v>
      </c>
      <c r="U7" s="3255">
        <f>S7/R7/E7</f>
        <v>4.0191781028065323</v>
      </c>
    </row>
    <row r="8" spans="1:21" s="3201" customFormat="1" ht="36" hidden="1" customHeight="1">
      <c r="A8" s="4049" t="s">
        <v>3659</v>
      </c>
      <c r="B8" s="3206"/>
      <c r="C8" s="3207">
        <v>23</v>
      </c>
      <c r="D8" s="3249" t="s">
        <v>3651</v>
      </c>
      <c r="E8" s="3244">
        <v>1456.04</v>
      </c>
      <c r="F8" s="3244"/>
      <c r="G8" s="3245">
        <v>43363</v>
      </c>
      <c r="H8" s="3245">
        <v>44458</v>
      </c>
      <c r="I8" s="3244">
        <v>36</v>
      </c>
      <c r="J8" s="4050" t="s">
        <v>3660</v>
      </c>
      <c r="K8" s="4051"/>
      <c r="L8" s="3206">
        <v>0</v>
      </c>
      <c r="M8" s="3206">
        <v>15.5</v>
      </c>
      <c r="N8" s="3247"/>
      <c r="O8" s="3248"/>
    </row>
    <row r="9" spans="1:21" s="3211" customFormat="1" ht="36" hidden="1" customHeight="1">
      <c r="A9" s="4049"/>
      <c r="B9" s="3206"/>
      <c r="C9" s="3207">
        <v>22</v>
      </c>
      <c r="D9" s="3208" t="s">
        <v>3651</v>
      </c>
      <c r="E9" s="4031">
        <v>4423.32</v>
      </c>
      <c r="F9" s="3206"/>
      <c r="G9" s="4041">
        <v>43466</v>
      </c>
      <c r="H9" s="4041">
        <v>44561</v>
      </c>
      <c r="I9" s="4031">
        <v>36</v>
      </c>
      <c r="J9" s="4054" t="s">
        <v>3660</v>
      </c>
      <c r="K9" s="4055"/>
      <c r="L9" s="4031">
        <v>0</v>
      </c>
      <c r="M9" s="4072">
        <v>15.5</v>
      </c>
      <c r="N9" s="3252"/>
      <c r="O9" s="3243"/>
    </row>
    <row r="10" spans="1:21" ht="36" hidden="1" customHeight="1">
      <c r="A10" s="4049"/>
      <c r="B10" s="3206"/>
      <c r="C10" s="3207">
        <v>21</v>
      </c>
      <c r="D10" s="3208" t="s">
        <v>3651</v>
      </c>
      <c r="E10" s="4052"/>
      <c r="F10" s="3206"/>
      <c r="G10" s="4053"/>
      <c r="H10" s="4053"/>
      <c r="I10" s="4052"/>
      <c r="J10" s="4056"/>
      <c r="K10" s="4057"/>
      <c r="L10" s="4052"/>
      <c r="M10" s="4072"/>
      <c r="N10" s="3252"/>
      <c r="O10" s="3243"/>
    </row>
    <row r="11" spans="1:21" s="3201" customFormat="1" ht="36" hidden="1" customHeight="1">
      <c r="A11" s="4049"/>
      <c r="B11" s="3206"/>
      <c r="C11" s="3207">
        <v>20</v>
      </c>
      <c r="D11" s="3249" t="s">
        <v>3651</v>
      </c>
      <c r="E11" s="4032"/>
      <c r="F11" s="3244"/>
      <c r="G11" s="4042"/>
      <c r="H11" s="4042"/>
      <c r="I11" s="4032"/>
      <c r="J11" s="4058"/>
      <c r="K11" s="4059"/>
      <c r="L11" s="4032"/>
      <c r="M11" s="4072"/>
      <c r="N11" s="3247"/>
      <c r="O11" s="3248"/>
    </row>
    <row r="12" spans="1:21" s="3201" customFormat="1" ht="36" hidden="1" customHeight="1">
      <c r="A12" s="3227" t="s">
        <v>3661</v>
      </c>
      <c r="B12" s="3206"/>
      <c r="C12" s="3207">
        <v>19</v>
      </c>
      <c r="D12" s="3249" t="s">
        <v>3651</v>
      </c>
      <c r="E12" s="3244">
        <v>1511.24</v>
      </c>
      <c r="F12" s="3244"/>
      <c r="G12" s="3245">
        <v>44348</v>
      </c>
      <c r="H12" s="3245">
        <v>45077</v>
      </c>
      <c r="I12" s="3244">
        <v>24</v>
      </c>
      <c r="J12" s="3209">
        <v>45032</v>
      </c>
      <c r="K12" s="3209">
        <v>45077</v>
      </c>
      <c r="L12" s="3206">
        <v>1.5</v>
      </c>
      <c r="M12" s="3258">
        <f>482*12/365</f>
        <v>15.846575342465753</v>
      </c>
      <c r="N12" s="3247"/>
      <c r="O12" s="3248"/>
    </row>
    <row r="13" spans="1:21" s="3211" customFormat="1" ht="36" hidden="1" customHeight="1">
      <c r="A13" s="4049" t="s">
        <v>3662</v>
      </c>
      <c r="B13" s="3212"/>
      <c r="C13" s="3213">
        <v>18</v>
      </c>
      <c r="D13" s="3214" t="s">
        <v>3663</v>
      </c>
      <c r="E13" s="3212">
        <v>1456.04</v>
      </c>
      <c r="F13" s="3212"/>
      <c r="G13" s="3215">
        <v>44362</v>
      </c>
      <c r="H13" s="3215">
        <v>45091</v>
      </c>
      <c r="I13" s="3212">
        <v>24</v>
      </c>
      <c r="J13" s="3259">
        <v>44362</v>
      </c>
      <c r="K13" s="3259">
        <v>44422</v>
      </c>
      <c r="L13" s="3212">
        <v>2</v>
      </c>
      <c r="M13" s="3260">
        <f>440*12/365</f>
        <v>14.465753424657533</v>
      </c>
      <c r="N13" s="3261"/>
      <c r="O13" s="3262"/>
    </row>
    <row r="14" spans="1:21" ht="36" hidden="1" customHeight="1">
      <c r="A14" s="4049"/>
      <c r="B14" s="3212"/>
      <c r="C14" s="3213">
        <v>17</v>
      </c>
      <c r="D14" s="3214" t="s">
        <v>3663</v>
      </c>
      <c r="E14" s="3212">
        <v>1456.04</v>
      </c>
      <c r="F14" s="3212"/>
      <c r="G14" s="3215">
        <v>44440</v>
      </c>
      <c r="H14" s="3215">
        <v>45169</v>
      </c>
      <c r="I14" s="3212">
        <v>24</v>
      </c>
      <c r="J14" s="3259">
        <v>44440</v>
      </c>
      <c r="K14" s="3259">
        <v>44500</v>
      </c>
      <c r="L14" s="3212">
        <v>2</v>
      </c>
      <c r="M14" s="3260">
        <f>440*12/365</f>
        <v>14.465753424657533</v>
      </c>
      <c r="N14" s="3261"/>
      <c r="O14" s="3263"/>
    </row>
    <row r="15" spans="1:21" ht="85.5" hidden="1" customHeight="1">
      <c r="A15" s="3253" t="s">
        <v>3664</v>
      </c>
      <c r="B15" s="3206"/>
      <c r="C15" s="3207">
        <v>16</v>
      </c>
      <c r="D15" s="3208" t="s">
        <v>3651</v>
      </c>
      <c r="E15" s="3206">
        <v>1511.24</v>
      </c>
      <c r="F15" s="3206"/>
      <c r="G15" s="3209">
        <v>44418</v>
      </c>
      <c r="H15" s="3209">
        <v>45513</v>
      </c>
      <c r="I15" s="3206">
        <v>36</v>
      </c>
      <c r="J15" s="3264">
        <v>44418</v>
      </c>
      <c r="K15" s="3220">
        <v>44478</v>
      </c>
      <c r="L15" s="3206">
        <v>2</v>
      </c>
      <c r="M15" s="3246">
        <f>454*12/365</f>
        <v>14.926027397260274</v>
      </c>
      <c r="N15" s="3252"/>
      <c r="O15" s="3248">
        <f>E15</f>
        <v>1511.24</v>
      </c>
    </row>
    <row r="16" spans="1:21" ht="36" hidden="1" customHeight="1">
      <c r="A16" s="3253" t="s">
        <v>3665</v>
      </c>
      <c r="B16" s="3206"/>
      <c r="C16" s="3207">
        <v>15</v>
      </c>
      <c r="D16" s="3208" t="s">
        <v>3651</v>
      </c>
      <c r="E16" s="3206">
        <v>1456.04</v>
      </c>
      <c r="F16" s="3206"/>
      <c r="G16" s="3209">
        <v>43466</v>
      </c>
      <c r="H16" s="3209">
        <v>44561</v>
      </c>
      <c r="I16" s="3206">
        <v>36</v>
      </c>
      <c r="J16" s="4050" t="s">
        <v>3666</v>
      </c>
      <c r="K16" s="4034"/>
      <c r="L16" s="3206">
        <v>1</v>
      </c>
      <c r="M16" s="3206">
        <v>15.5</v>
      </c>
      <c r="N16" s="3252"/>
      <c r="O16" s="3263"/>
    </row>
    <row r="17" spans="1:16" s="3211" customFormat="1" ht="36" hidden="1" customHeight="1">
      <c r="A17" s="3253" t="s">
        <v>3667</v>
      </c>
      <c r="B17" s="3206"/>
      <c r="C17" s="3207">
        <v>12</v>
      </c>
      <c r="D17" s="3208" t="s">
        <v>3668</v>
      </c>
      <c r="E17" s="3206">
        <v>728.02</v>
      </c>
      <c r="F17" s="3206"/>
      <c r="G17" s="3209">
        <v>44270</v>
      </c>
      <c r="H17" s="3209">
        <v>45365</v>
      </c>
      <c r="I17" s="3206">
        <v>36</v>
      </c>
      <c r="J17" s="4073" t="s">
        <v>3669</v>
      </c>
      <c r="K17" s="4074"/>
      <c r="L17" s="3206">
        <v>6</v>
      </c>
      <c r="M17" s="3206">
        <v>15</v>
      </c>
      <c r="N17" s="3216"/>
      <c r="O17" s="3248">
        <f>'[7]辅-面积表'!C13-租户信息表!E17</f>
        <v>727.98</v>
      </c>
    </row>
    <row r="18" spans="1:16" ht="36" customHeight="1">
      <c r="A18" s="4040" t="s">
        <v>3650</v>
      </c>
      <c r="B18" s="3218"/>
      <c r="C18" s="3213">
        <v>11</v>
      </c>
      <c r="D18" s="3208" t="s">
        <v>3651</v>
      </c>
      <c r="E18" s="3212">
        <f>'[7]辅-面积表'!C12</f>
        <v>1511</v>
      </c>
      <c r="F18" s="3218"/>
      <c r="G18" s="4060">
        <v>44562</v>
      </c>
      <c r="H18" s="4060">
        <v>46295</v>
      </c>
      <c r="I18" s="4063">
        <v>57</v>
      </c>
      <c r="J18" s="4066" t="s">
        <v>3670</v>
      </c>
      <c r="K18" s="4067"/>
      <c r="L18" s="4063">
        <v>4.5</v>
      </c>
      <c r="M18" s="3641">
        <f>M20</f>
        <v>14.761643835616438</v>
      </c>
      <c r="N18" s="3218"/>
      <c r="O18" s="3248"/>
      <c r="P18" s="3265"/>
    </row>
    <row r="19" spans="1:16" ht="36" customHeight="1">
      <c r="A19" s="4040"/>
      <c r="B19" s="3218"/>
      <c r="C19" s="3213">
        <v>10</v>
      </c>
      <c r="D19" s="3208" t="s">
        <v>3651</v>
      </c>
      <c r="E19" s="3212">
        <f>'[7]辅-面积表'!C11</f>
        <v>1456.02</v>
      </c>
      <c r="F19" s="3218"/>
      <c r="G19" s="4061"/>
      <c r="H19" s="4061"/>
      <c r="I19" s="4064"/>
      <c r="J19" s="4068"/>
      <c r="K19" s="4069"/>
      <c r="L19" s="4064"/>
      <c r="M19" s="3641">
        <f>M20</f>
        <v>14.761643835616438</v>
      </c>
      <c r="N19" s="3218"/>
      <c r="O19" s="3263"/>
    </row>
    <row r="20" spans="1:16" ht="36" customHeight="1">
      <c r="A20" s="4040"/>
      <c r="B20" s="3218"/>
      <c r="C20" s="3213">
        <v>9</v>
      </c>
      <c r="D20" s="3208" t="s">
        <v>3651</v>
      </c>
      <c r="E20" s="3212">
        <f>'[7]辅-面积表'!C10</f>
        <v>1456.02</v>
      </c>
      <c r="F20" s="3218"/>
      <c r="G20" s="4062"/>
      <c r="H20" s="4062"/>
      <c r="I20" s="4065"/>
      <c r="J20" s="4070"/>
      <c r="K20" s="4071"/>
      <c r="L20" s="4065"/>
      <c r="M20" s="3641">
        <f>449*12/365</f>
        <v>14.761643835616438</v>
      </c>
      <c r="N20" s="3268"/>
      <c r="O20" s="3269"/>
    </row>
    <row r="21" spans="1:16" ht="36" hidden="1" customHeight="1">
      <c r="A21" s="3253" t="s">
        <v>3671</v>
      </c>
      <c r="B21" s="3218"/>
      <c r="C21" s="3213">
        <v>8</v>
      </c>
      <c r="D21" s="3214">
        <v>802</v>
      </c>
      <c r="E21" s="3212">
        <v>635</v>
      </c>
      <c r="F21" s="3218"/>
      <c r="G21" s="4076">
        <v>44348</v>
      </c>
      <c r="H21" s="4076">
        <v>45077</v>
      </c>
      <c r="I21" s="4077">
        <v>24</v>
      </c>
      <c r="J21" s="3215">
        <v>45032</v>
      </c>
      <c r="K21" s="3215">
        <v>45077</v>
      </c>
      <c r="L21" s="3212">
        <v>1.5</v>
      </c>
      <c r="M21" s="3219">
        <f>482*12/365</f>
        <v>15.846575342465753</v>
      </c>
      <c r="N21" s="3216"/>
      <c r="O21" s="3248"/>
    </row>
    <row r="22" spans="1:16" s="3211" customFormat="1" ht="36" hidden="1" customHeight="1">
      <c r="A22" s="3253" t="s">
        <v>3661</v>
      </c>
      <c r="B22" s="3218"/>
      <c r="C22" s="3213">
        <v>8</v>
      </c>
      <c r="D22" s="3214">
        <v>801</v>
      </c>
      <c r="E22" s="3212">
        <v>876.91</v>
      </c>
      <c r="F22" s="3218"/>
      <c r="G22" s="4076"/>
      <c r="H22" s="4076"/>
      <c r="I22" s="4077"/>
      <c r="J22" s="3215">
        <v>45032</v>
      </c>
      <c r="K22" s="3215">
        <v>45077</v>
      </c>
      <c r="L22" s="3243">
        <v>1.5</v>
      </c>
      <c r="M22" s="3270">
        <f>482*12/365</f>
        <v>15.846575342465753</v>
      </c>
      <c r="N22" s="3216"/>
      <c r="O22" s="3263"/>
    </row>
    <row r="23" spans="1:16" s="3211" customFormat="1" ht="36" customHeight="1">
      <c r="A23" s="3227" t="s">
        <v>3650</v>
      </c>
      <c r="B23" s="3218"/>
      <c r="C23" s="3213">
        <v>7</v>
      </c>
      <c r="D23" s="3208" t="s">
        <v>3651</v>
      </c>
      <c r="E23" s="3212">
        <f>4135.51-2678.8</f>
        <v>1456.71</v>
      </c>
      <c r="F23" s="3218"/>
      <c r="G23" s="3266">
        <v>44378</v>
      </c>
      <c r="H23" s="3266">
        <v>46295</v>
      </c>
      <c r="I23" s="3267">
        <v>63</v>
      </c>
      <c r="J23" s="4078" t="s">
        <v>3672</v>
      </c>
      <c r="K23" s="4078"/>
      <c r="L23" s="3267">
        <v>4</v>
      </c>
      <c r="M23" s="3271">
        <f>423*12/365</f>
        <v>13.906849315068493</v>
      </c>
      <c r="N23" s="3218"/>
      <c r="O23" s="3248"/>
    </row>
    <row r="24" spans="1:16" ht="36" hidden="1" customHeight="1">
      <c r="A24" s="3253" t="s">
        <v>3659</v>
      </c>
      <c r="B24" s="3206"/>
      <c r="C24" s="3213">
        <v>6</v>
      </c>
      <c r="D24" s="3214" t="s">
        <v>3673</v>
      </c>
      <c r="E24" s="3212">
        <v>748.95</v>
      </c>
      <c r="F24" s="3206"/>
      <c r="G24" s="3209">
        <v>44378</v>
      </c>
      <c r="H24" s="3209">
        <v>45107</v>
      </c>
      <c r="I24" s="3206">
        <v>24</v>
      </c>
      <c r="J24" s="3220">
        <v>45093</v>
      </c>
      <c r="K24" s="3220">
        <v>45107</v>
      </c>
      <c r="L24" s="3206">
        <v>0.5</v>
      </c>
      <c r="M24" s="3258">
        <f>441.04*12/365</f>
        <v>14.499945205479454</v>
      </c>
      <c r="N24" s="3216"/>
      <c r="O24" s="3272">
        <f>'[7]辅-面积表'!C7-租户信息表!E24</f>
        <v>723.35000000000014</v>
      </c>
    </row>
    <row r="25" spans="1:16" s="3211" customFormat="1" ht="36" customHeight="1">
      <c r="A25" s="4040" t="s">
        <v>3650</v>
      </c>
      <c r="B25" s="3218"/>
      <c r="C25" s="3213">
        <v>5</v>
      </c>
      <c r="D25" s="3208" t="s">
        <v>3651</v>
      </c>
      <c r="E25" s="3212">
        <v>1511.02</v>
      </c>
      <c r="F25" s="3218"/>
      <c r="G25" s="4041">
        <v>44409</v>
      </c>
      <c r="H25" s="4041">
        <v>46295</v>
      </c>
      <c r="I25" s="3273"/>
      <c r="J25" s="4075" t="s">
        <v>3674</v>
      </c>
      <c r="K25" s="4075"/>
      <c r="L25" s="4063">
        <v>4</v>
      </c>
      <c r="M25" s="3641">
        <f>M26</f>
        <v>13.906849315068493</v>
      </c>
      <c r="N25" s="3218"/>
      <c r="O25" s="3222"/>
    </row>
    <row r="26" spans="1:16" s="3211" customFormat="1" ht="36" customHeight="1">
      <c r="A26" s="4040"/>
      <c r="B26" s="3218"/>
      <c r="C26" s="3213">
        <v>3</v>
      </c>
      <c r="D26" s="3208" t="s">
        <v>3651</v>
      </c>
      <c r="E26" s="3212">
        <f>'[7]辅-面积表'!C5</f>
        <v>1336.34</v>
      </c>
      <c r="F26" s="3218"/>
      <c r="G26" s="4053"/>
      <c r="H26" s="4053"/>
      <c r="I26" s="3274">
        <v>62</v>
      </c>
      <c r="J26" s="4075"/>
      <c r="K26" s="4075"/>
      <c r="L26" s="4065"/>
      <c r="M26" s="3641">
        <f>423*12/365</f>
        <v>13.906849315068493</v>
      </c>
      <c r="N26" s="3218"/>
      <c r="O26" s="3222"/>
    </row>
    <row r="27" spans="1:16" s="3211" customFormat="1" ht="36" hidden="1" customHeight="1">
      <c r="A27" s="3221" t="s">
        <v>3675</v>
      </c>
      <c r="B27" s="3206"/>
      <c r="C27" s="3207">
        <v>2</v>
      </c>
      <c r="D27" s="3208"/>
      <c r="E27" s="3206">
        <f>'[7]辅-面积表'!C4</f>
        <v>993.59</v>
      </c>
      <c r="F27" s="3206"/>
      <c r="G27" s="3250"/>
      <c r="H27" s="3250"/>
      <c r="I27" s="3251"/>
      <c r="J27" s="3220"/>
      <c r="K27" s="3220"/>
      <c r="L27" s="3206"/>
      <c r="M27" s="3206"/>
      <c r="N27" s="3216"/>
      <c r="O27" s="3222">
        <f>E27</f>
        <v>993.59</v>
      </c>
    </row>
    <row r="28" spans="1:16" s="3211" customFormat="1" ht="36" hidden="1" customHeight="1">
      <c r="A28" s="3210" t="s">
        <v>3676</v>
      </c>
      <c r="B28" s="3206" t="s">
        <v>3677</v>
      </c>
      <c r="C28" s="3207">
        <v>1</v>
      </c>
      <c r="D28" s="3208" t="s">
        <v>3492</v>
      </c>
      <c r="E28" s="3206">
        <v>395.39</v>
      </c>
      <c r="F28" s="3206">
        <v>276.77</v>
      </c>
      <c r="G28" s="3257">
        <v>42614</v>
      </c>
      <c r="H28" s="3257">
        <v>44439</v>
      </c>
      <c r="I28" s="3256">
        <v>60</v>
      </c>
      <c r="J28" s="3220"/>
      <c r="K28" s="3220"/>
      <c r="L28" s="3206">
        <v>0</v>
      </c>
      <c r="M28" s="3256">
        <v>12.65</v>
      </c>
      <c r="N28" s="3216">
        <v>275.52999999999997</v>
      </c>
      <c r="O28" s="3222"/>
    </row>
    <row r="29" spans="1:16" s="3211" customFormat="1" ht="36" hidden="1" customHeight="1">
      <c r="A29" s="3207" t="s">
        <v>3678</v>
      </c>
      <c r="B29" s="3206"/>
      <c r="C29" s="3207">
        <v>1</v>
      </c>
      <c r="D29" s="3208" t="s">
        <v>3679</v>
      </c>
      <c r="E29" s="3206">
        <f>1299.98-993.59</f>
        <v>306.39</v>
      </c>
      <c r="F29" s="3206"/>
      <c r="G29" s="3250">
        <v>43466</v>
      </c>
      <c r="H29" s="3250">
        <v>44561</v>
      </c>
      <c r="I29" s="3251">
        <v>36</v>
      </c>
      <c r="J29" s="3209">
        <v>43466</v>
      </c>
      <c r="K29" s="3209">
        <v>43496</v>
      </c>
      <c r="L29" s="3251">
        <v>1</v>
      </c>
      <c r="M29" s="3251">
        <v>15</v>
      </c>
      <c r="N29" s="3216">
        <v>213.96</v>
      </c>
      <c r="O29" s="3222"/>
    </row>
    <row r="30" spans="1:16" ht="82.5" hidden="1" customHeight="1">
      <c r="A30" s="3217" t="s">
        <v>3680</v>
      </c>
      <c r="B30" s="3218"/>
      <c r="C30" s="3213" t="s">
        <v>3453</v>
      </c>
      <c r="D30" s="3214" t="s">
        <v>3681</v>
      </c>
      <c r="E30" s="3212">
        <v>684.66</v>
      </c>
      <c r="F30" s="3212">
        <v>479.26</v>
      </c>
      <c r="G30" s="3215">
        <v>44397</v>
      </c>
      <c r="H30" s="3215">
        <v>45492</v>
      </c>
      <c r="I30" s="3212">
        <v>36</v>
      </c>
      <c r="J30" s="3259">
        <v>44397</v>
      </c>
      <c r="K30" s="3259">
        <v>44458</v>
      </c>
      <c r="L30" s="3212">
        <v>2</v>
      </c>
      <c r="M30" s="3212" t="s">
        <v>3682</v>
      </c>
      <c r="N30" s="3216">
        <v>477.78</v>
      </c>
      <c r="O30" s="3222"/>
      <c r="P30" s="3211"/>
    </row>
    <row r="31" spans="1:16" ht="36" hidden="1" customHeight="1">
      <c r="A31" s="3221" t="s">
        <v>3675</v>
      </c>
      <c r="B31" s="3206"/>
      <c r="C31" s="3207" t="s">
        <v>3453</v>
      </c>
      <c r="D31" s="3208" t="s">
        <v>3479</v>
      </c>
      <c r="E31" s="3206"/>
      <c r="F31" s="3206"/>
      <c r="G31" s="3209"/>
      <c r="H31" s="3209"/>
      <c r="I31" s="3206"/>
      <c r="J31" s="3220"/>
      <c r="K31" s="3220"/>
      <c r="L31" s="3206"/>
      <c r="M31" s="3206"/>
      <c r="N31" s="3216">
        <v>387.38</v>
      </c>
      <c r="O31" s="3222">
        <f>N31/62%</f>
        <v>624.80645161290317</v>
      </c>
      <c r="P31" s="3211"/>
    </row>
    <row r="32" spans="1:16" ht="33" hidden="1">
      <c r="A32" s="3207" t="s">
        <v>3683</v>
      </c>
      <c r="B32" s="3206" t="s">
        <v>3684</v>
      </c>
      <c r="C32" s="3207" t="s">
        <v>3453</v>
      </c>
      <c r="D32" s="3208" t="s">
        <v>3685</v>
      </c>
      <c r="E32" s="3206">
        <v>126.45</v>
      </c>
      <c r="F32" s="3206"/>
      <c r="G32" s="3209">
        <v>43936</v>
      </c>
      <c r="H32" s="3209">
        <v>45030</v>
      </c>
      <c r="I32" s="3206">
        <v>36</v>
      </c>
      <c r="J32" s="3220"/>
      <c r="K32" s="3220"/>
      <c r="L32" s="3206">
        <v>0</v>
      </c>
      <c r="M32" s="3223">
        <v>15.5</v>
      </c>
      <c r="N32" s="3216">
        <v>88.18</v>
      </c>
      <c r="O32" s="3222"/>
      <c r="P32" s="3211"/>
    </row>
    <row r="33" spans="1:16" s="3226" customFormat="1" ht="33" hidden="1">
      <c r="A33" s="3224" t="s">
        <v>3686</v>
      </c>
      <c r="B33" s="3225" t="s">
        <v>3687</v>
      </c>
      <c r="C33" s="3207" t="s">
        <v>3453</v>
      </c>
      <c r="D33" s="3208" t="s">
        <v>3688</v>
      </c>
      <c r="E33" s="3206">
        <v>266.98</v>
      </c>
      <c r="F33" s="3206"/>
      <c r="G33" s="3209">
        <v>43160</v>
      </c>
      <c r="H33" s="3209">
        <v>44255</v>
      </c>
      <c r="I33" s="3206">
        <v>36</v>
      </c>
      <c r="J33" s="3220"/>
      <c r="K33" s="3220"/>
      <c r="L33" s="3206">
        <v>0</v>
      </c>
      <c r="M33" s="3206">
        <v>11.8</v>
      </c>
      <c r="N33" s="3216">
        <v>186.29</v>
      </c>
      <c r="O33" s="3222"/>
      <c r="P33" s="3211"/>
    </row>
    <row r="34" spans="1:16" s="3226" customFormat="1" hidden="1">
      <c r="A34" s="3227" t="s">
        <v>3675</v>
      </c>
      <c r="B34" s="3218"/>
      <c r="C34" s="3207" t="s">
        <v>3453</v>
      </c>
      <c r="D34" s="3208" t="s">
        <v>3689</v>
      </c>
      <c r="E34" s="3212">
        <v>30</v>
      </c>
      <c r="F34" s="3212">
        <v>30</v>
      </c>
      <c r="G34" s="3228"/>
      <c r="H34" s="3228"/>
      <c r="I34" s="3218"/>
      <c r="J34" s="3228"/>
      <c r="K34" s="3228"/>
      <c r="L34" s="3218"/>
      <c r="M34" s="3229"/>
      <c r="N34" s="3216">
        <v>30</v>
      </c>
      <c r="O34" s="3230">
        <f>N34/62%</f>
        <v>48.387096774193552</v>
      </c>
      <c r="P34" s="3211"/>
    </row>
    <row r="35" spans="1:16" hidden="1">
      <c r="A35" s="3231" t="s">
        <v>3675</v>
      </c>
      <c r="B35" s="3232"/>
      <c r="C35" s="3232" t="s">
        <v>3452</v>
      </c>
      <c r="D35" s="3233" t="s">
        <v>3605</v>
      </c>
      <c r="E35" s="3232"/>
      <c r="F35" s="3232"/>
      <c r="G35" s="3234"/>
      <c r="H35" s="3234"/>
      <c r="I35" s="3232"/>
      <c r="J35" s="3232"/>
      <c r="K35" s="3232"/>
      <c r="L35" s="3232"/>
      <c r="M35" s="3232"/>
      <c r="N35" s="3235">
        <v>57.74</v>
      </c>
      <c r="O35" s="3222">
        <f>N31/62%</f>
        <v>624.80645161290317</v>
      </c>
      <c r="P35" s="3211"/>
    </row>
    <row r="36" spans="1:16" hidden="1">
      <c r="A36" s="3231" t="s">
        <v>3675</v>
      </c>
      <c r="B36" s="3232"/>
      <c r="C36" s="3232" t="s">
        <v>3452</v>
      </c>
      <c r="D36" s="3233" t="s">
        <v>3603</v>
      </c>
      <c r="E36" s="3232"/>
      <c r="F36" s="3232"/>
      <c r="G36" s="3234"/>
      <c r="H36" s="3234"/>
      <c r="I36" s="3232"/>
      <c r="J36" s="3232"/>
      <c r="K36" s="3232"/>
      <c r="L36" s="3232"/>
      <c r="M36" s="3232"/>
      <c r="N36" s="3235">
        <v>57.74</v>
      </c>
      <c r="O36" s="3222">
        <f>N32/62%</f>
        <v>142.22580645161293</v>
      </c>
      <c r="P36" s="3211"/>
    </row>
    <row r="37" spans="1:16" ht="16.5" hidden="1">
      <c r="A37" s="3210" t="s">
        <v>3690</v>
      </c>
      <c r="B37" s="3206" t="s">
        <v>3691</v>
      </c>
      <c r="C37" s="3207" t="s">
        <v>3452</v>
      </c>
      <c r="D37" s="3208" t="s">
        <v>3601</v>
      </c>
      <c r="E37" s="3206">
        <v>253.09</v>
      </c>
      <c r="F37" s="3206">
        <v>177.16</v>
      </c>
      <c r="G37" s="3209">
        <v>42694</v>
      </c>
      <c r="H37" s="3209" t="s">
        <v>3692</v>
      </c>
      <c r="I37" s="3206">
        <v>60</v>
      </c>
      <c r="J37" s="3209">
        <v>42694</v>
      </c>
      <c r="K37" s="3220">
        <v>42723</v>
      </c>
      <c r="L37" s="3206">
        <v>1</v>
      </c>
      <c r="M37" s="3206">
        <f>11*(1+10%)</f>
        <v>12.100000000000001</v>
      </c>
      <c r="N37" s="3216">
        <v>179.27</v>
      </c>
      <c r="O37" s="3222"/>
      <c r="P37" s="3211"/>
    </row>
    <row r="38" spans="1:16" ht="16.5" hidden="1">
      <c r="A38" s="3217" t="s">
        <v>3661</v>
      </c>
      <c r="B38" s="3218"/>
      <c r="C38" s="3213" t="s">
        <v>3452</v>
      </c>
      <c r="D38" s="3214" t="s">
        <v>3599</v>
      </c>
      <c r="E38" s="3236">
        <v>290.64999999999998</v>
      </c>
      <c r="F38" s="3218"/>
      <c r="G38" s="3215">
        <v>44348</v>
      </c>
      <c r="H38" s="3215">
        <v>45077</v>
      </c>
      <c r="I38" s="3212">
        <v>24</v>
      </c>
      <c r="J38" s="3215">
        <v>45032</v>
      </c>
      <c r="K38" s="3215">
        <v>45077</v>
      </c>
      <c r="L38" s="3212">
        <v>1.5</v>
      </c>
      <c r="M38" s="3219">
        <f>482*12/365</f>
        <v>15.846575342465753</v>
      </c>
      <c r="N38" s="3216">
        <v>201.18</v>
      </c>
      <c r="O38" s="3222"/>
      <c r="P38" s="3211"/>
    </row>
    <row r="39" spans="1:16" hidden="1">
      <c r="A39" s="3237" t="s">
        <v>3675</v>
      </c>
      <c r="B39" s="3232"/>
      <c r="C39" s="3232" t="s">
        <v>3452</v>
      </c>
      <c r="D39" s="3233" t="s">
        <v>3597</v>
      </c>
      <c r="E39" s="3232"/>
      <c r="F39" s="3232"/>
      <c r="G39" s="3234"/>
      <c r="H39" s="3234"/>
      <c r="I39" s="3232"/>
      <c r="J39" s="3232"/>
      <c r="K39" s="3232"/>
      <c r="L39" s="3232"/>
      <c r="M39" s="3232"/>
      <c r="N39" s="3235">
        <v>167.41</v>
      </c>
      <c r="O39" s="3222">
        <f t="shared" ref="O39:O40" si="0">N39/62%</f>
        <v>270.01612903225805</v>
      </c>
      <c r="P39" s="3211"/>
    </row>
    <row r="40" spans="1:16" hidden="1">
      <c r="A40" s="3237" t="s">
        <v>3675</v>
      </c>
      <c r="B40" s="3232"/>
      <c r="C40" s="3232" t="s">
        <v>3452</v>
      </c>
      <c r="D40" s="3233" t="s">
        <v>3595</v>
      </c>
      <c r="E40" s="3232"/>
      <c r="F40" s="3232"/>
      <c r="G40" s="3234"/>
      <c r="H40" s="3234"/>
      <c r="I40" s="3232"/>
      <c r="J40" s="3232"/>
      <c r="K40" s="3232"/>
      <c r="L40" s="3232"/>
      <c r="M40" s="3232"/>
      <c r="N40" s="3235">
        <v>48.84</v>
      </c>
      <c r="O40" s="3222">
        <f t="shared" si="0"/>
        <v>78.774193548387103</v>
      </c>
      <c r="P40" s="3211"/>
    </row>
    <row r="41" spans="1:16" ht="16.5" hidden="1">
      <c r="A41" s="3210" t="s">
        <v>3693</v>
      </c>
      <c r="B41" s="3206" t="s">
        <v>3694</v>
      </c>
      <c r="C41" s="3207" t="s">
        <v>3452</v>
      </c>
      <c r="D41" s="3208" t="s">
        <v>3695</v>
      </c>
      <c r="E41" s="3206">
        <v>129.19999999999999</v>
      </c>
      <c r="F41" s="3206"/>
      <c r="G41" s="3209">
        <v>43405</v>
      </c>
      <c r="H41" s="3209">
        <v>44500</v>
      </c>
      <c r="I41" s="3206">
        <v>36</v>
      </c>
      <c r="J41" s="3220"/>
      <c r="K41" s="3220"/>
      <c r="L41" s="3206">
        <v>0</v>
      </c>
      <c r="M41" s="3206">
        <v>7</v>
      </c>
      <c r="N41" s="3216">
        <f>40.02+40.36</f>
        <v>80.38</v>
      </c>
      <c r="O41" s="3222"/>
      <c r="P41" s="3211">
        <f t="shared" ref="P41:P42" si="1">N41/E41</f>
        <v>0.62213622291021675</v>
      </c>
    </row>
    <row r="42" spans="1:16" ht="36" hidden="1" customHeight="1">
      <c r="A42" s="3221" t="s">
        <v>3675</v>
      </c>
      <c r="B42" s="3206"/>
      <c r="C42" s="3207" t="s">
        <v>3452</v>
      </c>
      <c r="D42" s="3207" t="s">
        <v>3696</v>
      </c>
      <c r="E42" s="3206">
        <v>129.19999999999999</v>
      </c>
      <c r="F42" s="3206"/>
      <c r="G42" s="3209"/>
      <c r="H42" s="3209"/>
      <c r="I42" s="3206"/>
      <c r="J42" s="3220"/>
      <c r="K42" s="3220"/>
      <c r="L42" s="3206"/>
      <c r="M42" s="3206"/>
      <c r="N42" s="3216">
        <f>40.19+40.19</f>
        <v>80.38</v>
      </c>
      <c r="O42" s="3222">
        <f t="shared" ref="O42:O44" si="2">N42/62%</f>
        <v>129.64516129032256</v>
      </c>
      <c r="P42" s="3211">
        <f t="shared" si="1"/>
        <v>0.62213622291021675</v>
      </c>
    </row>
    <row r="43" spans="1:16" ht="36" hidden="1" customHeight="1">
      <c r="A43" s="3237" t="s">
        <v>3675</v>
      </c>
      <c r="B43" s="3232"/>
      <c r="C43" s="3232" t="s">
        <v>3452</v>
      </c>
      <c r="D43" s="3232" t="s">
        <v>3585</v>
      </c>
      <c r="E43" s="3232"/>
      <c r="F43" s="3232"/>
      <c r="G43" s="3234"/>
      <c r="H43" s="3234"/>
      <c r="I43" s="3232"/>
      <c r="J43" s="3232"/>
      <c r="K43" s="3232"/>
      <c r="L43" s="3232"/>
      <c r="M43" s="3232"/>
      <c r="N43" s="3235">
        <v>125.58</v>
      </c>
      <c r="O43" s="3222">
        <f t="shared" si="2"/>
        <v>202.54838709677421</v>
      </c>
      <c r="P43" s="3211"/>
    </row>
    <row r="44" spans="1:16" ht="36" hidden="1" customHeight="1">
      <c r="A44" s="3237" t="s">
        <v>3675</v>
      </c>
      <c r="B44" s="3232"/>
      <c r="C44" s="3232" t="s">
        <v>3452</v>
      </c>
      <c r="D44" s="3207" t="s">
        <v>3697</v>
      </c>
      <c r="E44" s="3232"/>
      <c r="F44" s="3232"/>
      <c r="G44" s="3234"/>
      <c r="H44" s="3234"/>
      <c r="I44" s="3232"/>
      <c r="J44" s="3232"/>
      <c r="K44" s="3232"/>
      <c r="L44" s="3232"/>
      <c r="M44" s="3232"/>
      <c r="N44" s="3235">
        <v>606.91</v>
      </c>
      <c r="O44" s="3222">
        <f t="shared" si="2"/>
        <v>978.88709677419354</v>
      </c>
      <c r="P44" s="3211"/>
    </row>
  </sheetData>
  <mergeCells count="42">
    <mergeCell ref="L18:L20"/>
    <mergeCell ref="G21:G22"/>
    <mergeCell ref="H21:H22"/>
    <mergeCell ref="I21:I22"/>
    <mergeCell ref="J23:K23"/>
    <mergeCell ref="A25:A26"/>
    <mergeCell ref="G25:G26"/>
    <mergeCell ref="H25:H26"/>
    <mergeCell ref="J25:K26"/>
    <mergeCell ref="L25:L26"/>
    <mergeCell ref="L9:L11"/>
    <mergeCell ref="M9:M11"/>
    <mergeCell ref="A13:A14"/>
    <mergeCell ref="J16:K16"/>
    <mergeCell ref="J17:K17"/>
    <mergeCell ref="A18:A20"/>
    <mergeCell ref="G18:G20"/>
    <mergeCell ref="H18:H20"/>
    <mergeCell ref="I18:I20"/>
    <mergeCell ref="J18:K20"/>
    <mergeCell ref="J6:K6"/>
    <mergeCell ref="J7:K7"/>
    <mergeCell ref="A8:A11"/>
    <mergeCell ref="J8:K8"/>
    <mergeCell ref="E9:E11"/>
    <mergeCell ref="G9:G11"/>
    <mergeCell ref="H9:H11"/>
    <mergeCell ref="I9:I11"/>
    <mergeCell ref="J9:K11"/>
    <mergeCell ref="A1:B1"/>
    <mergeCell ref="C1:F1"/>
    <mergeCell ref="G1:L1"/>
    <mergeCell ref="A3:A5"/>
    <mergeCell ref="G3:G4"/>
    <mergeCell ref="H3:H4"/>
    <mergeCell ref="I3:I4"/>
    <mergeCell ref="J3:K4"/>
    <mergeCell ref="N1:N2"/>
    <mergeCell ref="O1:O2"/>
    <mergeCell ref="J2:L2"/>
    <mergeCell ref="L3:L4"/>
    <mergeCell ref="J5:K5"/>
  </mergeCells>
  <phoneticPr fontId="134" type="noConversion"/>
  <pageMargins left="0.69930555555555596" right="0.69930555555555596" top="0.75" bottom="0.75" header="0.3" footer="0.3"/>
  <pageSetup paperSize="9" orientation="portrait"/>
  <headerFooter alignWithMargins="0"/>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3A3C2-1378-4ABE-BD00-FE63C91966E4}">
  <dimension ref="Q4:T28"/>
  <sheetViews>
    <sheetView topLeftCell="A22" workbookViewId="0">
      <selection activeCell="L71" sqref="L71"/>
    </sheetView>
  </sheetViews>
  <sheetFormatPr defaultRowHeight="13.5"/>
  <sheetData>
    <row r="4" spans="17:17">
      <c r="Q4">
        <v>0.05</v>
      </c>
    </row>
    <row r="5" spans="17:17">
      <c r="Q5">
        <v>0.11</v>
      </c>
    </row>
    <row r="6" spans="17:17">
      <c r="Q6">
        <v>0.05</v>
      </c>
    </row>
    <row r="7" spans="17:17">
      <c r="Q7">
        <v>0.16</v>
      </c>
    </row>
    <row r="8" spans="17:17">
      <c r="Q8">
        <v>0.33</v>
      </c>
    </row>
    <row r="9" spans="17:17">
      <c r="Q9" s="3640">
        <f>AVERAGE(Q4:Q8)</f>
        <v>0.13999999999999999</v>
      </c>
    </row>
    <row r="27" spans="20:20">
      <c r="T27">
        <v>1000</v>
      </c>
    </row>
    <row r="28" spans="20:20">
      <c r="T28">
        <v>650</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D577-AC3A-427D-BD15-8BD71BCC089E}">
  <sheetPr>
    <tabColor rgb="FFFFFF00"/>
  </sheetPr>
  <dimension ref="A1:AG87"/>
  <sheetViews>
    <sheetView workbookViewId="0">
      <selection activeCell="I2" sqref="I2:I5"/>
    </sheetView>
  </sheetViews>
  <sheetFormatPr defaultRowHeight="13.5"/>
  <cols>
    <col min="1" max="3" width="9" style="3167"/>
    <col min="4" max="5" width="9" style="3168"/>
    <col min="6" max="7" width="9" style="3167"/>
    <col min="8" max="8" width="15.625" style="3167" customWidth="1"/>
    <col min="9" max="16384" width="9" style="3167"/>
  </cols>
  <sheetData>
    <row r="1" spans="1:32" ht="29.25" thickTop="1">
      <c r="A1" s="3167" t="s">
        <v>3458</v>
      </c>
      <c r="H1" s="3169" t="s">
        <v>3459</v>
      </c>
      <c r="I1" s="3170"/>
      <c r="K1" s="3167" t="s">
        <v>3460</v>
      </c>
      <c r="L1" s="3167" t="s">
        <v>3461</v>
      </c>
      <c r="M1" s="3167" t="s">
        <v>3462</v>
      </c>
      <c r="O1" s="3171" t="s">
        <v>3463</v>
      </c>
      <c r="P1" s="3171" t="s">
        <v>3464</v>
      </c>
      <c r="Q1" s="3172" t="s">
        <v>3465</v>
      </c>
      <c r="R1" s="3173" t="s">
        <v>3466</v>
      </c>
      <c r="S1" s="3174" t="s">
        <v>3467</v>
      </c>
      <c r="V1" s="3167" t="s">
        <v>3468</v>
      </c>
      <c r="AC1" s="4081" t="s">
        <v>3469</v>
      </c>
      <c r="AD1" s="4081"/>
      <c r="AE1" s="4081" t="s">
        <v>2330</v>
      </c>
      <c r="AF1" s="4081"/>
    </row>
    <row r="2" spans="1:32" ht="16.5">
      <c r="A2" s="3167" t="s">
        <v>3461</v>
      </c>
      <c r="B2" s="3167" t="s">
        <v>3462</v>
      </c>
      <c r="D2" s="3168" t="s">
        <v>3461</v>
      </c>
      <c r="E2" s="3168" t="s">
        <v>3470</v>
      </c>
      <c r="H2" s="3175" t="s">
        <v>3471</v>
      </c>
      <c r="I2" s="3176">
        <v>285.33</v>
      </c>
      <c r="K2" s="3167">
        <v>1</v>
      </c>
      <c r="L2" s="3167" t="s">
        <v>3472</v>
      </c>
      <c r="M2" s="3167">
        <v>1807.12</v>
      </c>
      <c r="O2" s="3177">
        <v>1</v>
      </c>
      <c r="P2" s="3178" t="s">
        <v>3473</v>
      </c>
      <c r="Q2" s="3179" t="s">
        <v>3473</v>
      </c>
      <c r="R2" s="3179">
        <f>M3</f>
        <v>1026.51</v>
      </c>
      <c r="S2" s="3179">
        <v>734.88</v>
      </c>
      <c r="V2" s="3167">
        <v>1</v>
      </c>
      <c r="Y2" s="3167" t="s">
        <v>3474</v>
      </c>
      <c r="Z2" s="3167">
        <f>[5]Sheet1!B2+[5]Sheet1!B3+[5]Sheet1!B4+[5]Sheet1!B5</f>
        <v>1863.16</v>
      </c>
      <c r="AC2" s="4079" t="s">
        <v>3472</v>
      </c>
      <c r="AD2" s="4080"/>
      <c r="AE2" s="4080">
        <v>1807.12</v>
      </c>
      <c r="AF2" s="4080"/>
    </row>
    <row r="3" spans="1:32" ht="16.5">
      <c r="A3" s="3167">
        <v>1</v>
      </c>
      <c r="B3" s="3167">
        <v>421.51</v>
      </c>
      <c r="C3" s="3167">
        <v>-1</v>
      </c>
      <c r="D3" s="3180" t="s">
        <v>3475</v>
      </c>
      <c r="E3" s="3180">
        <f>129.2+290.65+253.09</f>
        <v>672.93999999999994</v>
      </c>
      <c r="H3" s="3169" t="s">
        <v>3476</v>
      </c>
      <c r="I3" s="3176">
        <v>135.06</v>
      </c>
      <c r="K3" s="3167">
        <v>2</v>
      </c>
      <c r="L3" s="3167" t="s">
        <v>3477</v>
      </c>
      <c r="M3" s="3167">
        <v>1026.51</v>
      </c>
      <c r="O3" s="3181" t="s">
        <v>3478</v>
      </c>
      <c r="P3" s="3178" t="s">
        <v>3459</v>
      </c>
      <c r="Q3" s="3179" t="s">
        <v>3459</v>
      </c>
      <c r="R3" s="3179">
        <f>M2</f>
        <v>1807.12</v>
      </c>
      <c r="S3" s="3179">
        <v>1863.16</v>
      </c>
      <c r="V3" s="3167" t="s">
        <v>3474</v>
      </c>
      <c r="Y3" s="3167">
        <v>1</v>
      </c>
      <c r="Z3" s="3167">
        <f>[5]Sheet1!B7+[5]Sheet1!B8</f>
        <v>734.88000000000011</v>
      </c>
      <c r="AC3" s="4079" t="s">
        <v>3477</v>
      </c>
      <c r="AD3" s="4080"/>
      <c r="AE3" s="4080">
        <v>1026.51</v>
      </c>
      <c r="AF3" s="4080"/>
    </row>
    <row r="4" spans="1:32" ht="16.5">
      <c r="A4" s="3167">
        <v>2</v>
      </c>
      <c r="B4" s="3167">
        <v>736.83</v>
      </c>
      <c r="C4" s="3167">
        <v>1</v>
      </c>
      <c r="D4" s="3180" t="s">
        <v>3474</v>
      </c>
      <c r="E4" s="3180">
        <f>684.66+126.45+266.98</f>
        <v>1078.0900000000001</v>
      </c>
      <c r="H4" s="3169" t="s">
        <v>3479</v>
      </c>
      <c r="I4" s="3176">
        <v>646.01</v>
      </c>
      <c r="K4" s="3167">
        <v>3</v>
      </c>
      <c r="L4" s="3167" t="s">
        <v>3480</v>
      </c>
      <c r="M4" s="3167">
        <v>1023.34</v>
      </c>
      <c r="O4" s="3177">
        <v>2</v>
      </c>
      <c r="P4" s="3178" t="s">
        <v>3481</v>
      </c>
      <c r="Q4" s="3179" t="s">
        <v>3481</v>
      </c>
      <c r="R4" s="3179">
        <f t="shared" ref="R4:R26" si="0">M4</f>
        <v>1023.34</v>
      </c>
      <c r="S4" s="3179">
        <v>1002.32</v>
      </c>
      <c r="V4" s="3167">
        <v>2</v>
      </c>
      <c r="Y4" s="3167">
        <v>2</v>
      </c>
      <c r="Z4" s="3167">
        <f>[5]Sheet1!B10</f>
        <v>1002.32</v>
      </c>
      <c r="AC4" s="4079" t="s">
        <v>3480</v>
      </c>
      <c r="AD4" s="4080"/>
      <c r="AE4" s="4080">
        <v>1023.34</v>
      </c>
      <c r="AF4" s="4080"/>
    </row>
    <row r="5" spans="1:32" ht="16.5">
      <c r="A5" s="3167">
        <v>3</v>
      </c>
      <c r="B5" s="3167">
        <v>1004.98</v>
      </c>
      <c r="C5" s="3167">
        <v>2</v>
      </c>
      <c r="D5" s="3180">
        <v>1</v>
      </c>
      <c r="E5" s="3180">
        <f>395.39+306.39</f>
        <v>701.78</v>
      </c>
      <c r="H5" s="3169" t="s">
        <v>3482</v>
      </c>
      <c r="I5" s="3176">
        <v>796.76</v>
      </c>
      <c r="K5" s="3167">
        <v>4</v>
      </c>
      <c r="L5" s="3167" t="s">
        <v>3483</v>
      </c>
      <c r="M5" s="3167">
        <v>1270.94</v>
      </c>
      <c r="O5" s="3177">
        <v>3</v>
      </c>
      <c r="P5" s="3178" t="s">
        <v>3484</v>
      </c>
      <c r="Q5" s="3179" t="s">
        <v>3484</v>
      </c>
      <c r="R5" s="3179">
        <f t="shared" si="0"/>
        <v>1270.94</v>
      </c>
      <c r="S5" s="3179">
        <v>1320.97</v>
      </c>
      <c r="V5" s="3167">
        <v>3</v>
      </c>
      <c r="Y5" s="3167">
        <v>3</v>
      </c>
      <c r="Z5" s="3167">
        <f>[5]Sheet1!B12</f>
        <v>1320.97</v>
      </c>
      <c r="AC5" s="4079" t="s">
        <v>3483</v>
      </c>
      <c r="AD5" s="4080"/>
      <c r="AE5" s="4080">
        <v>1270.94</v>
      </c>
      <c r="AF5" s="4080"/>
    </row>
    <row r="6" spans="1:32" ht="16.5">
      <c r="A6" s="3167">
        <v>4</v>
      </c>
      <c r="B6" s="3167">
        <v>1324.47</v>
      </c>
      <c r="C6" s="3167">
        <v>3</v>
      </c>
      <c r="D6" s="3168">
        <v>3</v>
      </c>
      <c r="E6" s="3168">
        <v>1336.34</v>
      </c>
      <c r="H6" s="3169" t="s">
        <v>3473</v>
      </c>
      <c r="I6" s="3176"/>
      <c r="K6" s="3167">
        <v>5</v>
      </c>
      <c r="L6" s="3167" t="s">
        <v>3485</v>
      </c>
      <c r="M6" s="3167">
        <v>1388.11</v>
      </c>
      <c r="O6" s="3177">
        <v>4</v>
      </c>
      <c r="P6" s="3178" t="s">
        <v>3486</v>
      </c>
      <c r="Q6" s="3179" t="s">
        <v>3487</v>
      </c>
      <c r="R6" s="3179">
        <f t="shared" si="0"/>
        <v>1388.11</v>
      </c>
      <c r="S6" s="3179">
        <v>1488.24</v>
      </c>
      <c r="V6" s="3167">
        <v>5</v>
      </c>
      <c r="Y6" s="3167">
        <v>4</v>
      </c>
      <c r="Z6" s="3167">
        <f>[5]Sheet1!B14</f>
        <v>1488.24</v>
      </c>
      <c r="AC6" s="4079" t="s">
        <v>3485</v>
      </c>
      <c r="AD6" s="4080"/>
      <c r="AE6" s="4080">
        <v>1388.11</v>
      </c>
      <c r="AF6" s="4080"/>
    </row>
    <row r="7" spans="1:32" ht="16.5">
      <c r="A7" s="3167">
        <v>5</v>
      </c>
      <c r="B7" s="3167">
        <v>1492.19</v>
      </c>
      <c r="C7" s="3167">
        <v>4</v>
      </c>
      <c r="D7" s="3168">
        <v>5</v>
      </c>
      <c r="E7" s="3168">
        <v>1511.02</v>
      </c>
      <c r="H7" s="3169" t="s">
        <v>3488</v>
      </c>
      <c r="I7" s="3176">
        <v>321.22000000000003</v>
      </c>
      <c r="K7" s="3167">
        <v>6</v>
      </c>
      <c r="L7" s="3167" t="s">
        <v>3489</v>
      </c>
      <c r="M7" s="3167">
        <v>1348.62</v>
      </c>
      <c r="O7" s="3177">
        <v>5</v>
      </c>
      <c r="P7" s="3178" t="s">
        <v>3490</v>
      </c>
      <c r="Q7" s="3179" t="s">
        <v>3491</v>
      </c>
      <c r="R7" s="3179">
        <f t="shared" si="0"/>
        <v>1348.62</v>
      </c>
      <c r="S7" s="3179">
        <v>1435.93</v>
      </c>
      <c r="V7" s="3167">
        <v>6</v>
      </c>
      <c r="Y7" s="3167">
        <v>5</v>
      </c>
      <c r="Z7" s="3167">
        <f>[5]Sheet1!B16</f>
        <v>1435.93</v>
      </c>
      <c r="AC7" s="4079" t="s">
        <v>3489</v>
      </c>
      <c r="AD7" s="4080"/>
      <c r="AE7" s="4080">
        <v>1348.62</v>
      </c>
      <c r="AF7" s="4080"/>
    </row>
    <row r="8" spans="1:32" ht="16.5">
      <c r="A8" s="3167">
        <v>6</v>
      </c>
      <c r="B8" s="3167">
        <v>1439.73</v>
      </c>
      <c r="C8" s="3167">
        <v>5</v>
      </c>
      <c r="D8" s="3168">
        <v>6</v>
      </c>
      <c r="E8" s="3168">
        <v>748.95</v>
      </c>
      <c r="H8" s="3169" t="s">
        <v>3492</v>
      </c>
      <c r="I8" s="3176">
        <v>413.66</v>
      </c>
      <c r="K8" s="3167">
        <v>7</v>
      </c>
      <c r="L8" s="3167" t="s">
        <v>3493</v>
      </c>
      <c r="M8" s="3167">
        <v>1348.62</v>
      </c>
      <c r="O8" s="3177">
        <v>6</v>
      </c>
      <c r="P8" s="3178" t="s">
        <v>3494</v>
      </c>
      <c r="Q8" s="3179" t="s">
        <v>3495</v>
      </c>
      <c r="R8" s="3179">
        <f t="shared" si="0"/>
        <v>1348.62</v>
      </c>
      <c r="S8" s="3179">
        <v>1435.93</v>
      </c>
      <c r="V8" s="3167">
        <v>7</v>
      </c>
      <c r="Y8" s="3167">
        <v>6</v>
      </c>
      <c r="Z8" s="3167">
        <f>[5]Sheet1!B18</f>
        <v>1435.93</v>
      </c>
      <c r="AC8" s="4079" t="s">
        <v>3493</v>
      </c>
      <c r="AD8" s="4080"/>
      <c r="AE8" s="4080">
        <v>1348.62</v>
      </c>
      <c r="AF8" s="4080"/>
    </row>
    <row r="9" spans="1:32" ht="16.5">
      <c r="A9" s="3167">
        <v>7</v>
      </c>
      <c r="B9" s="3167">
        <v>1439.73</v>
      </c>
      <c r="C9" s="3167">
        <v>6</v>
      </c>
      <c r="D9" s="3168">
        <v>7</v>
      </c>
      <c r="E9" s="3168">
        <v>1456.71</v>
      </c>
      <c r="H9" s="3169" t="s">
        <v>3481</v>
      </c>
      <c r="I9" s="3176"/>
      <c r="K9" s="3167">
        <v>8</v>
      </c>
      <c r="L9" s="3167" t="s">
        <v>3496</v>
      </c>
      <c r="M9" s="3167">
        <v>1388.11</v>
      </c>
      <c r="O9" s="3177">
        <v>7</v>
      </c>
      <c r="P9" s="3178" t="s">
        <v>3497</v>
      </c>
      <c r="Q9" s="3179" t="s">
        <v>3498</v>
      </c>
      <c r="R9" s="3179">
        <f t="shared" si="0"/>
        <v>1388.11</v>
      </c>
      <c r="S9" s="3179">
        <v>1488.24</v>
      </c>
      <c r="V9" s="3167">
        <v>8</v>
      </c>
      <c r="Y9" s="3167">
        <v>7</v>
      </c>
      <c r="Z9" s="3167">
        <f>[5]Sheet1!B20</f>
        <v>1488.24</v>
      </c>
      <c r="AC9" s="4079" t="s">
        <v>3496</v>
      </c>
      <c r="AD9" s="4080"/>
      <c r="AE9" s="4080">
        <v>1388.11</v>
      </c>
      <c r="AF9" s="4080"/>
    </row>
    <row r="10" spans="1:32" ht="16.5">
      <c r="A10" s="3167">
        <v>8</v>
      </c>
      <c r="B10" s="3167">
        <v>1492.19</v>
      </c>
      <c r="C10" s="3167">
        <v>7</v>
      </c>
      <c r="D10" s="3168">
        <v>8</v>
      </c>
      <c r="E10" s="3168">
        <f>876.91+635</f>
        <v>1511.9099999999999</v>
      </c>
      <c r="H10" s="3169" t="s">
        <v>3499</v>
      </c>
      <c r="I10" s="3176">
        <v>1002.32</v>
      </c>
      <c r="K10" s="3167">
        <v>9</v>
      </c>
      <c r="L10" s="3167" t="s">
        <v>3500</v>
      </c>
      <c r="M10" s="3167">
        <v>1348.62</v>
      </c>
      <c r="O10" s="3177">
        <v>8</v>
      </c>
      <c r="P10" s="3178" t="s">
        <v>3501</v>
      </c>
      <c r="Q10" s="3179" t="s">
        <v>3502</v>
      </c>
      <c r="R10" s="3179">
        <f t="shared" si="0"/>
        <v>1348.62</v>
      </c>
      <c r="S10" s="3179">
        <v>1435.93</v>
      </c>
      <c r="V10" s="3167">
        <v>9</v>
      </c>
      <c r="Y10" s="3167">
        <v>8</v>
      </c>
      <c r="Z10" s="3167">
        <f>[5]Sheet1!B22</f>
        <v>1435.93</v>
      </c>
      <c r="AC10" s="4079" t="s">
        <v>3500</v>
      </c>
      <c r="AD10" s="4080"/>
      <c r="AE10" s="4080">
        <v>1348.62</v>
      </c>
      <c r="AF10" s="4080"/>
    </row>
    <row r="11" spans="1:32" ht="16.5">
      <c r="A11" s="3167">
        <v>9</v>
      </c>
      <c r="B11" s="3167">
        <v>1439.73</v>
      </c>
      <c r="C11" s="3167">
        <v>8</v>
      </c>
      <c r="D11" s="3168">
        <v>9</v>
      </c>
      <c r="E11" s="3168">
        <v>1456.02</v>
      </c>
      <c r="H11" s="3169" t="s">
        <v>3484</v>
      </c>
      <c r="I11" s="3176"/>
      <c r="K11" s="3167">
        <v>10</v>
      </c>
      <c r="L11" s="3167" t="s">
        <v>3503</v>
      </c>
      <c r="M11" s="3167">
        <v>1348.62</v>
      </c>
      <c r="O11" s="3177">
        <v>9</v>
      </c>
      <c r="P11" s="3178" t="s">
        <v>3504</v>
      </c>
      <c r="Q11" s="3179" t="s">
        <v>3505</v>
      </c>
      <c r="R11" s="3179">
        <f t="shared" si="0"/>
        <v>1348.62</v>
      </c>
      <c r="S11" s="3179">
        <v>1435.93</v>
      </c>
      <c r="V11" s="3167">
        <v>10</v>
      </c>
      <c r="Y11" s="3167">
        <v>9</v>
      </c>
      <c r="Z11" s="3167">
        <f>[5]Sheet1!B24</f>
        <v>1435.93</v>
      </c>
      <c r="AC11" s="4082" t="s">
        <v>3503</v>
      </c>
      <c r="AD11" s="4083"/>
      <c r="AE11" s="4083">
        <v>1348.62</v>
      </c>
      <c r="AF11" s="4083"/>
    </row>
    <row r="12" spans="1:32" ht="16.5">
      <c r="A12" s="3167">
        <v>10</v>
      </c>
      <c r="B12" s="3167">
        <v>1439.73</v>
      </c>
      <c r="C12" s="3167">
        <v>9</v>
      </c>
      <c r="D12" s="3168">
        <v>10</v>
      </c>
      <c r="E12" s="3168">
        <v>1456.02</v>
      </c>
      <c r="H12" s="3169" t="s">
        <v>3506</v>
      </c>
      <c r="I12" s="3176">
        <v>1320.97</v>
      </c>
      <c r="K12" s="3167">
        <v>11</v>
      </c>
      <c r="L12" s="3167" t="s">
        <v>3507</v>
      </c>
      <c r="M12" s="3167">
        <v>1388.11</v>
      </c>
      <c r="O12" s="3177">
        <v>10</v>
      </c>
      <c r="P12" s="3178" t="s">
        <v>3508</v>
      </c>
      <c r="Q12" s="3179" t="s">
        <v>3509</v>
      </c>
      <c r="R12" s="3179">
        <f t="shared" si="0"/>
        <v>1388.11</v>
      </c>
      <c r="S12" s="3179">
        <v>1488.24</v>
      </c>
      <c r="V12" s="3167">
        <v>11</v>
      </c>
      <c r="Y12" s="3167">
        <v>10</v>
      </c>
      <c r="Z12" s="3167">
        <f>[5]Sheet1!B26</f>
        <v>1488.24</v>
      </c>
      <c r="AC12" s="4079" t="s">
        <v>3507</v>
      </c>
      <c r="AD12" s="4080"/>
      <c r="AE12" s="4080">
        <v>1388.11</v>
      </c>
      <c r="AF12" s="4080"/>
    </row>
    <row r="13" spans="1:32" ht="16.5">
      <c r="A13" s="3167">
        <v>11</v>
      </c>
      <c r="B13" s="3167">
        <v>1492.19</v>
      </c>
      <c r="C13" s="3167">
        <v>10</v>
      </c>
      <c r="D13" s="3168">
        <v>11</v>
      </c>
      <c r="E13" s="3168">
        <v>1511</v>
      </c>
      <c r="H13" s="3169" t="s">
        <v>3487</v>
      </c>
      <c r="I13" s="3176"/>
      <c r="K13" s="3167">
        <v>12</v>
      </c>
      <c r="L13" s="3167" t="s">
        <v>3510</v>
      </c>
      <c r="M13" s="3167">
        <v>1348.62</v>
      </c>
      <c r="O13" s="3177">
        <v>11</v>
      </c>
      <c r="P13" s="3178" t="s">
        <v>3511</v>
      </c>
      <c r="Q13" s="3179" t="s">
        <v>3512</v>
      </c>
      <c r="R13" s="3179">
        <f t="shared" si="0"/>
        <v>1348.62</v>
      </c>
      <c r="S13" s="3179">
        <v>1435.93</v>
      </c>
      <c r="V13" s="3167">
        <v>12</v>
      </c>
      <c r="Y13" s="3167">
        <v>11</v>
      </c>
      <c r="Z13" s="3167">
        <f>[5]Sheet1!B28</f>
        <v>1435.93</v>
      </c>
      <c r="AC13" s="4079" t="s">
        <v>3510</v>
      </c>
      <c r="AD13" s="4080"/>
      <c r="AE13" s="4080">
        <v>1348.62</v>
      </c>
      <c r="AF13" s="4080"/>
    </row>
    <row r="14" spans="1:32" ht="16.5">
      <c r="A14" s="3167">
        <v>12</v>
      </c>
      <c r="B14" s="3167">
        <v>1439.73</v>
      </c>
      <c r="C14" s="3167">
        <v>11</v>
      </c>
      <c r="D14" s="3168">
        <v>12</v>
      </c>
      <c r="E14" s="3168">
        <v>728.02</v>
      </c>
      <c r="H14" s="3169" t="s">
        <v>3513</v>
      </c>
      <c r="I14" s="3176">
        <v>1488.24</v>
      </c>
      <c r="K14" s="3167">
        <v>13</v>
      </c>
      <c r="L14" s="3167" t="s">
        <v>3514</v>
      </c>
      <c r="M14" s="3167">
        <v>1348.62</v>
      </c>
      <c r="O14" s="3177">
        <v>12</v>
      </c>
      <c r="P14" s="3178" t="s">
        <v>3515</v>
      </c>
      <c r="Q14" s="3179" t="s">
        <v>3516</v>
      </c>
      <c r="R14" s="3179">
        <f t="shared" si="0"/>
        <v>1348.62</v>
      </c>
      <c r="S14" s="3179">
        <v>1435.93</v>
      </c>
      <c r="V14" s="3167">
        <v>15</v>
      </c>
      <c r="Y14" s="3167">
        <v>12</v>
      </c>
      <c r="Z14" s="3167">
        <f>[5]Sheet1!B30</f>
        <v>1435.93</v>
      </c>
      <c r="AC14" s="4079" t="s">
        <v>3514</v>
      </c>
      <c r="AD14" s="4080"/>
      <c r="AE14" s="4080">
        <v>1348.62</v>
      </c>
      <c r="AF14" s="4080"/>
    </row>
    <row r="15" spans="1:32" ht="16.5">
      <c r="A15" s="3167">
        <v>13</v>
      </c>
      <c r="B15" s="3167">
        <v>1439.73</v>
      </c>
      <c r="C15" s="3167">
        <v>12</v>
      </c>
      <c r="D15" s="3168">
        <v>15</v>
      </c>
      <c r="E15" s="3168">
        <v>1456.04</v>
      </c>
      <c r="H15" s="3169" t="s">
        <v>3491</v>
      </c>
      <c r="I15" s="3176"/>
      <c r="K15" s="3167">
        <v>14</v>
      </c>
      <c r="L15" s="3167" t="s">
        <v>3517</v>
      </c>
      <c r="M15" s="3167">
        <v>1388.11</v>
      </c>
      <c r="O15" s="3177">
        <v>13</v>
      </c>
      <c r="P15" s="3178" t="s">
        <v>3518</v>
      </c>
      <c r="Q15" s="3179" t="s">
        <v>3519</v>
      </c>
      <c r="R15" s="3179">
        <f t="shared" si="0"/>
        <v>1388.11</v>
      </c>
      <c r="S15" s="3179">
        <v>1488.24</v>
      </c>
      <c r="V15" s="3167">
        <v>16</v>
      </c>
      <c r="Y15" s="3167">
        <v>13</v>
      </c>
      <c r="Z15" s="3167">
        <f>[5]Sheet1!B32</f>
        <v>1488.24</v>
      </c>
      <c r="AC15" s="4079" t="s">
        <v>3517</v>
      </c>
      <c r="AD15" s="4080"/>
      <c r="AE15" s="4080">
        <v>1388.11</v>
      </c>
      <c r="AF15" s="4080"/>
    </row>
    <row r="16" spans="1:32" ht="16.5">
      <c r="A16" s="3167">
        <v>14</v>
      </c>
      <c r="B16" s="3167">
        <v>1492.19</v>
      </c>
      <c r="C16" s="3167">
        <v>13</v>
      </c>
      <c r="D16" s="3168">
        <v>16</v>
      </c>
      <c r="E16" s="3168">
        <v>1511.24</v>
      </c>
      <c r="H16" s="3169" t="s">
        <v>3520</v>
      </c>
      <c r="I16" s="3176">
        <v>1435.93</v>
      </c>
      <c r="K16" s="3167">
        <v>15</v>
      </c>
      <c r="L16" s="3167" t="s">
        <v>3521</v>
      </c>
      <c r="M16" s="3167">
        <v>1348.62</v>
      </c>
      <c r="O16" s="3177">
        <v>14</v>
      </c>
      <c r="P16" s="3178" t="s">
        <v>3522</v>
      </c>
      <c r="Q16" s="3179" t="s">
        <v>3523</v>
      </c>
      <c r="R16" s="3179">
        <f t="shared" si="0"/>
        <v>1348.62</v>
      </c>
      <c r="S16" s="3179">
        <v>1435.93</v>
      </c>
      <c r="V16" s="3167">
        <v>17</v>
      </c>
      <c r="Y16" s="3167">
        <v>14</v>
      </c>
      <c r="Z16" s="3167">
        <f>[5]Sheet1!B34</f>
        <v>1435.93</v>
      </c>
      <c r="AC16" s="4079" t="s">
        <v>3521</v>
      </c>
      <c r="AD16" s="4080"/>
      <c r="AE16" s="4080">
        <v>1348.62</v>
      </c>
      <c r="AF16" s="4080"/>
    </row>
    <row r="17" spans="1:33" ht="16.5">
      <c r="A17" s="3167">
        <v>15</v>
      </c>
      <c r="B17" s="3167">
        <v>1439.73</v>
      </c>
      <c r="C17" s="3167">
        <v>14</v>
      </c>
      <c r="D17" s="3168">
        <v>17</v>
      </c>
      <c r="E17" s="3168">
        <v>1456.04</v>
      </c>
      <c r="H17" s="3169" t="s">
        <v>3524</v>
      </c>
      <c r="I17" s="3176"/>
      <c r="K17" s="3167">
        <v>16</v>
      </c>
      <c r="L17" s="3167" t="s">
        <v>3525</v>
      </c>
      <c r="M17" s="3167">
        <v>1348.62</v>
      </c>
      <c r="O17" s="3177">
        <v>15</v>
      </c>
      <c r="P17" s="3178" t="s">
        <v>3525</v>
      </c>
      <c r="Q17" s="3179" t="s">
        <v>3526</v>
      </c>
      <c r="R17" s="3179">
        <f t="shared" si="0"/>
        <v>1348.62</v>
      </c>
      <c r="S17" s="3179">
        <v>1435.93</v>
      </c>
      <c r="V17" s="3167">
        <v>18</v>
      </c>
      <c r="Y17" s="3167">
        <v>15</v>
      </c>
      <c r="Z17" s="3167">
        <f>[5]Sheet1!B36</f>
        <v>1435.93</v>
      </c>
      <c r="AC17" s="4079" t="s">
        <v>3525</v>
      </c>
      <c r="AD17" s="4080"/>
      <c r="AE17" s="4080">
        <v>1348.62</v>
      </c>
      <c r="AF17" s="4080"/>
    </row>
    <row r="18" spans="1:33" ht="16.5">
      <c r="A18" s="3167">
        <v>16</v>
      </c>
      <c r="B18" s="3167">
        <v>1439.73</v>
      </c>
      <c r="C18" s="3167">
        <v>15</v>
      </c>
      <c r="D18" s="3168">
        <v>18</v>
      </c>
      <c r="E18" s="3168">
        <v>1456.04</v>
      </c>
      <c r="H18" s="3169" t="s">
        <v>3527</v>
      </c>
      <c r="I18" s="3176">
        <v>1435.93</v>
      </c>
      <c r="K18" s="3167">
        <v>17</v>
      </c>
      <c r="L18" s="3167" t="s">
        <v>3528</v>
      </c>
      <c r="M18" s="3167">
        <v>1388.11</v>
      </c>
      <c r="O18" s="3177">
        <v>16</v>
      </c>
      <c r="P18" s="3178" t="s">
        <v>3528</v>
      </c>
      <c r="Q18" s="3179" t="s">
        <v>3529</v>
      </c>
      <c r="R18" s="3179">
        <f t="shared" si="0"/>
        <v>1388.11</v>
      </c>
      <c r="S18" s="3179">
        <v>1488.24</v>
      </c>
      <c r="V18" s="3167">
        <v>19</v>
      </c>
      <c r="Y18" s="3167">
        <v>16</v>
      </c>
      <c r="Z18" s="3167">
        <f>[5]Sheet1!B38</f>
        <v>1488.24</v>
      </c>
      <c r="AC18" s="4079" t="s">
        <v>3528</v>
      </c>
      <c r="AD18" s="4080"/>
      <c r="AE18" s="4080">
        <v>1388.11</v>
      </c>
      <c r="AF18" s="4080"/>
    </row>
    <row r="19" spans="1:33" ht="16.5">
      <c r="A19" s="3167">
        <v>17</v>
      </c>
      <c r="B19" s="3167">
        <v>1492.19</v>
      </c>
      <c r="C19" s="3167">
        <v>16</v>
      </c>
      <c r="D19" s="3168">
        <v>19</v>
      </c>
      <c r="E19" s="3168">
        <v>1511.24</v>
      </c>
      <c r="H19" s="3169" t="s">
        <v>3530</v>
      </c>
      <c r="I19" s="3176"/>
      <c r="K19" s="3167">
        <v>18</v>
      </c>
      <c r="L19" s="3167" t="s">
        <v>3531</v>
      </c>
      <c r="M19" s="3167">
        <v>1348.62</v>
      </c>
      <c r="O19" s="3177">
        <v>17</v>
      </c>
      <c r="P19" s="3178" t="s">
        <v>3531</v>
      </c>
      <c r="Q19" s="3179" t="s">
        <v>3532</v>
      </c>
      <c r="R19" s="3179">
        <f t="shared" si="0"/>
        <v>1348.62</v>
      </c>
      <c r="S19" s="3179">
        <v>1435.93</v>
      </c>
      <c r="V19" s="3167">
        <v>20</v>
      </c>
      <c r="Y19" s="3167">
        <v>17</v>
      </c>
      <c r="Z19" s="3167">
        <f>[5]Sheet1!B40</f>
        <v>1435.93</v>
      </c>
      <c r="AC19" s="4079" t="s">
        <v>3531</v>
      </c>
      <c r="AD19" s="4080"/>
      <c r="AE19" s="4080">
        <v>1348.62</v>
      </c>
      <c r="AF19" s="4080"/>
    </row>
    <row r="20" spans="1:33" ht="16.5">
      <c r="A20" s="3167">
        <v>18</v>
      </c>
      <c r="B20" s="3167">
        <v>1439.73</v>
      </c>
      <c r="C20" s="3167">
        <v>17</v>
      </c>
      <c r="D20" s="3168">
        <v>20</v>
      </c>
      <c r="E20" s="4084">
        <v>4423.32</v>
      </c>
      <c r="H20" s="3169" t="s">
        <v>3533</v>
      </c>
      <c r="I20" s="3176">
        <v>1488.24</v>
      </c>
      <c r="K20" s="3167">
        <v>19</v>
      </c>
      <c r="L20" s="3167" t="s">
        <v>3534</v>
      </c>
      <c r="M20" s="3167">
        <v>1348.62</v>
      </c>
      <c r="O20" s="3177">
        <v>18</v>
      </c>
      <c r="P20" s="3178" t="s">
        <v>3534</v>
      </c>
      <c r="Q20" s="3179" t="s">
        <v>3535</v>
      </c>
      <c r="R20" s="3179">
        <f t="shared" si="0"/>
        <v>1348.62</v>
      </c>
      <c r="S20" s="3179">
        <v>1435.93</v>
      </c>
      <c r="V20" s="3167">
        <v>21</v>
      </c>
      <c r="Y20" s="3167">
        <v>18</v>
      </c>
      <c r="Z20" s="3167">
        <f>[5]Sheet1!B42</f>
        <v>1435.93</v>
      </c>
      <c r="AC20" s="4079" t="s">
        <v>3534</v>
      </c>
      <c r="AD20" s="4080"/>
      <c r="AE20" s="4080">
        <v>1348.62</v>
      </c>
      <c r="AF20" s="4080"/>
    </row>
    <row r="21" spans="1:33" ht="16.5">
      <c r="A21" s="3167">
        <v>19</v>
      </c>
      <c r="B21" s="3167">
        <v>1439.73</v>
      </c>
      <c r="C21" s="3167">
        <v>18</v>
      </c>
      <c r="D21" s="3168">
        <v>21</v>
      </c>
      <c r="E21" s="4084"/>
      <c r="H21" s="3169" t="s">
        <v>3536</v>
      </c>
      <c r="I21" s="3176"/>
      <c r="K21" s="3167">
        <v>20</v>
      </c>
      <c r="L21" s="3167" t="s">
        <v>3537</v>
      </c>
      <c r="M21" s="3167">
        <v>1388.11</v>
      </c>
      <c r="O21" s="3177">
        <v>19</v>
      </c>
      <c r="P21" s="3178" t="s">
        <v>3537</v>
      </c>
      <c r="Q21" s="3179" t="s">
        <v>3538</v>
      </c>
      <c r="R21" s="3179">
        <f t="shared" si="0"/>
        <v>1388.11</v>
      </c>
      <c r="S21" s="3179">
        <v>1488.24</v>
      </c>
      <c r="V21" s="3167">
        <v>22</v>
      </c>
      <c r="Y21" s="3167">
        <v>19</v>
      </c>
      <c r="Z21" s="3167">
        <f>[5]Sheet1!B44</f>
        <v>1488.24</v>
      </c>
      <c r="AC21" s="4079" t="s">
        <v>3537</v>
      </c>
      <c r="AD21" s="4080"/>
      <c r="AE21" s="4080">
        <v>1388.11</v>
      </c>
      <c r="AF21" s="4080"/>
    </row>
    <row r="22" spans="1:33" ht="16.5">
      <c r="A22" s="3167">
        <v>20</v>
      </c>
      <c r="B22" s="3167">
        <v>1492.19</v>
      </c>
      <c r="C22" s="3167">
        <v>19</v>
      </c>
      <c r="D22" s="3168">
        <v>22</v>
      </c>
      <c r="E22" s="4084"/>
      <c r="H22" s="3169" t="s">
        <v>3539</v>
      </c>
      <c r="I22" s="3176">
        <v>1435.93</v>
      </c>
      <c r="K22" s="3167">
        <v>21</v>
      </c>
      <c r="L22" s="3167" t="s">
        <v>3540</v>
      </c>
      <c r="M22" s="3167">
        <v>1348.62</v>
      </c>
      <c r="O22" s="3177">
        <v>20</v>
      </c>
      <c r="P22" s="3178" t="s">
        <v>3540</v>
      </c>
      <c r="Q22" s="3179" t="s">
        <v>3541</v>
      </c>
      <c r="R22" s="3179">
        <f t="shared" si="0"/>
        <v>1348.62</v>
      </c>
      <c r="S22" s="3179">
        <v>1435.93</v>
      </c>
      <c r="V22" s="3167">
        <v>23</v>
      </c>
      <c r="Y22" s="3167">
        <v>20</v>
      </c>
      <c r="Z22" s="3167">
        <f>[5]Sheet1!B46</f>
        <v>1435.93</v>
      </c>
      <c r="AC22" s="4079" t="s">
        <v>3540</v>
      </c>
      <c r="AD22" s="4080"/>
      <c r="AE22" s="4080">
        <v>1348.62</v>
      </c>
      <c r="AF22" s="4080"/>
    </row>
    <row r="23" spans="1:33" ht="16.5">
      <c r="A23" s="3167">
        <v>21</v>
      </c>
      <c r="B23" s="3167">
        <v>1439.73</v>
      </c>
      <c r="C23" s="3167">
        <v>20</v>
      </c>
      <c r="D23" s="3168">
        <v>23</v>
      </c>
      <c r="E23" s="3168">
        <v>1456.04</v>
      </c>
      <c r="H23" s="3169" t="s">
        <v>3542</v>
      </c>
      <c r="I23" s="3176"/>
      <c r="K23" s="3167">
        <v>22</v>
      </c>
      <c r="L23" s="3167" t="s">
        <v>3543</v>
      </c>
      <c r="M23" s="3167">
        <v>1348.62</v>
      </c>
      <c r="O23" s="3177">
        <v>21</v>
      </c>
      <c r="P23" s="3178" t="s">
        <v>3544</v>
      </c>
      <c r="Q23" s="3179" t="s">
        <v>3545</v>
      </c>
      <c r="R23" s="3179">
        <f t="shared" si="0"/>
        <v>1348.62</v>
      </c>
      <c r="S23" s="3179">
        <v>1435.93</v>
      </c>
      <c r="V23" s="3167">
        <v>25</v>
      </c>
      <c r="Y23" s="3167">
        <v>21</v>
      </c>
      <c r="Z23" s="3167">
        <f>[5]Sheet1!B48</f>
        <v>1435.93</v>
      </c>
      <c r="AC23" s="4079" t="s">
        <v>3543</v>
      </c>
      <c r="AD23" s="4080"/>
      <c r="AE23" s="4080">
        <v>1348.62</v>
      </c>
      <c r="AF23" s="4080"/>
    </row>
    <row r="24" spans="1:33" ht="16.5">
      <c r="A24" s="3167">
        <v>22</v>
      </c>
      <c r="B24" s="3167">
        <v>1439.73</v>
      </c>
      <c r="C24" s="3167">
        <v>21</v>
      </c>
      <c r="D24" s="3168">
        <v>25</v>
      </c>
      <c r="E24" s="3168">
        <f>1116.3+339.74</f>
        <v>1456.04</v>
      </c>
      <c r="H24" s="3169" t="s">
        <v>3546</v>
      </c>
      <c r="I24" s="3176">
        <v>1435.93</v>
      </c>
      <c r="K24" s="3167">
        <v>23</v>
      </c>
      <c r="L24" s="3167" t="s">
        <v>3547</v>
      </c>
      <c r="M24" s="3167">
        <v>1388.11</v>
      </c>
      <c r="O24" s="3177">
        <v>22</v>
      </c>
      <c r="P24" s="3178" t="s">
        <v>3548</v>
      </c>
      <c r="Q24" s="3179" t="s">
        <v>3549</v>
      </c>
      <c r="R24" s="3179">
        <f t="shared" si="0"/>
        <v>1388.11</v>
      </c>
      <c r="S24" s="3179">
        <v>1488.24</v>
      </c>
      <c r="V24" s="3167">
        <v>26</v>
      </c>
      <c r="Y24" s="3167">
        <v>22</v>
      </c>
      <c r="Z24" s="3167">
        <f>[5]Sheet1!B50</f>
        <v>1488.24</v>
      </c>
      <c r="AC24" s="4079" t="s">
        <v>3547</v>
      </c>
      <c r="AD24" s="4080"/>
      <c r="AE24" s="4080">
        <v>1388.11</v>
      </c>
      <c r="AF24" s="4080"/>
    </row>
    <row r="25" spans="1:33" ht="16.5">
      <c r="A25" s="3167">
        <v>23</v>
      </c>
      <c r="B25" s="3167">
        <v>1492.19</v>
      </c>
      <c r="C25" s="3167">
        <v>22</v>
      </c>
      <c r="D25" s="3168">
        <v>26</v>
      </c>
      <c r="E25" s="3168">
        <v>1511.24</v>
      </c>
      <c r="H25" s="3169" t="s">
        <v>3550</v>
      </c>
      <c r="I25" s="3176"/>
      <c r="K25" s="3167">
        <v>24</v>
      </c>
      <c r="L25" s="3167" t="s">
        <v>3551</v>
      </c>
      <c r="M25" s="3167">
        <v>1348.62</v>
      </c>
      <c r="O25" s="3177">
        <v>23</v>
      </c>
      <c r="P25" s="3178" t="s">
        <v>3551</v>
      </c>
      <c r="Q25" s="3179" t="s">
        <v>3552</v>
      </c>
      <c r="R25" s="3179">
        <f t="shared" si="0"/>
        <v>1348.62</v>
      </c>
      <c r="S25" s="3179">
        <v>1429.77</v>
      </c>
      <c r="V25" s="3167">
        <v>27</v>
      </c>
      <c r="Y25" s="3167">
        <v>23</v>
      </c>
      <c r="Z25" s="3167">
        <f>[5]Sheet1!B52</f>
        <v>1429.77</v>
      </c>
      <c r="AC25" s="4079" t="s">
        <v>3551</v>
      </c>
      <c r="AD25" s="4080"/>
      <c r="AE25" s="4080">
        <v>1348.62</v>
      </c>
      <c r="AF25" s="4080"/>
    </row>
    <row r="26" spans="1:33" ht="17.25" thickBot="1">
      <c r="A26" s="3167">
        <v>24</v>
      </c>
      <c r="B26" s="3167">
        <v>1433.56</v>
      </c>
      <c r="C26" s="3167">
        <v>23</v>
      </c>
      <c r="D26" s="3168">
        <v>27</v>
      </c>
      <c r="E26" s="3168">
        <v>1444.5</v>
      </c>
      <c r="H26" s="3169" t="s">
        <v>3553</v>
      </c>
      <c r="I26" s="3176">
        <v>1488.24</v>
      </c>
      <c r="K26" s="3167">
        <v>25</v>
      </c>
      <c r="L26" s="3167" t="s">
        <v>3554</v>
      </c>
      <c r="M26" s="3167">
        <v>1348.62</v>
      </c>
      <c r="O26" s="3182"/>
      <c r="P26" s="3183" t="s">
        <v>3555</v>
      </c>
      <c r="Q26" s="3184" t="s">
        <v>3556</v>
      </c>
      <c r="R26" s="3179">
        <f t="shared" si="0"/>
        <v>1348.62</v>
      </c>
      <c r="S26" s="3184">
        <v>1429.77</v>
      </c>
      <c r="V26" s="3167">
        <v>28</v>
      </c>
      <c r="Y26" s="3167">
        <v>24</v>
      </c>
      <c r="Z26" s="3167">
        <f>[5]Sheet1!B54</f>
        <v>1429.77</v>
      </c>
      <c r="AC26" s="4079" t="s">
        <v>3554</v>
      </c>
      <c r="AD26" s="4080"/>
      <c r="AE26" s="4080">
        <v>1348.62</v>
      </c>
      <c r="AF26" s="4080"/>
    </row>
    <row r="27" spans="1:33" ht="17.25" thickTop="1">
      <c r="A27" s="3167">
        <v>25</v>
      </c>
      <c r="B27" s="3167">
        <v>1433.56</v>
      </c>
      <c r="C27" s="3167">
        <v>24</v>
      </c>
      <c r="D27" s="3168">
        <v>28</v>
      </c>
      <c r="E27" s="3168">
        <v>1444.5</v>
      </c>
      <c r="H27" s="3169" t="s">
        <v>3557</v>
      </c>
      <c r="I27" s="3176"/>
      <c r="L27" s="3167" t="s">
        <v>3558</v>
      </c>
      <c r="M27" s="3167">
        <v>271.14</v>
      </c>
      <c r="O27" s="3185"/>
      <c r="P27" s="3171" t="s">
        <v>3465</v>
      </c>
      <c r="Q27" s="3186"/>
      <c r="R27" s="3187" t="s">
        <v>3559</v>
      </c>
      <c r="S27" s="3188">
        <f>SUM(S2:S26)</f>
        <v>35429.710000000006</v>
      </c>
      <c r="T27" s="3167">
        <v>43.77</v>
      </c>
      <c r="U27" s="3167">
        <v>35489.51</v>
      </c>
      <c r="Z27" s="3167">
        <f>SUM(Z2:Z26)</f>
        <v>35429.710000000006</v>
      </c>
      <c r="AC27" s="4079" t="s">
        <v>3558</v>
      </c>
      <c r="AD27" s="4080"/>
      <c r="AE27" s="4080">
        <v>271.14</v>
      </c>
      <c r="AF27" s="4080"/>
    </row>
    <row r="28" spans="1:33" ht="28.5">
      <c r="A28" s="3167">
        <v>26</v>
      </c>
      <c r="B28" s="3167">
        <v>42.85</v>
      </c>
      <c r="H28" s="3169" t="s">
        <v>3560</v>
      </c>
      <c r="I28" s="3176">
        <v>1435.93</v>
      </c>
      <c r="L28" s="3167" t="s">
        <v>3561</v>
      </c>
      <c r="M28" s="3167">
        <v>271.14</v>
      </c>
      <c r="O28" s="3185"/>
      <c r="P28" s="3189" t="s">
        <v>3562</v>
      </c>
      <c r="Q28" s="3186"/>
      <c r="R28" s="3189" t="s">
        <v>3563</v>
      </c>
      <c r="S28" s="3190">
        <v>51.53</v>
      </c>
      <c r="U28" s="3167">
        <f>U27-S27</f>
        <v>59.799999999995634</v>
      </c>
      <c r="AC28" s="4079" t="s">
        <v>3561</v>
      </c>
      <c r="AD28" s="4080"/>
      <c r="AE28" s="4080">
        <v>271.14</v>
      </c>
      <c r="AF28" s="4080"/>
    </row>
    <row r="29" spans="1:33" ht="28.5">
      <c r="A29" s="3167" t="s">
        <v>3564</v>
      </c>
      <c r="B29" s="3167">
        <v>11570.68</v>
      </c>
      <c r="H29" s="3169" t="s">
        <v>3516</v>
      </c>
      <c r="I29" s="3176"/>
      <c r="L29" s="3167" t="s">
        <v>3565</v>
      </c>
      <c r="M29" s="3167">
        <v>1057.22</v>
      </c>
      <c r="O29" s="3185"/>
      <c r="P29" s="3189" t="s">
        <v>3566</v>
      </c>
      <c r="Q29" s="3186"/>
      <c r="R29" s="3189" t="s">
        <v>3567</v>
      </c>
      <c r="S29" s="3190">
        <f>S27+S28</f>
        <v>35481.240000000005</v>
      </c>
      <c r="AC29" s="4079" t="s">
        <v>3565</v>
      </c>
      <c r="AD29" s="4080"/>
      <c r="AE29" s="4080">
        <v>1057.22</v>
      </c>
      <c r="AF29" s="4080"/>
      <c r="AG29" s="3191" t="s">
        <v>3568</v>
      </c>
    </row>
    <row r="30" spans="1:33" ht="28.5">
      <c r="B30" s="3167">
        <f>SUM(B3:B29)</f>
        <v>45690.529999999992</v>
      </c>
      <c r="H30" s="3169" t="s">
        <v>3569</v>
      </c>
      <c r="I30" s="3176">
        <v>1435.93</v>
      </c>
      <c r="L30" s="3167" t="s">
        <v>3570</v>
      </c>
      <c r="M30" s="3167">
        <v>289.42</v>
      </c>
      <c r="O30" s="3185"/>
      <c r="P30" s="3192" t="s">
        <v>3571</v>
      </c>
      <c r="Q30" s="3186"/>
      <c r="R30" s="3189" t="s">
        <v>3572</v>
      </c>
      <c r="S30" s="3190">
        <v>10432.68</v>
      </c>
      <c r="AC30" s="4085" t="s">
        <v>3570</v>
      </c>
      <c r="AD30" s="4086"/>
      <c r="AE30" s="4086">
        <v>289.42</v>
      </c>
      <c r="AF30" s="4086"/>
      <c r="AG30" s="3191" t="s">
        <v>3573</v>
      </c>
    </row>
    <row r="31" spans="1:33" ht="29.25" thickBot="1">
      <c r="H31" s="3169" t="s">
        <v>3519</v>
      </c>
      <c r="I31" s="3176"/>
      <c r="M31" s="3167">
        <f>SUM(M2:M30)</f>
        <v>35614.279999999992</v>
      </c>
      <c r="O31" s="3185"/>
      <c r="P31" s="3192" t="s">
        <v>3574</v>
      </c>
      <c r="Q31" s="3186"/>
      <c r="R31" s="3193" t="s">
        <v>3575</v>
      </c>
      <c r="S31" s="3194">
        <f>S29+S30</f>
        <v>45913.920000000006</v>
      </c>
      <c r="U31" s="3167" t="s">
        <v>3576</v>
      </c>
      <c r="V31" s="3167" t="s">
        <v>3462</v>
      </c>
      <c r="AC31" s="4087"/>
      <c r="AD31" s="4084"/>
      <c r="AE31" s="4084"/>
      <c r="AF31" s="4084"/>
    </row>
    <row r="32" spans="1:33" ht="29.25" thickTop="1">
      <c r="H32" s="3169" t="s">
        <v>3577</v>
      </c>
      <c r="I32" s="3176">
        <v>1488.24</v>
      </c>
      <c r="O32" s="3185"/>
      <c r="P32" s="3192" t="s">
        <v>3578</v>
      </c>
      <c r="Q32" s="3186"/>
      <c r="R32" s="3186"/>
      <c r="S32" s="3185"/>
      <c r="U32" s="3195" t="s">
        <v>3579</v>
      </c>
      <c r="V32" s="3176">
        <v>976.21</v>
      </c>
      <c r="AC32" s="4087"/>
      <c r="AD32" s="4084"/>
      <c r="AE32" s="4084"/>
      <c r="AF32" s="4084"/>
    </row>
    <row r="33" spans="8:32" ht="28.5">
      <c r="H33" s="3169" t="s">
        <v>3580</v>
      </c>
      <c r="I33" s="3176"/>
      <c r="O33" s="3185"/>
      <c r="P33" s="3189" t="s">
        <v>3581</v>
      </c>
      <c r="Q33" s="3186"/>
      <c r="R33" s="3186"/>
      <c r="S33" s="3185"/>
      <c r="U33" s="3195" t="s">
        <v>3582</v>
      </c>
      <c r="V33" s="3176">
        <v>90.05</v>
      </c>
      <c r="AC33" s="4088"/>
      <c r="AD33" s="4089"/>
      <c r="AE33" s="4089"/>
      <c r="AF33" s="4089"/>
    </row>
    <row r="34" spans="8:32" ht="29.25" thickBot="1">
      <c r="H34" s="3169" t="s">
        <v>3583</v>
      </c>
      <c r="I34" s="3176">
        <v>1435.93</v>
      </c>
      <c r="O34" s="3185"/>
      <c r="P34" s="3193" t="s">
        <v>3584</v>
      </c>
      <c r="Q34" s="3186"/>
      <c r="R34" s="3186"/>
      <c r="S34" s="3185"/>
      <c r="U34" s="3195" t="s">
        <v>3585</v>
      </c>
      <c r="V34" s="3176">
        <v>201.86</v>
      </c>
      <c r="AC34" s="4090"/>
      <c r="AD34" s="4091"/>
      <c r="AE34" s="4091"/>
      <c r="AF34" s="4091"/>
    </row>
    <row r="35" spans="8:32" ht="17.25" thickTop="1">
      <c r="H35" s="3169" t="s">
        <v>3586</v>
      </c>
      <c r="I35" s="3176"/>
      <c r="U35" s="3195" t="s">
        <v>3587</v>
      </c>
      <c r="V35" s="3176">
        <v>64.599999999999994</v>
      </c>
      <c r="AC35" s="4087"/>
      <c r="AD35" s="4084"/>
      <c r="AE35" s="4084"/>
      <c r="AF35" s="4084"/>
    </row>
    <row r="36" spans="8:32" ht="16.5">
      <c r="H36" s="3169" t="s">
        <v>3588</v>
      </c>
      <c r="I36" s="3176">
        <v>1435.93</v>
      </c>
      <c r="U36" s="3195" t="s">
        <v>3589</v>
      </c>
      <c r="V36" s="3176">
        <v>64.599999999999994</v>
      </c>
      <c r="AC36" s="4087"/>
      <c r="AD36" s="4084"/>
      <c r="AE36" s="4084"/>
      <c r="AF36" s="4084"/>
    </row>
    <row r="37" spans="8:32" ht="16.5">
      <c r="H37" s="3169" t="s">
        <v>3590</v>
      </c>
      <c r="I37" s="3176"/>
      <c r="U37" s="3195" t="s">
        <v>3591</v>
      </c>
      <c r="V37" s="3176">
        <v>64.33</v>
      </c>
      <c r="AC37" s="4087"/>
      <c r="AD37" s="4084"/>
      <c r="AE37" s="4084"/>
      <c r="AF37" s="4084"/>
    </row>
    <row r="38" spans="8:32" ht="16.5">
      <c r="H38" s="3169" t="s">
        <v>3592</v>
      </c>
      <c r="I38" s="3176">
        <v>1488.24</v>
      </c>
      <c r="U38" s="3195" t="s">
        <v>3593</v>
      </c>
      <c r="V38" s="3176">
        <v>64.87</v>
      </c>
      <c r="AC38" s="4087"/>
      <c r="AD38" s="4084"/>
      <c r="AE38" s="4084"/>
      <c r="AF38" s="4084"/>
    </row>
    <row r="39" spans="8:32" ht="16.5">
      <c r="H39" s="3169" t="s">
        <v>3594</v>
      </c>
      <c r="I39" s="3176"/>
      <c r="U39" s="3195" t="s">
        <v>3595</v>
      </c>
      <c r="V39" s="3176">
        <v>78.510000000000005</v>
      </c>
      <c r="AC39" s="4087"/>
      <c r="AD39" s="4084"/>
      <c r="AE39" s="4084"/>
      <c r="AF39" s="4084"/>
    </row>
    <row r="40" spans="8:32" ht="16.5">
      <c r="H40" s="3169" t="s">
        <v>3596</v>
      </c>
      <c r="I40" s="3176">
        <v>1435.93</v>
      </c>
      <c r="U40" s="3195" t="s">
        <v>3597</v>
      </c>
      <c r="V40" s="3176">
        <v>269.08999999999997</v>
      </c>
      <c r="AC40" s="4087"/>
      <c r="AD40" s="4084"/>
      <c r="AE40" s="4084"/>
      <c r="AF40" s="4084"/>
    </row>
    <row r="41" spans="8:32" ht="16.5">
      <c r="H41" s="3169" t="s">
        <v>3598</v>
      </c>
      <c r="I41" s="3176"/>
      <c r="U41" s="3195" t="s">
        <v>3599</v>
      </c>
      <c r="V41" s="3176">
        <v>323.38</v>
      </c>
      <c r="AC41" s="4087"/>
      <c r="AD41" s="4084"/>
      <c r="AE41" s="4084"/>
      <c r="AF41" s="4084"/>
    </row>
    <row r="42" spans="8:32" ht="16.5">
      <c r="H42" s="3169" t="s">
        <v>3600</v>
      </c>
      <c r="I42" s="3176">
        <v>1435.93</v>
      </c>
      <c r="U42" s="3195" t="s">
        <v>3601</v>
      </c>
      <c r="V42" s="3176">
        <v>288.16000000000003</v>
      </c>
      <c r="AC42" s="4087"/>
      <c r="AD42" s="4084"/>
      <c r="AE42" s="4084"/>
      <c r="AF42" s="4084"/>
    </row>
    <row r="43" spans="8:32" ht="16.5">
      <c r="H43" s="3169" t="s">
        <v>3602</v>
      </c>
      <c r="I43" s="3176"/>
      <c r="U43" s="3195" t="s">
        <v>3603</v>
      </c>
      <c r="V43" s="3176">
        <v>92.81</v>
      </c>
      <c r="AC43" s="4087"/>
      <c r="AD43" s="4084"/>
      <c r="AE43" s="4084"/>
      <c r="AF43" s="4084"/>
    </row>
    <row r="44" spans="8:32" ht="16.5">
      <c r="H44" s="3169" t="s">
        <v>3604</v>
      </c>
      <c r="I44" s="3176">
        <v>1488.24</v>
      </c>
      <c r="U44" s="3195" t="s">
        <v>3605</v>
      </c>
      <c r="V44" s="3176">
        <v>92.81</v>
      </c>
      <c r="AC44" s="4087"/>
      <c r="AD44" s="4084"/>
      <c r="AE44" s="4084"/>
      <c r="AF44" s="4084"/>
    </row>
    <row r="45" spans="8:32" ht="16.5">
      <c r="H45" s="3169" t="s">
        <v>3606</v>
      </c>
      <c r="I45" s="3176"/>
      <c r="V45" s="3167">
        <f>SUM(V32:V44)</f>
        <v>2671.2799999999993</v>
      </c>
      <c r="AC45" s="4087"/>
      <c r="AD45" s="4084"/>
      <c r="AE45" s="4084"/>
      <c r="AF45" s="4084"/>
    </row>
    <row r="46" spans="8:32" ht="16.5">
      <c r="H46" s="3169" t="s">
        <v>3607</v>
      </c>
      <c r="I46" s="3176">
        <v>1435.93</v>
      </c>
      <c r="AC46" s="4087"/>
      <c r="AD46" s="4084"/>
      <c r="AE46" s="4084"/>
      <c r="AF46" s="4084"/>
    </row>
    <row r="47" spans="8:32" ht="16.5">
      <c r="H47" s="3169" t="s">
        <v>3545</v>
      </c>
      <c r="I47" s="3176"/>
      <c r="AC47" s="4087"/>
      <c r="AD47" s="4084"/>
      <c r="AE47" s="4084"/>
      <c r="AF47" s="4084"/>
    </row>
    <row r="48" spans="8:32" ht="16.5">
      <c r="H48" s="3169" t="s">
        <v>3608</v>
      </c>
      <c r="I48" s="3176">
        <v>1435.93</v>
      </c>
      <c r="AC48" s="4087"/>
      <c r="AD48" s="4084"/>
      <c r="AE48" s="4084"/>
      <c r="AF48" s="4084"/>
    </row>
    <row r="49" spans="8:32" ht="16.5">
      <c r="H49" s="3169" t="s">
        <v>3549</v>
      </c>
      <c r="I49" s="3176"/>
      <c r="AC49" s="4087"/>
      <c r="AD49" s="4084"/>
      <c r="AE49" s="4084"/>
      <c r="AF49" s="4084"/>
    </row>
    <row r="50" spans="8:32" ht="16.5">
      <c r="H50" s="3169" t="s">
        <v>3609</v>
      </c>
      <c r="I50" s="3176">
        <v>1488.24</v>
      </c>
      <c r="AC50" s="4087"/>
      <c r="AD50" s="4084"/>
      <c r="AE50" s="4084"/>
      <c r="AF50" s="4084"/>
    </row>
    <row r="51" spans="8:32" ht="16.5">
      <c r="H51" s="3169" t="s">
        <v>3610</v>
      </c>
      <c r="I51" s="3176"/>
      <c r="AC51" s="4087"/>
      <c r="AD51" s="4084"/>
      <c r="AE51" s="4084"/>
      <c r="AF51" s="4084"/>
    </row>
    <row r="52" spans="8:32" ht="16.5">
      <c r="H52" s="3169" t="s">
        <v>3611</v>
      </c>
      <c r="I52" s="3176">
        <v>1429.77</v>
      </c>
      <c r="AC52" s="4087"/>
      <c r="AD52" s="4084"/>
      <c r="AE52" s="4084"/>
      <c r="AF52" s="4084"/>
    </row>
    <row r="53" spans="8:32" ht="16.5">
      <c r="H53" s="3169" t="s">
        <v>3612</v>
      </c>
      <c r="I53" s="3176"/>
      <c r="AC53" s="4087"/>
      <c r="AD53" s="4084"/>
      <c r="AE53" s="4084"/>
      <c r="AF53" s="4084"/>
    </row>
    <row r="54" spans="8:32" ht="16.5">
      <c r="H54" s="3169" t="s">
        <v>3613</v>
      </c>
      <c r="I54" s="3176">
        <v>1429.77</v>
      </c>
      <c r="AC54" s="4087"/>
      <c r="AD54" s="4084"/>
      <c r="AE54" s="4084"/>
      <c r="AF54" s="4084"/>
    </row>
    <row r="55" spans="8:32" ht="16.5">
      <c r="H55" s="3169" t="s">
        <v>3614</v>
      </c>
      <c r="I55" s="3170"/>
      <c r="AC55" s="4087"/>
      <c r="AD55" s="4084"/>
      <c r="AE55" s="4084"/>
      <c r="AF55" s="4084"/>
    </row>
    <row r="56" spans="8:32" ht="16.5">
      <c r="H56" s="3169" t="s">
        <v>3615</v>
      </c>
      <c r="I56" s="3170">
        <v>33.299999999999997</v>
      </c>
      <c r="AC56" s="4087"/>
      <c r="AD56" s="4084"/>
      <c r="AE56" s="4084"/>
      <c r="AF56" s="4084"/>
    </row>
    <row r="57" spans="8:32" ht="16.5">
      <c r="H57" s="3169" t="s">
        <v>3616</v>
      </c>
      <c r="I57" s="3170"/>
      <c r="AC57" s="4087"/>
      <c r="AD57" s="4084"/>
      <c r="AE57" s="4084"/>
      <c r="AF57" s="4084"/>
    </row>
    <row r="58" spans="8:32" ht="16.5">
      <c r="H58" s="3169" t="s">
        <v>3615</v>
      </c>
      <c r="I58" s="3170">
        <v>18.23</v>
      </c>
      <c r="AC58" s="4087"/>
      <c r="AD58" s="4084"/>
      <c r="AE58" s="4084"/>
      <c r="AF58" s="4084"/>
    </row>
    <row r="59" spans="8:32">
      <c r="AC59" s="4087"/>
      <c r="AD59" s="4084"/>
      <c r="AE59" s="4084"/>
      <c r="AF59" s="4084"/>
    </row>
    <row r="60" spans="8:32">
      <c r="AC60" s="4087"/>
      <c r="AD60" s="4084"/>
      <c r="AE60" s="4084"/>
      <c r="AF60" s="4084"/>
    </row>
    <row r="61" spans="8:32">
      <c r="AC61" s="4087"/>
      <c r="AD61" s="4084"/>
      <c r="AE61" s="4084"/>
      <c r="AF61" s="4084"/>
    </row>
    <row r="62" spans="8:32">
      <c r="AC62" s="4087"/>
      <c r="AD62" s="4084"/>
      <c r="AE62" s="4084"/>
      <c r="AF62" s="4084"/>
    </row>
    <row r="63" spans="8:32">
      <c r="AC63" s="4087"/>
      <c r="AD63" s="4084"/>
      <c r="AE63" s="4084"/>
      <c r="AF63" s="4084"/>
    </row>
    <row r="64" spans="8:32">
      <c r="AC64" s="4087"/>
      <c r="AD64" s="4084"/>
      <c r="AE64" s="4084"/>
      <c r="AF64" s="4084"/>
    </row>
    <row r="65" spans="29:32">
      <c r="AC65" s="4088"/>
      <c r="AD65" s="4089"/>
      <c r="AE65" s="3196"/>
      <c r="AF65" s="3196"/>
    </row>
    <row r="66" spans="29:32">
      <c r="AC66" s="4090"/>
      <c r="AD66" s="4091"/>
      <c r="AE66" s="4091"/>
      <c r="AF66" s="4091"/>
    </row>
    <row r="67" spans="29:32">
      <c r="AC67" s="4087"/>
      <c r="AD67" s="4084"/>
      <c r="AE67" s="4084"/>
      <c r="AF67" s="4084"/>
    </row>
    <row r="68" spans="29:32">
      <c r="AC68" s="4087"/>
      <c r="AD68" s="4084"/>
      <c r="AE68" s="4084"/>
      <c r="AF68" s="4084"/>
    </row>
    <row r="69" spans="29:32">
      <c r="AC69" s="4087"/>
      <c r="AD69" s="4084"/>
      <c r="AE69" s="4084"/>
      <c r="AF69" s="4084"/>
    </row>
    <row r="70" spans="29:32">
      <c r="AC70" s="4087"/>
      <c r="AD70" s="4084"/>
      <c r="AE70" s="4084"/>
      <c r="AF70" s="4084"/>
    </row>
    <row r="71" spans="29:32">
      <c r="AC71" s="4087"/>
      <c r="AD71" s="4084"/>
      <c r="AE71" s="4084"/>
      <c r="AF71" s="4084"/>
    </row>
    <row r="72" spans="29:32">
      <c r="AC72" s="4087"/>
      <c r="AD72" s="4084"/>
      <c r="AE72" s="4084"/>
      <c r="AF72" s="4084"/>
    </row>
    <row r="73" spans="29:32">
      <c r="AC73" s="4087"/>
      <c r="AD73" s="4084"/>
      <c r="AE73" s="4084"/>
      <c r="AF73" s="4084"/>
    </row>
    <row r="74" spans="29:32">
      <c r="AC74" s="4087"/>
      <c r="AD74" s="4084"/>
      <c r="AE74" s="4084"/>
      <c r="AF74" s="4084"/>
    </row>
    <row r="75" spans="29:32">
      <c r="AC75" s="4087"/>
      <c r="AD75" s="4084"/>
      <c r="AE75" s="4084"/>
      <c r="AF75" s="4084"/>
    </row>
    <row r="76" spans="29:32">
      <c r="AC76" s="4087"/>
      <c r="AD76" s="4084"/>
      <c r="AE76" s="4084"/>
      <c r="AF76" s="4084"/>
    </row>
    <row r="77" spans="29:32">
      <c r="AC77" s="4087"/>
      <c r="AD77" s="4084"/>
      <c r="AE77" s="4084"/>
      <c r="AF77" s="4084"/>
    </row>
    <row r="78" spans="29:32">
      <c r="AC78" s="4087"/>
      <c r="AD78" s="4084"/>
      <c r="AE78" s="4084"/>
      <c r="AF78" s="4084"/>
    </row>
    <row r="79" spans="29:32">
      <c r="AC79" s="4087"/>
      <c r="AD79" s="4084"/>
      <c r="AE79" s="4084"/>
      <c r="AF79" s="4084"/>
    </row>
    <row r="80" spans="29:32">
      <c r="AC80" s="4087"/>
      <c r="AD80" s="4084"/>
      <c r="AE80" s="4084"/>
      <c r="AF80" s="4084"/>
    </row>
    <row r="81" spans="29:32">
      <c r="AC81" s="4087"/>
      <c r="AD81" s="4084"/>
      <c r="AE81" s="4084"/>
      <c r="AF81" s="4084"/>
    </row>
    <row r="82" spans="29:32">
      <c r="AC82" s="4087"/>
      <c r="AD82" s="4084"/>
      <c r="AE82" s="4084"/>
      <c r="AF82" s="4084"/>
    </row>
    <row r="83" spans="29:32">
      <c r="AC83" s="4087"/>
      <c r="AD83" s="4084"/>
      <c r="AE83" s="4084"/>
      <c r="AF83" s="4084"/>
    </row>
    <row r="84" spans="29:32">
      <c r="AC84" s="4087"/>
      <c r="AD84" s="4084"/>
      <c r="AE84" s="4084"/>
      <c r="AF84" s="4084"/>
    </row>
    <row r="85" spans="29:32">
      <c r="AC85" s="4087"/>
      <c r="AD85" s="4084"/>
      <c r="AE85" s="4084"/>
      <c r="AF85" s="4084"/>
    </row>
    <row r="86" spans="29:32">
      <c r="AC86" s="4087"/>
      <c r="AD86" s="4084"/>
      <c r="AE86" s="4084"/>
      <c r="AF86" s="4084"/>
    </row>
    <row r="87" spans="29:32">
      <c r="AC87" s="4087"/>
      <c r="AD87" s="4084"/>
      <c r="AE87" s="4084"/>
      <c r="AF87" s="4084"/>
    </row>
  </sheetData>
  <mergeCells count="174">
    <mergeCell ref="AC87:AD87"/>
    <mergeCell ref="AE87:AF87"/>
    <mergeCell ref="AC84:AD84"/>
    <mergeCell ref="AE84:AF84"/>
    <mergeCell ref="AC85:AD85"/>
    <mergeCell ref="AE85:AF85"/>
    <mergeCell ref="AC86:AD86"/>
    <mergeCell ref="AE86:AF86"/>
    <mergeCell ref="AC81:AD81"/>
    <mergeCell ref="AE81:AF81"/>
    <mergeCell ref="AC82:AD82"/>
    <mergeCell ref="AE82:AF82"/>
    <mergeCell ref="AC83:AD83"/>
    <mergeCell ref="AE83:AF83"/>
    <mergeCell ref="AC78:AD78"/>
    <mergeCell ref="AE78:AF78"/>
    <mergeCell ref="AC79:AD79"/>
    <mergeCell ref="AE79:AF79"/>
    <mergeCell ref="AC80:AD80"/>
    <mergeCell ref="AE80:AF80"/>
    <mergeCell ref="AC75:AD75"/>
    <mergeCell ref="AE75:AF75"/>
    <mergeCell ref="AC76:AD76"/>
    <mergeCell ref="AE76:AF76"/>
    <mergeCell ref="AC77:AD77"/>
    <mergeCell ref="AE77:AF77"/>
    <mergeCell ref="AC72:AD72"/>
    <mergeCell ref="AE72:AF72"/>
    <mergeCell ref="AC73:AD73"/>
    <mergeCell ref="AE73:AF73"/>
    <mergeCell ref="AC74:AD74"/>
    <mergeCell ref="AE74:AF74"/>
    <mergeCell ref="AC69:AD69"/>
    <mergeCell ref="AE69:AF69"/>
    <mergeCell ref="AC70:AD70"/>
    <mergeCell ref="AE70:AF70"/>
    <mergeCell ref="AC71:AD71"/>
    <mergeCell ref="AE71:AF71"/>
    <mergeCell ref="AC65:AD65"/>
    <mergeCell ref="AC66:AD66"/>
    <mergeCell ref="AE66:AF66"/>
    <mergeCell ref="AC67:AD67"/>
    <mergeCell ref="AE67:AF67"/>
    <mergeCell ref="AC68:AD68"/>
    <mergeCell ref="AE68:AF68"/>
    <mergeCell ref="AC62:AD62"/>
    <mergeCell ref="AE62:AF62"/>
    <mergeCell ref="AC63:AD63"/>
    <mergeCell ref="AE63:AF63"/>
    <mergeCell ref="AC64:AD64"/>
    <mergeCell ref="AE64:AF64"/>
    <mergeCell ref="AC59:AD59"/>
    <mergeCell ref="AE59:AF59"/>
    <mergeCell ref="AC60:AD60"/>
    <mergeCell ref="AE60:AF60"/>
    <mergeCell ref="AC61:AD61"/>
    <mergeCell ref="AE61:AF61"/>
    <mergeCell ref="AC56:AD56"/>
    <mergeCell ref="AE56:AF56"/>
    <mergeCell ref="AC57:AD57"/>
    <mergeCell ref="AE57:AF57"/>
    <mergeCell ref="AC58:AD58"/>
    <mergeCell ref="AE58:AF58"/>
    <mergeCell ref="AC53:AD53"/>
    <mergeCell ref="AE53:AF53"/>
    <mergeCell ref="AC54:AD54"/>
    <mergeCell ref="AE54:AF54"/>
    <mergeCell ref="AC55:AD55"/>
    <mergeCell ref="AE55:AF55"/>
    <mergeCell ref="AC50:AD50"/>
    <mergeCell ref="AE50:AF50"/>
    <mergeCell ref="AC51:AD51"/>
    <mergeCell ref="AE51:AF51"/>
    <mergeCell ref="AC52:AD52"/>
    <mergeCell ref="AE52:AF52"/>
    <mergeCell ref="AC47:AD47"/>
    <mergeCell ref="AE47:AF47"/>
    <mergeCell ref="AC48:AD48"/>
    <mergeCell ref="AE48:AF48"/>
    <mergeCell ref="AC49:AD49"/>
    <mergeCell ref="AE49:AF49"/>
    <mergeCell ref="AC44:AD44"/>
    <mergeCell ref="AE44:AF44"/>
    <mergeCell ref="AC45:AD45"/>
    <mergeCell ref="AE45:AF45"/>
    <mergeCell ref="AC46:AD46"/>
    <mergeCell ref="AE46:AF46"/>
    <mergeCell ref="AC41:AD41"/>
    <mergeCell ref="AE41:AF41"/>
    <mergeCell ref="AC42:AD42"/>
    <mergeCell ref="AE42:AF42"/>
    <mergeCell ref="AC43:AD43"/>
    <mergeCell ref="AE43:AF43"/>
    <mergeCell ref="AC38:AD38"/>
    <mergeCell ref="AE38:AF38"/>
    <mergeCell ref="AC39:AD39"/>
    <mergeCell ref="AE39:AF39"/>
    <mergeCell ref="AC40:AD40"/>
    <mergeCell ref="AE40:AF40"/>
    <mergeCell ref="AC35:AD35"/>
    <mergeCell ref="AE35:AF35"/>
    <mergeCell ref="AC36:AD36"/>
    <mergeCell ref="AE36:AF36"/>
    <mergeCell ref="AC37:AD37"/>
    <mergeCell ref="AE37:AF37"/>
    <mergeCell ref="AC32:AD32"/>
    <mergeCell ref="AE32:AF32"/>
    <mergeCell ref="AC33:AD33"/>
    <mergeCell ref="AE33:AF33"/>
    <mergeCell ref="AC34:AD34"/>
    <mergeCell ref="AE34:AF34"/>
    <mergeCell ref="AC29:AD29"/>
    <mergeCell ref="AE29:AF29"/>
    <mergeCell ref="AC30:AD30"/>
    <mergeCell ref="AE30:AF30"/>
    <mergeCell ref="AC31:AD31"/>
    <mergeCell ref="AE31:AF31"/>
    <mergeCell ref="AC26:AD26"/>
    <mergeCell ref="AE26:AF26"/>
    <mergeCell ref="AC27:AD27"/>
    <mergeCell ref="AE27:AF27"/>
    <mergeCell ref="AC28:AD28"/>
    <mergeCell ref="AE28:AF28"/>
    <mergeCell ref="AC23:AD23"/>
    <mergeCell ref="AE23:AF23"/>
    <mergeCell ref="AC24:AD24"/>
    <mergeCell ref="AE24:AF24"/>
    <mergeCell ref="AC25:AD25"/>
    <mergeCell ref="AE25:AF25"/>
    <mergeCell ref="AC19:AD19"/>
    <mergeCell ref="AE19:AF19"/>
    <mergeCell ref="E20:E22"/>
    <mergeCell ref="AC20:AD20"/>
    <mergeCell ref="AE20:AF20"/>
    <mergeCell ref="AC21:AD21"/>
    <mergeCell ref="AE21:AF21"/>
    <mergeCell ref="AC22:AD22"/>
    <mergeCell ref="AE22:AF22"/>
    <mergeCell ref="AC16:AD16"/>
    <mergeCell ref="AE16:AF16"/>
    <mergeCell ref="AC17:AD17"/>
    <mergeCell ref="AE17:AF17"/>
    <mergeCell ref="AC18:AD18"/>
    <mergeCell ref="AE18:AF18"/>
    <mergeCell ref="AC13:AD13"/>
    <mergeCell ref="AE13:AF13"/>
    <mergeCell ref="AC14:AD14"/>
    <mergeCell ref="AE14:AF14"/>
    <mergeCell ref="AC15:AD15"/>
    <mergeCell ref="AE15:AF15"/>
    <mergeCell ref="AC10:AD10"/>
    <mergeCell ref="AE10:AF10"/>
    <mergeCell ref="AC11:AD11"/>
    <mergeCell ref="AE11:AF11"/>
    <mergeCell ref="AC12:AD12"/>
    <mergeCell ref="AE12:AF12"/>
    <mergeCell ref="AC7:AD7"/>
    <mergeCell ref="AE7:AF7"/>
    <mergeCell ref="AC8:AD8"/>
    <mergeCell ref="AE8:AF8"/>
    <mergeCell ref="AC9:AD9"/>
    <mergeCell ref="AE9:AF9"/>
    <mergeCell ref="AC4:AD4"/>
    <mergeCell ref="AE4:AF4"/>
    <mergeCell ref="AC5:AD5"/>
    <mergeCell ref="AE5:AF5"/>
    <mergeCell ref="AC6:AD6"/>
    <mergeCell ref="AE6:AF6"/>
    <mergeCell ref="AC1:AD1"/>
    <mergeCell ref="AE1:AF1"/>
    <mergeCell ref="AC2:AD2"/>
    <mergeCell ref="AE2:AF2"/>
    <mergeCell ref="AC3:AD3"/>
    <mergeCell ref="AE3:AF3"/>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662" t="str">
        <f>IF(项目基本情况!B9="房地产市场价值","估价结果一览表","结果表-2")</f>
        <v>估价结果一览表</v>
      </c>
      <c r="B1" s="3662"/>
      <c r="C1" s="3662"/>
      <c r="D1" s="3662"/>
      <c r="E1" s="3662"/>
      <c r="F1" s="3662"/>
      <c r="G1" s="3662"/>
      <c r="H1" s="3662"/>
      <c r="I1" s="3662"/>
    </row>
    <row r="2" spans="1:9" ht="30" customHeight="1" thickTop="1">
      <c r="A2" s="3663" t="s">
        <v>928</v>
      </c>
      <c r="B2" s="3663" t="s">
        <v>929</v>
      </c>
      <c r="C2" s="3663" t="s">
        <v>930</v>
      </c>
      <c r="D2" s="3663" t="str">
        <f>结果表!D116</f>
        <v>出让国有建设用地使用权价值</v>
      </c>
      <c r="E2" s="3663"/>
      <c r="F2" s="3663" t="str">
        <f>结果表!F116</f>
        <v>在建建筑物价值</v>
      </c>
      <c r="G2" s="3663"/>
      <c r="H2" s="3663" t="str">
        <f>IF(项目基本情况!B9="房地产市场价值","房地产市场价值","房地产价值")</f>
        <v>房地产市场价值</v>
      </c>
      <c r="I2" s="3663"/>
    </row>
    <row r="3" spans="1:9" ht="15">
      <c r="A3" s="3658"/>
      <c r="B3" s="3658"/>
      <c r="C3" s="3658"/>
      <c r="D3" s="801" t="s">
        <v>925</v>
      </c>
      <c r="E3" s="801" t="s">
        <v>931</v>
      </c>
      <c r="F3" s="801" t="s">
        <v>925</v>
      </c>
      <c r="G3" s="801" t="s">
        <v>926</v>
      </c>
      <c r="H3" s="801" t="s">
        <v>925</v>
      </c>
      <c r="I3" s="801" t="s">
        <v>926</v>
      </c>
    </row>
    <row r="4" spans="1:9" ht="15">
      <c r="A4" s="1403" t="str">
        <f>项目基本情况!S2</f>
        <v>北京市房地产</v>
      </c>
      <c r="B4" s="801">
        <f>项目基本情况!C17</f>
        <v>46330.329999999994</v>
      </c>
      <c r="C4" s="801">
        <f>项目基本情况!C18</f>
        <v>4831.42</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658" t="s">
        <v>927</v>
      </c>
      <c r="B5" s="3658"/>
      <c r="C5" s="3658"/>
      <c r="D5" s="3658" t="e">
        <f ca="1">结果表!D119</f>
        <v>#REF!</v>
      </c>
      <c r="E5" s="3658"/>
      <c r="F5" s="3658" t="e">
        <f ca="1">结果表!F119</f>
        <v>#REF!</v>
      </c>
      <c r="G5" s="3658"/>
      <c r="H5" s="3658" t="e">
        <f ca="1">结果表!H119</f>
        <v>#REF!</v>
      </c>
      <c r="I5" s="3658"/>
    </row>
    <row r="6" spans="1:9" ht="15.75">
      <c r="A6" s="3657" t="str">
        <f>结果表!A120</f>
        <v/>
      </c>
      <c r="B6" s="3657"/>
      <c r="C6" s="3657"/>
      <c r="D6" s="3657">
        <f>结果表!D120</f>
        <v>0</v>
      </c>
      <c r="E6" s="3657"/>
      <c r="F6" s="3657"/>
      <c r="G6" s="3657"/>
      <c r="H6" s="3657"/>
      <c r="I6" s="3657"/>
    </row>
    <row r="7" spans="1:9" ht="15">
      <c r="A7" s="3658" t="s">
        <v>927</v>
      </c>
      <c r="B7" s="3658"/>
      <c r="C7" s="3658"/>
      <c r="D7" s="3659" t="str">
        <f>结果表!D121</f>
        <v>零元整</v>
      </c>
      <c r="E7" s="3660"/>
      <c r="F7" s="3660"/>
      <c r="G7" s="3660"/>
      <c r="H7" s="3660"/>
      <c r="I7" s="3661"/>
    </row>
    <row r="8" spans="1:9" ht="15.75">
      <c r="A8" s="3657" t="str">
        <f>结果表!A122</f>
        <v/>
      </c>
      <c r="B8" s="3657"/>
      <c r="C8" s="3657"/>
      <c r="D8" s="3657" t="e">
        <f ca="1">结果表!D122</f>
        <v>#REF!</v>
      </c>
      <c r="E8" s="3657"/>
      <c r="F8" s="3657"/>
      <c r="G8" s="3657"/>
      <c r="H8" s="3657"/>
      <c r="I8" s="3657"/>
    </row>
    <row r="9" spans="1:9" ht="15">
      <c r="A9" s="3658" t="s">
        <v>927</v>
      </c>
      <c r="B9" s="3658"/>
      <c r="C9" s="3658"/>
      <c r="D9" s="3658" t="e">
        <f ca="1">结果表!D123</f>
        <v>#REF!</v>
      </c>
      <c r="E9" s="3658"/>
      <c r="F9" s="3658"/>
      <c r="G9" s="3658"/>
      <c r="H9" s="3658"/>
      <c r="I9" s="3658"/>
    </row>
    <row r="10" spans="1:9" ht="15.75">
      <c r="A10" s="3657" t="str">
        <f>结果表!A124</f>
        <v/>
      </c>
      <c r="B10" s="3657"/>
      <c r="C10" s="3657"/>
      <c r="D10" s="3657" t="str">
        <f>结果表!D124</f>
        <v>——</v>
      </c>
      <c r="E10" s="3657"/>
      <c r="F10" s="3657"/>
      <c r="G10" s="3657"/>
      <c r="H10" s="3657"/>
      <c r="I10" s="3657"/>
    </row>
    <row r="11" spans="1:9" ht="15">
      <c r="A11" s="3658" t="s">
        <v>927</v>
      </c>
      <c r="B11" s="3658"/>
      <c r="C11" s="3658"/>
      <c r="D11" s="3658" t="e">
        <f>结果表!D125</f>
        <v>#VALUE!</v>
      </c>
      <c r="E11" s="3658"/>
      <c r="F11" s="3658"/>
      <c r="G11" s="3658"/>
      <c r="H11" s="3658"/>
      <c r="I11" s="3658"/>
    </row>
    <row r="12" spans="1:9" ht="15.75">
      <c r="A12" s="3657" t="str">
        <f>结果表!A126</f>
        <v/>
      </c>
      <c r="B12" s="3657"/>
      <c r="C12" s="3657"/>
      <c r="D12" s="3657" t="str">
        <f>结果表!D126</f>
        <v>——</v>
      </c>
      <c r="E12" s="3657"/>
      <c r="F12" s="3657"/>
      <c r="G12" s="3657"/>
      <c r="H12" s="3657"/>
      <c r="I12" s="3657"/>
    </row>
    <row r="13" spans="1:9" ht="15.75" thickBot="1">
      <c r="A13" s="3655" t="s">
        <v>927</v>
      </c>
      <c r="B13" s="3655"/>
      <c r="C13" s="3655"/>
      <c r="D13" s="3655" t="e">
        <f>结果表!D127</f>
        <v>#VALUE!</v>
      </c>
      <c r="E13" s="3655"/>
      <c r="F13" s="3655"/>
      <c r="G13" s="3655"/>
      <c r="H13" s="3655"/>
      <c r="I13" s="3655"/>
    </row>
    <row r="14" spans="1:9" ht="15" thickTop="1">
      <c r="A14" s="3656" t="s">
        <v>932</v>
      </c>
      <c r="B14" s="3656"/>
      <c r="C14" s="3656"/>
      <c r="D14" s="3656"/>
      <c r="E14" s="3656"/>
      <c r="F14" s="3656"/>
      <c r="G14" s="3656"/>
      <c r="H14" s="3656"/>
      <c r="I14" s="365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4101" t="s">
        <v>2609</v>
      </c>
      <c r="B20" s="4096" t="s">
        <v>2630</v>
      </c>
      <c r="C20" s="2843" t="s">
        <v>2441</v>
      </c>
      <c r="D20" s="2844"/>
      <c r="E20" s="2845">
        <v>1</v>
      </c>
      <c r="F20" s="2846" t="s">
        <v>2442</v>
      </c>
      <c r="G20" s="2846"/>
    </row>
    <row r="21" spans="1:13" ht="19.5" customHeight="1">
      <c r="A21" s="4102"/>
      <c r="B21" s="4095"/>
      <c r="C21" s="2847" t="s">
        <v>2443</v>
      </c>
      <c r="D21" s="2848"/>
      <c r="E21" s="2849">
        <v>1</v>
      </c>
      <c r="F21" s="2846" t="s">
        <v>2444</v>
      </c>
      <c r="G21" s="2846"/>
    </row>
    <row r="22" spans="1:13" ht="19.5" customHeight="1">
      <c r="A22" s="4102"/>
      <c r="B22" s="4095"/>
      <c r="C22" s="2847" t="s">
        <v>2445</v>
      </c>
      <c r="D22" s="2848"/>
      <c r="E22" s="2849">
        <v>0.9</v>
      </c>
      <c r="F22" s="2846" t="s">
        <v>2446</v>
      </c>
      <c r="G22" s="2846"/>
    </row>
    <row r="23" spans="1:13" ht="19.5" customHeight="1">
      <c r="A23" s="4102"/>
      <c r="B23" s="4095"/>
      <c r="C23" s="2847" t="s">
        <v>2447</v>
      </c>
      <c r="D23" s="2848"/>
      <c r="E23" s="2849">
        <v>0.9</v>
      </c>
      <c r="F23" s="2846" t="s">
        <v>2448</v>
      </c>
      <c r="G23" s="2846"/>
    </row>
    <row r="24" spans="1:13" ht="19.5" customHeight="1">
      <c r="A24" s="4102"/>
      <c r="B24" s="4095"/>
      <c r="C24" s="2847" t="s">
        <v>2449</v>
      </c>
      <c r="D24" s="2848"/>
      <c r="E24" s="2849">
        <v>0.8</v>
      </c>
      <c r="F24" s="2846" t="s">
        <v>2450</v>
      </c>
      <c r="G24" s="2846"/>
    </row>
    <row r="25" spans="1:13" ht="19.5" customHeight="1" thickBot="1">
      <c r="A25" s="4103"/>
      <c r="B25" s="4097"/>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4098" t="s">
        <v>2633</v>
      </c>
      <c r="B27" s="4096" t="s">
        <v>2614</v>
      </c>
      <c r="C27" s="2843" t="s">
        <v>2454</v>
      </c>
      <c r="D27" s="2844"/>
      <c r="E27" s="2845">
        <v>1</v>
      </c>
      <c r="F27" s="2846" t="s">
        <v>2455</v>
      </c>
      <c r="G27" s="2846"/>
    </row>
    <row r="28" spans="1:13" ht="19.5" customHeight="1">
      <c r="A28" s="4099"/>
      <c r="B28" s="4095"/>
      <c r="C28" s="2847" t="s">
        <v>2456</v>
      </c>
      <c r="D28" s="2848"/>
      <c r="E28" s="2849">
        <v>1</v>
      </c>
      <c r="F28" s="2846" t="s">
        <v>2457</v>
      </c>
      <c r="G28" s="2846"/>
    </row>
    <row r="29" spans="1:13" ht="19.5" customHeight="1">
      <c r="A29" s="4099"/>
      <c r="B29" s="4095"/>
      <c r="C29" s="2847" t="s">
        <v>2458</v>
      </c>
      <c r="D29" s="2848"/>
      <c r="E29" s="2849">
        <v>0.8</v>
      </c>
      <c r="F29" s="2846" t="s">
        <v>2459</v>
      </c>
      <c r="G29" s="2846"/>
    </row>
    <row r="30" spans="1:13" ht="19.5" customHeight="1">
      <c r="A30" s="4099"/>
      <c r="B30" s="4095"/>
      <c r="C30" s="2847" t="s">
        <v>2460</v>
      </c>
      <c r="D30" s="2848"/>
      <c r="E30" s="2849">
        <v>0.8</v>
      </c>
      <c r="F30" s="2846" t="s">
        <v>2461</v>
      </c>
      <c r="G30" s="2846"/>
    </row>
    <row r="31" spans="1:13" ht="19.5" customHeight="1">
      <c r="A31" s="4099"/>
      <c r="B31" s="4095"/>
      <c r="C31" s="2847" t="s">
        <v>2462</v>
      </c>
      <c r="D31" s="2848"/>
      <c r="E31" s="2849">
        <v>0.8</v>
      </c>
      <c r="F31" s="2846" t="s">
        <v>2463</v>
      </c>
      <c r="G31" s="2846"/>
    </row>
    <row r="32" spans="1:13" ht="19.5" customHeight="1">
      <c r="A32" s="4099"/>
      <c r="B32" s="4095"/>
      <c r="C32" s="2847" t="s">
        <v>2464</v>
      </c>
      <c r="D32" s="2848"/>
      <c r="E32" s="2849">
        <v>0.7</v>
      </c>
      <c r="F32" s="2846" t="s">
        <v>2465</v>
      </c>
      <c r="G32" s="2846"/>
    </row>
    <row r="33" spans="1:7" ht="19.5" customHeight="1">
      <c r="A33" s="4099"/>
      <c r="B33" s="4095"/>
      <c r="C33" s="2847" t="s">
        <v>2466</v>
      </c>
      <c r="D33" s="2848"/>
      <c r="E33" s="2849">
        <v>0.8</v>
      </c>
      <c r="F33" s="2846" t="s">
        <v>2467</v>
      </c>
      <c r="G33" s="2846"/>
    </row>
    <row r="34" spans="1:7" ht="19.5" customHeight="1">
      <c r="A34" s="4099"/>
      <c r="B34" s="4095"/>
      <c r="C34" s="2847" t="s">
        <v>2468</v>
      </c>
      <c r="D34" s="2848"/>
      <c r="E34" s="2849">
        <v>0.6</v>
      </c>
      <c r="F34" s="2846" t="s">
        <v>2469</v>
      </c>
      <c r="G34" s="2846"/>
    </row>
    <row r="35" spans="1:7" ht="19.5" customHeight="1">
      <c r="A35" s="4099"/>
      <c r="B35" s="4095"/>
      <c r="C35" s="2847" t="s">
        <v>2470</v>
      </c>
      <c r="D35" s="2848"/>
      <c r="E35" s="2849">
        <v>0.2</v>
      </c>
      <c r="F35" s="2846" t="s">
        <v>2471</v>
      </c>
      <c r="G35" s="2846"/>
    </row>
    <row r="36" spans="1:7" ht="19.5" customHeight="1">
      <c r="A36" s="4099"/>
      <c r="B36" s="4095"/>
      <c r="C36" s="2847" t="s">
        <v>2472</v>
      </c>
      <c r="D36" s="2848"/>
      <c r="E36" s="2849">
        <v>0.2</v>
      </c>
      <c r="F36" s="2846" t="s">
        <v>2473</v>
      </c>
      <c r="G36" s="2846"/>
    </row>
    <row r="37" spans="1:7" ht="19.5" customHeight="1">
      <c r="A37" s="4099"/>
      <c r="B37" s="4093" t="s">
        <v>2634</v>
      </c>
      <c r="C37" s="2847" t="s">
        <v>2474</v>
      </c>
      <c r="D37" s="2848"/>
      <c r="E37" s="2849">
        <v>0.6</v>
      </c>
      <c r="F37" s="2846" t="s">
        <v>2475</v>
      </c>
      <c r="G37" s="2846"/>
    </row>
    <row r="38" spans="1:7" ht="19.5" customHeight="1">
      <c r="A38" s="4099"/>
      <c r="B38" s="4095"/>
      <c r="C38" s="2847" t="s">
        <v>2476</v>
      </c>
      <c r="D38" s="2848"/>
      <c r="E38" s="2849">
        <v>0.6</v>
      </c>
      <c r="F38" s="2846" t="s">
        <v>2477</v>
      </c>
      <c r="G38" s="2846"/>
    </row>
    <row r="39" spans="1:7" ht="19.5" customHeight="1" thickBot="1">
      <c r="A39" s="4100"/>
      <c r="B39" s="4097"/>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4101" t="s">
        <v>2612</v>
      </c>
      <c r="B41" s="4096" t="s">
        <v>2636</v>
      </c>
      <c r="C41" s="2843" t="s">
        <v>2481</v>
      </c>
      <c r="D41" s="2844"/>
      <c r="E41" s="2845">
        <v>1</v>
      </c>
      <c r="F41" s="2846" t="s">
        <v>2482</v>
      </c>
      <c r="G41" s="2846"/>
    </row>
    <row r="42" spans="1:7" ht="19.5" customHeight="1">
      <c r="A42" s="4102"/>
      <c r="B42" s="4095"/>
      <c r="C42" s="2847" t="s">
        <v>2483</v>
      </c>
      <c r="D42" s="2848"/>
      <c r="E42" s="2849">
        <v>1</v>
      </c>
      <c r="F42" s="2846" t="s">
        <v>2484</v>
      </c>
      <c r="G42" s="2846"/>
    </row>
    <row r="43" spans="1:7" ht="19.5" customHeight="1">
      <c r="A43" s="4102"/>
      <c r="B43" s="4094"/>
      <c r="C43" s="2847" t="s">
        <v>2485</v>
      </c>
      <c r="D43" s="2848"/>
      <c r="E43" s="2849">
        <v>1.5</v>
      </c>
      <c r="F43" s="2846" t="s">
        <v>2486</v>
      </c>
      <c r="G43" s="2846"/>
    </row>
    <row r="44" spans="1:7" ht="19.5" customHeight="1">
      <c r="A44" s="4102"/>
      <c r="B44" s="2858" t="s">
        <v>2637</v>
      </c>
      <c r="C44" s="2847" t="s">
        <v>2638</v>
      </c>
      <c r="D44" s="2848"/>
      <c r="E44" s="2849">
        <v>2</v>
      </c>
      <c r="F44" s="2846" t="s">
        <v>2487</v>
      </c>
      <c r="G44" s="2846"/>
    </row>
    <row r="45" spans="1:7" ht="19.5" customHeight="1">
      <c r="A45" s="4102"/>
      <c r="B45" s="4093" t="s">
        <v>2639</v>
      </c>
      <c r="C45" s="2847" t="s">
        <v>2488</v>
      </c>
      <c r="D45" s="2848"/>
      <c r="E45" s="2849">
        <v>1</v>
      </c>
      <c r="F45" s="2846" t="s">
        <v>2489</v>
      </c>
      <c r="G45" s="2846"/>
    </row>
    <row r="46" spans="1:7" ht="19.5" customHeight="1">
      <c r="A46" s="4102"/>
      <c r="B46" s="4095"/>
      <c r="C46" s="2847" t="s">
        <v>2490</v>
      </c>
      <c r="D46" s="2848"/>
      <c r="E46" s="2849">
        <v>1</v>
      </c>
      <c r="F46" s="2846" t="s">
        <v>2491</v>
      </c>
      <c r="G46" s="2846"/>
    </row>
    <row r="47" spans="1:7" ht="19.5" customHeight="1">
      <c r="A47" s="4102"/>
      <c r="B47" s="4095"/>
      <c r="C47" s="2847" t="s">
        <v>2492</v>
      </c>
      <c r="D47" s="2848"/>
      <c r="E47" s="2849">
        <v>1</v>
      </c>
      <c r="F47" s="2846" t="s">
        <v>2493</v>
      </c>
      <c r="G47" s="2846"/>
    </row>
    <row r="48" spans="1:7" ht="19.5" customHeight="1">
      <c r="A48" s="4102"/>
      <c r="B48" s="4095"/>
      <c r="C48" s="2847" t="s">
        <v>2494</v>
      </c>
      <c r="D48" s="2848"/>
      <c r="E48" s="2849">
        <v>1</v>
      </c>
      <c r="F48" s="2846" t="s">
        <v>2495</v>
      </c>
      <c r="G48" s="2846"/>
    </row>
    <row r="49" spans="1:7" ht="19.5" customHeight="1">
      <c r="A49" s="4102"/>
      <c r="B49" s="4095"/>
      <c r="C49" s="2847" t="s">
        <v>2496</v>
      </c>
      <c r="D49" s="2848"/>
      <c r="E49" s="2849">
        <v>1</v>
      </c>
      <c r="F49" s="2846" t="s">
        <v>2497</v>
      </c>
      <c r="G49" s="2846"/>
    </row>
    <row r="50" spans="1:7" ht="19.5" customHeight="1">
      <c r="A50" s="4102"/>
      <c r="B50" s="4095"/>
      <c r="C50" s="2847" t="s">
        <v>2498</v>
      </c>
      <c r="D50" s="2848"/>
      <c r="E50" s="2849">
        <v>1</v>
      </c>
      <c r="F50" s="2846" t="s">
        <v>2499</v>
      </c>
      <c r="G50" s="2846"/>
    </row>
    <row r="51" spans="1:7" ht="19.5" customHeight="1" thickBot="1">
      <c r="A51" s="4103"/>
      <c r="B51" s="4097"/>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3.5">
      <c r="A72" s="2858"/>
      <c r="B72" s="2858"/>
      <c r="C72" s="2858" t="s">
        <v>2652</v>
      </c>
      <c r="D72" s="2858"/>
      <c r="E72" s="2858" t="s">
        <v>2623</v>
      </c>
      <c r="F72" s="2858" t="s">
        <v>2623</v>
      </c>
    </row>
    <row r="73" spans="1:7" ht="13.5">
      <c r="A73" s="2858">
        <v>1</v>
      </c>
      <c r="B73" s="4093" t="s">
        <v>2653</v>
      </c>
      <c r="C73" s="2832" t="s">
        <v>2654</v>
      </c>
      <c r="D73" s="2832" t="s">
        <v>2655</v>
      </c>
      <c r="E73" s="2858">
        <v>0.2</v>
      </c>
      <c r="F73" s="2858">
        <v>25</v>
      </c>
    </row>
    <row r="74" spans="1:7" ht="24">
      <c r="A74" s="2858">
        <v>2</v>
      </c>
      <c r="B74" s="4095"/>
      <c r="C74" s="2832" t="s">
        <v>2656</v>
      </c>
      <c r="D74" s="2832" t="s">
        <v>2657</v>
      </c>
      <c r="E74" s="2858">
        <v>0.2</v>
      </c>
      <c r="F74" s="2858">
        <v>25</v>
      </c>
    </row>
    <row r="75" spans="1:7" ht="24">
      <c r="A75" s="2858">
        <v>3</v>
      </c>
      <c r="B75" s="4095"/>
      <c r="C75" s="2832" t="s">
        <v>2658</v>
      </c>
      <c r="D75" s="2832" t="s">
        <v>2659</v>
      </c>
      <c r="E75" s="2858">
        <v>0.2</v>
      </c>
      <c r="F75" s="2858">
        <v>25</v>
      </c>
    </row>
    <row r="76" spans="1:7" ht="13.5">
      <c r="A76" s="2858">
        <v>4</v>
      </c>
      <c r="B76" s="4095"/>
      <c r="C76" s="2832" t="s">
        <v>2660</v>
      </c>
      <c r="D76" s="2832" t="s">
        <v>2661</v>
      </c>
      <c r="E76" s="2858">
        <v>0.15</v>
      </c>
      <c r="F76" s="2858">
        <v>20</v>
      </c>
    </row>
    <row r="77" spans="1:7" ht="24">
      <c r="A77" s="2858">
        <v>5</v>
      </c>
      <c r="B77" s="4095"/>
      <c r="C77" s="2832" t="s">
        <v>2662</v>
      </c>
      <c r="D77" s="2832" t="s">
        <v>2663</v>
      </c>
      <c r="E77" s="2858">
        <v>0.15</v>
      </c>
      <c r="F77" s="2858">
        <v>20</v>
      </c>
    </row>
    <row r="78" spans="1:7" ht="24">
      <c r="A78" s="2858">
        <v>6</v>
      </c>
      <c r="B78" s="4095"/>
      <c r="C78" s="2832" t="s">
        <v>2664</v>
      </c>
      <c r="D78" s="2832" t="s">
        <v>2665</v>
      </c>
      <c r="E78" s="2858">
        <v>0.15</v>
      </c>
      <c r="F78" s="2858">
        <v>20</v>
      </c>
    </row>
    <row r="79" spans="1:7" ht="24">
      <c r="A79" s="2858">
        <v>7</v>
      </c>
      <c r="B79" s="4095"/>
      <c r="C79" s="2832" t="s">
        <v>2666</v>
      </c>
      <c r="D79" s="2832" t="s">
        <v>2667</v>
      </c>
      <c r="E79" s="2858">
        <v>0.15</v>
      </c>
      <c r="F79" s="2858">
        <v>20</v>
      </c>
    </row>
    <row r="80" spans="1:7" ht="24">
      <c r="A80" s="2858">
        <v>8</v>
      </c>
      <c r="B80" s="4095"/>
      <c r="C80" s="2832" t="s">
        <v>2668</v>
      </c>
      <c r="D80" s="2832" t="s">
        <v>2669</v>
      </c>
      <c r="E80" s="2858">
        <v>0.1</v>
      </c>
      <c r="F80" s="2858">
        <v>15</v>
      </c>
    </row>
    <row r="81" spans="1:6" ht="24">
      <c r="A81" s="2858">
        <v>9</v>
      </c>
      <c r="B81" s="4095"/>
      <c r="C81" s="2832" t="s">
        <v>2670</v>
      </c>
      <c r="D81" s="2832" t="s">
        <v>2671</v>
      </c>
      <c r="E81" s="2858">
        <v>0.1</v>
      </c>
      <c r="F81" s="2858">
        <v>15</v>
      </c>
    </row>
    <row r="82" spans="1:6" ht="24">
      <c r="A82" s="2858">
        <v>10</v>
      </c>
      <c r="B82" s="4095"/>
      <c r="C82" s="2832" t="s">
        <v>2672</v>
      </c>
      <c r="D82" s="2832" t="s">
        <v>2673</v>
      </c>
      <c r="E82" s="2858">
        <v>0.1</v>
      </c>
      <c r="F82" s="2858">
        <v>15</v>
      </c>
    </row>
    <row r="83" spans="1:6" ht="24">
      <c r="A83" s="2858">
        <v>11</v>
      </c>
      <c r="B83" s="4095"/>
      <c r="C83" s="2832" t="s">
        <v>2674</v>
      </c>
      <c r="D83" s="2832" t="s">
        <v>2675</v>
      </c>
      <c r="E83" s="2858">
        <v>0.1</v>
      </c>
      <c r="F83" s="2858">
        <v>15</v>
      </c>
    </row>
    <row r="84" spans="1:6" ht="24">
      <c r="A84" s="2858">
        <v>12</v>
      </c>
      <c r="B84" s="4095"/>
      <c r="C84" s="2832" t="s">
        <v>2676</v>
      </c>
      <c r="D84" s="2832" t="s">
        <v>2677</v>
      </c>
      <c r="E84" s="2858">
        <v>0.1</v>
      </c>
      <c r="F84" s="2858">
        <v>15</v>
      </c>
    </row>
    <row r="85" spans="1:6" ht="13.5">
      <c r="A85" s="2858">
        <v>13</v>
      </c>
      <c r="B85" s="4095"/>
      <c r="C85" s="2832" t="s">
        <v>2678</v>
      </c>
      <c r="D85" s="2832" t="s">
        <v>2679</v>
      </c>
      <c r="E85" s="2858">
        <v>0.1</v>
      </c>
      <c r="F85" s="2858">
        <v>15</v>
      </c>
    </row>
    <row r="86" spans="1:6" ht="13.5">
      <c r="A86" s="2858">
        <v>14</v>
      </c>
      <c r="B86" s="4095"/>
      <c r="C86" s="2832" t="s">
        <v>2680</v>
      </c>
      <c r="D86" s="2832" t="s">
        <v>2681</v>
      </c>
      <c r="E86" s="2858">
        <v>0.1</v>
      </c>
      <c r="F86" s="2858">
        <v>15</v>
      </c>
    </row>
    <row r="87" spans="1:6" ht="13.5">
      <c r="A87" s="2858">
        <v>15</v>
      </c>
      <c r="B87" s="4095"/>
      <c r="C87" s="2832" t="s">
        <v>2682</v>
      </c>
      <c r="D87" s="2832" t="s">
        <v>2683</v>
      </c>
      <c r="E87" s="2858">
        <v>0.1</v>
      </c>
      <c r="F87" s="2858">
        <v>15</v>
      </c>
    </row>
    <row r="88" spans="1:6" ht="24">
      <c r="A88" s="2858">
        <v>16</v>
      </c>
      <c r="B88" s="4095"/>
      <c r="C88" s="2832" t="s">
        <v>2684</v>
      </c>
      <c r="D88" s="2832" t="s">
        <v>2685</v>
      </c>
      <c r="E88" s="2858">
        <v>0.1</v>
      </c>
      <c r="F88" s="2858">
        <v>15</v>
      </c>
    </row>
    <row r="89" spans="1:6" ht="24">
      <c r="A89" s="2858">
        <v>17</v>
      </c>
      <c r="B89" s="4094"/>
      <c r="C89" s="2832" t="s">
        <v>2686</v>
      </c>
      <c r="D89" s="2832" t="s">
        <v>2687</v>
      </c>
      <c r="E89" s="2858">
        <v>0.1</v>
      </c>
      <c r="F89" s="2858">
        <v>15</v>
      </c>
    </row>
    <row r="90" spans="1:6" ht="13.5">
      <c r="A90" s="2858">
        <v>18</v>
      </c>
      <c r="B90" s="4093" t="s">
        <v>2688</v>
      </c>
      <c r="C90" s="2832" t="s">
        <v>2689</v>
      </c>
      <c r="D90" s="2832" t="s">
        <v>2690</v>
      </c>
      <c r="E90" s="2858">
        <v>0.2</v>
      </c>
      <c r="F90" s="2858">
        <v>25</v>
      </c>
    </row>
    <row r="91" spans="1:6" ht="24">
      <c r="A91" s="2858">
        <v>19</v>
      </c>
      <c r="B91" s="4095"/>
      <c r="C91" s="2832" t="s">
        <v>2691</v>
      </c>
      <c r="D91" s="2832" t="s">
        <v>2692</v>
      </c>
      <c r="E91" s="2858">
        <v>0.2</v>
      </c>
      <c r="F91" s="2858">
        <v>25</v>
      </c>
    </row>
    <row r="92" spans="1:6" ht="13.5">
      <c r="A92" s="2858">
        <v>20</v>
      </c>
      <c r="B92" s="4095"/>
      <c r="C92" s="2832" t="s">
        <v>2693</v>
      </c>
      <c r="D92" s="2832" t="s">
        <v>2694</v>
      </c>
      <c r="E92" s="2858">
        <v>0.15</v>
      </c>
      <c r="F92" s="2858">
        <v>20</v>
      </c>
    </row>
    <row r="93" spans="1:6" ht="13.5">
      <c r="A93" s="2858">
        <v>21</v>
      </c>
      <c r="B93" s="4095"/>
      <c r="C93" s="2832" t="s">
        <v>2695</v>
      </c>
      <c r="D93" s="2832" t="s">
        <v>2696</v>
      </c>
      <c r="E93" s="2858">
        <v>0.15</v>
      </c>
      <c r="F93" s="2858">
        <v>20</v>
      </c>
    </row>
    <row r="94" spans="1:6" ht="13.5">
      <c r="A94" s="2858">
        <v>22</v>
      </c>
      <c r="B94" s="4095"/>
      <c r="C94" s="2832" t="s">
        <v>2697</v>
      </c>
      <c r="D94" s="2832" t="s">
        <v>2698</v>
      </c>
      <c r="E94" s="2858">
        <v>0.15</v>
      </c>
      <c r="F94" s="2858">
        <v>20</v>
      </c>
    </row>
    <row r="95" spans="1:6" ht="36">
      <c r="A95" s="2858">
        <v>23</v>
      </c>
      <c r="B95" s="4095"/>
      <c r="C95" s="2832" t="s">
        <v>2699</v>
      </c>
      <c r="D95" s="2832" t="s">
        <v>2700</v>
      </c>
      <c r="E95" s="2858">
        <v>0.15</v>
      </c>
      <c r="F95" s="2858">
        <v>20</v>
      </c>
    </row>
    <row r="96" spans="1:6" ht="13.5">
      <c r="A96" s="2858">
        <v>24</v>
      </c>
      <c r="B96" s="4095"/>
      <c r="C96" s="2832" t="s">
        <v>2701</v>
      </c>
      <c r="D96" s="2832" t="s">
        <v>2702</v>
      </c>
      <c r="E96" s="2858">
        <v>0.1</v>
      </c>
      <c r="F96" s="2858">
        <v>15</v>
      </c>
    </row>
    <row r="97" spans="1:6" ht="13.5">
      <c r="A97" s="2858">
        <v>25</v>
      </c>
      <c r="B97" s="4095"/>
      <c r="C97" s="2832" t="s">
        <v>2703</v>
      </c>
      <c r="D97" s="2832" t="s">
        <v>2704</v>
      </c>
      <c r="E97" s="2858">
        <v>0.1</v>
      </c>
      <c r="F97" s="2858">
        <v>15</v>
      </c>
    </row>
    <row r="98" spans="1:6" ht="24">
      <c r="A98" s="2858">
        <v>26</v>
      </c>
      <c r="B98" s="4095"/>
      <c r="C98" s="2832" t="s">
        <v>2705</v>
      </c>
      <c r="D98" s="2832" t="s">
        <v>2706</v>
      </c>
      <c r="E98" s="2858">
        <v>0.1</v>
      </c>
      <c r="F98" s="2858">
        <v>15</v>
      </c>
    </row>
    <row r="99" spans="1:6" ht="24">
      <c r="A99" s="2858">
        <v>27</v>
      </c>
      <c r="B99" s="4095"/>
      <c r="C99" s="2832" t="s">
        <v>2707</v>
      </c>
      <c r="D99" s="2832" t="s">
        <v>2708</v>
      </c>
      <c r="E99" s="2858">
        <v>0.1</v>
      </c>
      <c r="F99" s="2858">
        <v>15</v>
      </c>
    </row>
    <row r="100" spans="1:6" ht="13.5">
      <c r="A100" s="2858">
        <v>28</v>
      </c>
      <c r="B100" s="4095"/>
      <c r="C100" s="2832" t="s">
        <v>2709</v>
      </c>
      <c r="D100" s="2832" t="s">
        <v>2710</v>
      </c>
      <c r="E100" s="2858">
        <v>0.1</v>
      </c>
      <c r="F100" s="2858">
        <v>15</v>
      </c>
    </row>
    <row r="101" spans="1:6" ht="13.5">
      <c r="A101" s="2858">
        <v>29</v>
      </c>
      <c r="B101" s="4095"/>
      <c r="C101" s="2832" t="s">
        <v>2711</v>
      </c>
      <c r="D101" s="2832" t="s">
        <v>2712</v>
      </c>
      <c r="E101" s="2858">
        <v>0.1</v>
      </c>
      <c r="F101" s="2858">
        <v>15</v>
      </c>
    </row>
    <row r="102" spans="1:6" ht="13.5">
      <c r="A102" s="2858">
        <v>30</v>
      </c>
      <c r="B102" s="4095"/>
      <c r="C102" s="2832" t="s">
        <v>2713</v>
      </c>
      <c r="D102" s="2832" t="s">
        <v>2714</v>
      </c>
      <c r="E102" s="2858">
        <v>0.1</v>
      </c>
      <c r="F102" s="2858">
        <v>15</v>
      </c>
    </row>
    <row r="103" spans="1:6" ht="24">
      <c r="A103" s="2858">
        <v>31</v>
      </c>
      <c r="B103" s="4095"/>
      <c r="C103" s="2832" t="s">
        <v>2715</v>
      </c>
      <c r="D103" s="2832" t="s">
        <v>2716</v>
      </c>
      <c r="E103" s="2858">
        <v>0.1</v>
      </c>
      <c r="F103" s="2858">
        <v>15</v>
      </c>
    </row>
    <row r="104" spans="1:6" ht="24">
      <c r="A104" s="2858">
        <v>32</v>
      </c>
      <c r="B104" s="4095"/>
      <c r="C104" s="2832" t="s">
        <v>2717</v>
      </c>
      <c r="D104" s="2832" t="s">
        <v>2718</v>
      </c>
      <c r="E104" s="2858">
        <v>0.1</v>
      </c>
      <c r="F104" s="2858">
        <v>15</v>
      </c>
    </row>
    <row r="105" spans="1:6" ht="24">
      <c r="A105" s="2858">
        <v>33</v>
      </c>
      <c r="B105" s="4095"/>
      <c r="C105" s="2832" t="s">
        <v>2719</v>
      </c>
      <c r="D105" s="2832" t="s">
        <v>2720</v>
      </c>
      <c r="E105" s="2858">
        <v>0.1</v>
      </c>
      <c r="F105" s="2858">
        <v>15</v>
      </c>
    </row>
    <row r="106" spans="1:6" ht="24">
      <c r="A106" s="2858">
        <v>34</v>
      </c>
      <c r="B106" s="4094"/>
      <c r="C106" s="2832" t="s">
        <v>2721</v>
      </c>
      <c r="D106" s="2832" t="s">
        <v>2722</v>
      </c>
      <c r="E106" s="2858">
        <v>0.1</v>
      </c>
      <c r="F106" s="2858">
        <v>15</v>
      </c>
    </row>
    <row r="107" spans="1:6" ht="24">
      <c r="A107" s="2858">
        <v>35</v>
      </c>
      <c r="B107" s="4093" t="s">
        <v>2723</v>
      </c>
      <c r="C107" s="2858" t="s">
        <v>2724</v>
      </c>
      <c r="D107" s="2832" t="s">
        <v>2725</v>
      </c>
      <c r="E107" s="2858">
        <v>0.15</v>
      </c>
      <c r="F107" s="2858">
        <v>20</v>
      </c>
    </row>
    <row r="108" spans="1:6" ht="13.5">
      <c r="A108" s="2858">
        <v>36</v>
      </c>
      <c r="B108" s="4095"/>
      <c r="C108" s="2858" t="s">
        <v>2726</v>
      </c>
      <c r="D108" s="2832" t="s">
        <v>2727</v>
      </c>
      <c r="E108" s="2858">
        <v>0.15</v>
      </c>
      <c r="F108" s="2858">
        <v>20</v>
      </c>
    </row>
    <row r="109" spans="1:6" ht="13.5">
      <c r="A109" s="2858">
        <v>37</v>
      </c>
      <c r="B109" s="4095"/>
      <c r="C109" s="2858" t="s">
        <v>2728</v>
      </c>
      <c r="D109" s="2832" t="s">
        <v>2729</v>
      </c>
      <c r="E109" s="2858">
        <v>0.15</v>
      </c>
      <c r="F109" s="2858">
        <v>20</v>
      </c>
    </row>
    <row r="110" spans="1:6" ht="13.5">
      <c r="A110" s="2858">
        <v>38</v>
      </c>
      <c r="B110" s="4095"/>
      <c r="C110" s="2858" t="s">
        <v>2730</v>
      </c>
      <c r="D110" s="2832" t="s">
        <v>2731</v>
      </c>
      <c r="E110" s="2858">
        <v>0.1</v>
      </c>
      <c r="F110" s="2858">
        <v>15</v>
      </c>
    </row>
    <row r="111" spans="1:6" ht="24">
      <c r="A111" s="2858">
        <v>39</v>
      </c>
      <c r="B111" s="4095"/>
      <c r="C111" s="2858" t="s">
        <v>2732</v>
      </c>
      <c r="D111" s="2832" t="s">
        <v>2733</v>
      </c>
      <c r="E111" s="2858">
        <v>0.1</v>
      </c>
      <c r="F111" s="2858">
        <v>15</v>
      </c>
    </row>
    <row r="112" spans="1:6" ht="24">
      <c r="A112" s="2858">
        <v>40</v>
      </c>
      <c r="B112" s="4094"/>
      <c r="C112" s="2858" t="s">
        <v>2734</v>
      </c>
      <c r="D112" s="2832" t="s">
        <v>2735</v>
      </c>
      <c r="E112" s="2858">
        <v>0.1</v>
      </c>
      <c r="F112" s="2858">
        <v>15</v>
      </c>
    </row>
    <row r="113" spans="1:6" ht="13.5">
      <c r="A113" s="2858">
        <v>41</v>
      </c>
      <c r="B113" s="4092" t="s">
        <v>2736</v>
      </c>
      <c r="C113" s="2858" t="s">
        <v>2737</v>
      </c>
      <c r="D113" s="2832" t="s">
        <v>2738</v>
      </c>
      <c r="E113" s="2858">
        <v>0.1</v>
      </c>
      <c r="F113" s="2858">
        <v>15</v>
      </c>
    </row>
    <row r="114" spans="1:6" ht="13.5">
      <c r="A114" s="2858">
        <v>42</v>
      </c>
      <c r="B114" s="4092"/>
      <c r="C114" s="2858" t="s">
        <v>2739</v>
      </c>
      <c r="D114" s="2832" t="s">
        <v>2740</v>
      </c>
      <c r="E114" s="2858">
        <v>0.1</v>
      </c>
      <c r="F114" s="2858">
        <v>15</v>
      </c>
    </row>
    <row r="115" spans="1:6" ht="24">
      <c r="A115" s="2858">
        <v>43</v>
      </c>
      <c r="B115" s="4092"/>
      <c r="C115" s="2858" t="s">
        <v>2741</v>
      </c>
      <c r="D115" s="2832" t="s">
        <v>2742</v>
      </c>
      <c r="E115" s="2858">
        <v>0.1</v>
      </c>
      <c r="F115" s="2858">
        <v>15</v>
      </c>
    </row>
    <row r="116" spans="1:6" ht="13.5">
      <c r="A116" s="2858">
        <v>44</v>
      </c>
      <c r="B116" s="4093" t="s">
        <v>2743</v>
      </c>
      <c r="C116" s="2858" t="s">
        <v>2744</v>
      </c>
      <c r="D116" s="2832" t="s">
        <v>2745</v>
      </c>
      <c r="E116" s="2858">
        <v>0.1</v>
      </c>
      <c r="F116" s="2858">
        <v>15</v>
      </c>
    </row>
    <row r="117" spans="1:6" ht="24">
      <c r="A117" s="2858">
        <v>45</v>
      </c>
      <c r="B117" s="4094"/>
      <c r="C117" s="2832" t="s">
        <v>2746</v>
      </c>
      <c r="D117" s="2832" t="s">
        <v>2747</v>
      </c>
      <c r="E117" s="2858">
        <v>0.1</v>
      </c>
      <c r="F117" s="2858">
        <v>15</v>
      </c>
    </row>
    <row r="118" spans="1:6" ht="24">
      <c r="A118" s="2858">
        <v>46</v>
      </c>
      <c r="B118" s="4093" t="s">
        <v>2748</v>
      </c>
      <c r="C118" s="2858" t="s">
        <v>2749</v>
      </c>
      <c r="D118" s="2832" t="s">
        <v>2750</v>
      </c>
      <c r="E118" s="2858">
        <v>0.1</v>
      </c>
      <c r="F118" s="2858">
        <v>15</v>
      </c>
    </row>
    <row r="119" spans="1:6" ht="24">
      <c r="A119" s="2858">
        <v>47</v>
      </c>
      <c r="B119" s="4094"/>
      <c r="C119" s="2858" t="s">
        <v>2751</v>
      </c>
      <c r="D119" s="2832" t="s">
        <v>2752</v>
      </c>
      <c r="E119" s="2858">
        <v>0.1</v>
      </c>
      <c r="F119" s="2858">
        <v>15</v>
      </c>
    </row>
    <row r="120" spans="1:6" ht="13.5">
      <c r="A120" s="2858">
        <v>48</v>
      </c>
      <c r="B120" s="4093" t="s">
        <v>2753</v>
      </c>
      <c r="C120" s="2858" t="s">
        <v>2754</v>
      </c>
      <c r="D120" s="2832" t="s">
        <v>2755</v>
      </c>
      <c r="E120" s="2858">
        <v>0.1</v>
      </c>
      <c r="F120" s="2858">
        <v>15</v>
      </c>
    </row>
    <row r="121" spans="1:6" ht="13.5">
      <c r="A121" s="2858">
        <v>49</v>
      </c>
      <c r="B121" s="4094"/>
      <c r="C121" s="2858" t="s">
        <v>2756</v>
      </c>
      <c r="D121" s="2832" t="s">
        <v>2757</v>
      </c>
      <c r="E121" s="2858">
        <v>0.1</v>
      </c>
      <c r="F121" s="2858">
        <v>15</v>
      </c>
    </row>
    <row r="122" spans="1:6" ht="24">
      <c r="A122" s="2858">
        <v>50</v>
      </c>
      <c r="B122" s="4092" t="s">
        <v>2758</v>
      </c>
      <c r="C122" s="2858" t="s">
        <v>2759</v>
      </c>
      <c r="D122" s="2832" t="s">
        <v>2760</v>
      </c>
      <c r="E122" s="2858">
        <v>0.1</v>
      </c>
      <c r="F122" s="2858">
        <v>15</v>
      </c>
    </row>
    <row r="123" spans="1:6" ht="24">
      <c r="A123" s="2858">
        <v>51</v>
      </c>
      <c r="B123" s="4092"/>
      <c r="C123" s="2858" t="s">
        <v>2761</v>
      </c>
      <c r="D123" s="2832" t="s">
        <v>2762</v>
      </c>
      <c r="E123" s="2858">
        <v>0.1</v>
      </c>
      <c r="F123" s="2858">
        <v>15</v>
      </c>
    </row>
    <row r="124" spans="1:6" ht="24">
      <c r="A124" s="2858">
        <v>52</v>
      </c>
      <c r="B124" s="4092" t="s">
        <v>2763</v>
      </c>
      <c r="C124" s="2858" t="s">
        <v>2764</v>
      </c>
      <c r="D124" s="2832" t="s">
        <v>2765</v>
      </c>
      <c r="E124" s="2858">
        <v>0.1</v>
      </c>
      <c r="F124" s="2858">
        <v>15</v>
      </c>
    </row>
    <row r="125" spans="1:6" ht="24">
      <c r="A125" s="2858">
        <v>53</v>
      </c>
      <c r="B125" s="4092"/>
      <c r="C125" s="2858" t="s">
        <v>2766</v>
      </c>
      <c r="D125" s="2832" t="s">
        <v>2767</v>
      </c>
      <c r="E125" s="2858">
        <v>0.1</v>
      </c>
      <c r="F125" s="2858">
        <v>15</v>
      </c>
    </row>
    <row r="126" spans="1:6" ht="13.5">
      <c r="A126" s="2858">
        <v>54</v>
      </c>
      <c r="B126" s="2858" t="s">
        <v>2768</v>
      </c>
      <c r="C126" s="2858" t="s">
        <v>2769</v>
      </c>
      <c r="D126" s="2832" t="s">
        <v>2770</v>
      </c>
      <c r="E126" s="2858">
        <v>0.1</v>
      </c>
      <c r="F126" s="2858">
        <v>15</v>
      </c>
    </row>
    <row r="127" spans="1:6" ht="13.5">
      <c r="A127" s="2858">
        <v>55</v>
      </c>
      <c r="B127" s="4092" t="s">
        <v>2771</v>
      </c>
      <c r="C127" s="2858" t="s">
        <v>2772</v>
      </c>
      <c r="D127" s="2832" t="s">
        <v>2773</v>
      </c>
      <c r="E127" s="2858">
        <v>0.1</v>
      </c>
      <c r="F127" s="2858">
        <v>15</v>
      </c>
    </row>
    <row r="128" spans="1:6" ht="13.5">
      <c r="A128" s="2858">
        <v>56</v>
      </c>
      <c r="B128" s="4092"/>
      <c r="C128" s="2858" t="s">
        <v>2774</v>
      </c>
      <c r="D128" s="2832" t="s">
        <v>2775</v>
      </c>
      <c r="E128" s="2858">
        <v>0.1</v>
      </c>
      <c r="F128" s="2858">
        <v>15</v>
      </c>
    </row>
    <row r="129" spans="1:6" ht="24">
      <c r="A129" s="2858">
        <v>57</v>
      </c>
      <c r="B129" s="4092"/>
      <c r="C129" s="2858" t="s">
        <v>2776</v>
      </c>
      <c r="D129" s="2832" t="s">
        <v>2777</v>
      </c>
      <c r="E129" s="2858">
        <v>0.1</v>
      </c>
      <c r="F129" s="2858">
        <v>15</v>
      </c>
    </row>
    <row r="130" spans="1:6" ht="24">
      <c r="A130" s="2858">
        <v>58</v>
      </c>
      <c r="B130" s="4092" t="s">
        <v>2778</v>
      </c>
      <c r="C130" s="2858" t="s">
        <v>2779</v>
      </c>
      <c r="D130" s="2832" t="s">
        <v>2780</v>
      </c>
      <c r="E130" s="2858">
        <v>0.1</v>
      </c>
      <c r="F130" s="2858">
        <v>15</v>
      </c>
    </row>
    <row r="131" spans="1:6" ht="13.5">
      <c r="A131" s="2858">
        <v>59</v>
      </c>
      <c r="B131" s="4092"/>
      <c r="C131" s="2858" t="s">
        <v>2781</v>
      </c>
      <c r="D131" s="2832" t="s">
        <v>2782</v>
      </c>
      <c r="E131" s="2858">
        <v>0.1</v>
      </c>
      <c r="F131" s="2858">
        <v>15</v>
      </c>
    </row>
    <row r="132" spans="1:6" ht="13.5">
      <c r="A132" s="2858">
        <v>60</v>
      </c>
      <c r="B132" s="4093" t="s">
        <v>2783</v>
      </c>
      <c r="C132" s="2858" t="s">
        <v>2784</v>
      </c>
      <c r="D132" s="2832" t="s">
        <v>2785</v>
      </c>
      <c r="E132" s="2858">
        <v>0.1</v>
      </c>
      <c r="F132" s="2858">
        <v>15</v>
      </c>
    </row>
    <row r="133" spans="1:6" ht="13.5">
      <c r="A133" s="2858">
        <v>61</v>
      </c>
      <c r="B133" s="4094"/>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13.5">
      <c r="A135" s="2858">
        <v>63</v>
      </c>
      <c r="B135" s="4092" t="s">
        <v>2791</v>
      </c>
      <c r="C135" s="2858" t="s">
        <v>2792</v>
      </c>
      <c r="D135" s="2832" t="s">
        <v>2793</v>
      </c>
      <c r="E135" s="2858">
        <v>0.1</v>
      </c>
      <c r="F135" s="2858">
        <v>15</v>
      </c>
    </row>
    <row r="136" spans="1:6" ht="13.5">
      <c r="A136" s="2858">
        <v>64</v>
      </c>
      <c r="B136" s="4092"/>
      <c r="C136" s="2858" t="s">
        <v>2794</v>
      </c>
      <c r="D136" s="2832" t="s">
        <v>2795</v>
      </c>
      <c r="E136" s="2858">
        <v>0.1</v>
      </c>
      <c r="F136" s="2858">
        <v>15</v>
      </c>
    </row>
    <row r="137" spans="1:6" ht="13.5">
      <c r="A137" s="2858">
        <v>65</v>
      </c>
      <c r="B137" s="2858" t="s">
        <v>2796</v>
      </c>
      <c r="C137" s="2858" t="s">
        <v>2797</v>
      </c>
      <c r="D137" s="2832" t="s">
        <v>2798</v>
      </c>
      <c r="E137" s="2858">
        <v>0.1</v>
      </c>
      <c r="F137" s="2858">
        <v>15</v>
      </c>
    </row>
    <row r="138" spans="1:6" ht="13.5">
      <c r="A138" s="2858"/>
      <c r="B138" s="2858"/>
      <c r="C138" s="2858"/>
      <c r="D138" s="2858"/>
      <c r="E138" s="2858" t="s">
        <v>2799</v>
      </c>
      <c r="F138" s="285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0.84830000000000005</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0.80689999999999995</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50732</v>
      </c>
      <c r="C2" s="2" t="s">
        <v>106</v>
      </c>
      <c r="D2" s="191"/>
      <c r="E2" s="191"/>
      <c r="F2" s="191"/>
      <c r="G2" s="191"/>
    </row>
    <row r="3" spans="1:7" s="192" customFormat="1" ht="18" customHeight="1" thickBot="1">
      <c r="A3" s="195" t="s">
        <v>58</v>
      </c>
      <c r="B3" s="196">
        <f ca="1">ROUND(B2*10000/'数据-汇总表'!E3,0)</f>
        <v>10950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927</v>
      </c>
      <c r="D10" s="795">
        <f>'数据-汇总表'!E6</f>
        <v>46330.329999999994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927</v>
      </c>
      <c r="D19" s="204">
        <f>'数据-汇总表'!E3</f>
        <v>46330.329999999994</v>
      </c>
      <c r="E19" s="203">
        <f>'数据-取费表'!B31</f>
        <v>200</v>
      </c>
      <c r="F19" s="223"/>
      <c r="G19" s="1" t="s">
        <v>436</v>
      </c>
    </row>
    <row r="20" spans="1:7" s="206" customFormat="1" ht="13.5" customHeight="1">
      <c r="A20" s="731" t="s">
        <v>419</v>
      </c>
      <c r="B20" s="202" t="s">
        <v>77</v>
      </c>
      <c r="C20" s="224">
        <f>ROUND((C5+C19)*F20,0)</f>
        <v>215</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1519</v>
      </c>
      <c r="D22" s="227">
        <f ca="1">C26</f>
        <v>2.9999999999999997E-4</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1447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65</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3698</v>
      </c>
      <c r="D27" s="227">
        <f>C29</f>
        <v>1.6999999999999999E-3</v>
      </c>
      <c r="E27" s="228" t="s">
        <v>99</v>
      </c>
      <c r="F27" s="238">
        <f>'数据-取费表'!Q16</f>
        <v>0.17</v>
      </c>
      <c r="G27" s="239" t="s">
        <v>431</v>
      </c>
    </row>
    <row r="28" spans="1:7" s="206" customFormat="1" ht="13.5" customHeight="1">
      <c r="A28" s="734" t="s">
        <v>349</v>
      </c>
      <c r="B28" s="240" t="s">
        <v>424</v>
      </c>
      <c r="C28" s="241">
        <f>ROUND((C5+C19+C20)*F27*'数据-取费表'!B21/'数据-取费表'!B20,0)</f>
        <v>3698</v>
      </c>
      <c r="D28" s="227"/>
      <c r="E28" s="228"/>
      <c r="F28" s="238"/>
      <c r="G28" s="239"/>
    </row>
    <row r="29" spans="1:7" s="206" customFormat="1" ht="13.5" customHeight="1">
      <c r="A29" s="734" t="s">
        <v>347</v>
      </c>
      <c r="B29" s="240" t="s">
        <v>425</v>
      </c>
      <c r="C29" s="230">
        <f>ROUND(C21*F27*'数据-取费表'!B21/'数据-取费表'!B20,4)</f>
        <v>1.6999999999999999E-3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28854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22714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20849</v>
      </c>
      <c r="D34" s="209"/>
      <c r="E34" s="212"/>
      <c r="F34" s="249">
        <f>IF('数据-取费表'!B24=0,1,'数据-取费表'!N16)</f>
        <v>1</v>
      </c>
      <c r="G34" s="211" t="s">
        <v>89</v>
      </c>
    </row>
    <row r="35" spans="1:7" ht="13.5" customHeight="1">
      <c r="A35" s="734" t="s">
        <v>351</v>
      </c>
      <c r="B35" s="207" t="s">
        <v>33</v>
      </c>
      <c r="C35" s="212">
        <f>ROUND(C34*F35,0)</f>
        <v>625</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927</v>
      </c>
      <c r="D37" s="209">
        <f>'数据-汇总表'!E3</f>
        <v>46330.329999999994</v>
      </c>
      <c r="E37" s="241">
        <f>'数据-取费表'!B35</f>
        <v>200</v>
      </c>
      <c r="F37" s="251"/>
      <c r="G37" s="253" t="s">
        <v>92</v>
      </c>
    </row>
    <row r="38" spans="1:7" ht="13.5" customHeight="1">
      <c r="A38" s="734" t="s">
        <v>354</v>
      </c>
      <c r="B38" s="207" t="s">
        <v>36</v>
      </c>
      <c r="C38" s="212">
        <f>ROUND(C34*F38,0)</f>
        <v>313</v>
      </c>
      <c r="D38" s="212"/>
      <c r="E38" s="212"/>
      <c r="F38" s="251">
        <f>'数据-取费表'!B36</f>
        <v>1.4999999999999999E-2</v>
      </c>
      <c r="G38" s="211" t="s">
        <v>90</v>
      </c>
    </row>
    <row r="39" spans="1:7" s="206" customFormat="1" ht="13.5" customHeight="1">
      <c r="A39" s="731" t="s">
        <v>338</v>
      </c>
      <c r="B39" s="202" t="s">
        <v>77</v>
      </c>
      <c r="C39" s="224">
        <f>ROUND(C33*F20,0)</f>
        <v>227</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792</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784</v>
      </c>
      <c r="D42" s="230"/>
      <c r="E42" s="230"/>
      <c r="F42" s="231"/>
      <c r="G42" s="3826" t="s">
        <v>94</v>
      </c>
    </row>
    <row r="43" spans="1:7" ht="13.5" customHeight="1">
      <c r="A43" s="734" t="s">
        <v>347</v>
      </c>
      <c r="B43" s="207" t="s">
        <v>426</v>
      </c>
      <c r="C43" s="230">
        <f ca="1">ROUND(IF('数据-取费表'!B22&lt;=1,C39*F22*'数据-取费表'!B21/2,C39*(POWER((1+F22),'数据-取费表'!B21/2)-1)),0)</f>
        <v>8</v>
      </c>
      <c r="D43" s="230"/>
      <c r="E43" s="230"/>
      <c r="F43" s="231"/>
      <c r="G43" s="3827"/>
    </row>
    <row r="44" spans="1:7" ht="13.5" customHeight="1">
      <c r="A44" s="734" t="s">
        <v>348</v>
      </c>
      <c r="B44" s="207" t="s">
        <v>428</v>
      </c>
      <c r="C44" s="230">
        <f ca="1">ROUND(IF('数据-取费表'!B22&lt;=1,C40*F22*'数据-取费表'!B21/2,C40*(POWER((1+F22),'数据-取费表'!B21/2)-1)),4)</f>
        <v>2.9999999999999997E-4</v>
      </c>
      <c r="D44" s="230"/>
      <c r="E44" s="230"/>
      <c r="F44" s="231"/>
      <c r="G44" s="3828"/>
    </row>
    <row r="45" spans="1:7" s="206" customFormat="1" ht="13.5" customHeight="1">
      <c r="A45" s="731" t="s">
        <v>341</v>
      </c>
      <c r="B45" s="236" t="s">
        <v>85</v>
      </c>
      <c r="C45" s="237">
        <f>C46</f>
        <v>3900</v>
      </c>
      <c r="D45" s="227">
        <f>C47</f>
        <v>1.6999999999999999E-3</v>
      </c>
      <c r="E45" s="228" t="s">
        <v>102</v>
      </c>
      <c r="F45" s="238"/>
      <c r="G45" s="239" t="s">
        <v>434</v>
      </c>
    </row>
    <row r="46" spans="1:7" s="206" customFormat="1" ht="13.5" customHeight="1">
      <c r="A46" s="734" t="s">
        <v>349</v>
      </c>
      <c r="B46" s="240" t="s">
        <v>427</v>
      </c>
      <c r="C46" s="241">
        <f>ROUND((C33+C39)*F27,0)</f>
        <v>3900</v>
      </c>
      <c r="D46" s="255"/>
      <c r="E46" s="228"/>
      <c r="F46" s="238"/>
      <c r="G46" s="239"/>
    </row>
    <row r="47" spans="1:7" s="206" customFormat="1" ht="13.5" customHeight="1">
      <c r="A47" s="734" t="s">
        <v>347</v>
      </c>
      <c r="B47" s="240" t="s">
        <v>429</v>
      </c>
      <c r="C47" s="230">
        <f>ROUND(C40*F27,4)</f>
        <v>1.6999999999999999E-3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29565</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21878</v>
      </c>
      <c r="D51" s="224"/>
      <c r="E51" s="224"/>
      <c r="F51" s="256"/>
      <c r="G51" s="226" t="s">
        <v>37</v>
      </c>
    </row>
    <row r="52" spans="1:7" s="200" customFormat="1" ht="16.5" thickBot="1">
      <c r="A52" s="257" t="s">
        <v>38</v>
      </c>
      <c r="B52" s="258"/>
      <c r="C52" s="259">
        <f ca="1">C31+C51</f>
        <v>50732</v>
      </c>
      <c r="D52" s="258"/>
      <c r="E52" s="258"/>
      <c r="F52" s="258"/>
      <c r="G52" s="260"/>
    </row>
    <row r="55" spans="1:7" ht="15">
      <c r="B55" s="262" t="s">
        <v>39</v>
      </c>
      <c r="C55" s="263"/>
    </row>
    <row r="56" spans="1:7">
      <c r="B56" s="265" t="s">
        <v>40</v>
      </c>
      <c r="C56" s="266">
        <f ca="1">ROUND(C51/C52,3)</f>
        <v>0.43099999999999999</v>
      </c>
    </row>
    <row r="57" spans="1:7">
      <c r="B57" s="265" t="s">
        <v>41</v>
      </c>
      <c r="C57" s="267">
        <f ca="1">1-C56</f>
        <v>0.56899999999999995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4106" t="s">
        <v>2841</v>
      </c>
      <c r="B1" s="4106"/>
      <c r="C1" s="4106"/>
      <c r="D1" s="4106"/>
      <c r="E1" s="4106"/>
      <c r="F1" s="4106"/>
      <c r="G1" s="4107"/>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2"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4104"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2" thickBot="1">
      <c r="A4" s="4105"/>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2"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2"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2"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2"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4108" t="s">
        <v>3183</v>
      </c>
      <c r="B1" s="4108"/>
    </row>
    <row r="2" spans="1:7" ht="14.25" thickBot="1">
      <c r="A2" s="2969"/>
      <c r="B2" s="2969"/>
    </row>
    <row r="3" spans="1:7" ht="14.25" thickBot="1">
      <c r="A3" s="2969"/>
      <c r="B3" s="2969"/>
      <c r="C3" s="2970" t="s">
        <v>2813</v>
      </c>
      <c r="D3" s="2970" t="s">
        <v>2869</v>
      </c>
      <c r="E3" s="2970" t="s">
        <v>2815</v>
      </c>
      <c r="F3" s="2970" t="s">
        <v>2870</v>
      </c>
      <c r="G3" s="2970" t="s">
        <v>2633</v>
      </c>
    </row>
    <row r="4" spans="1:7" ht="14.2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4.2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4.2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4.2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4.2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4.2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4.2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4.2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4.2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4.2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4.2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4109" t="s">
        <v>3234</v>
      </c>
      <c r="B1" s="4109"/>
      <c r="C1" s="4109"/>
      <c r="D1" s="4109"/>
      <c r="E1" s="4109"/>
      <c r="F1" s="4110"/>
    </row>
    <row r="2" spans="1:6" ht="14.25">
      <c r="A2" s="3003" t="s">
        <v>3235</v>
      </c>
    </row>
    <row r="3" spans="1:6" ht="14.25">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8">
        <f>基准地价修正!G23</f>
        <v>45473</v>
      </c>
      <c r="B1" s="2930" t="s">
        <v>3384</v>
      </c>
      <c r="C1" s="2931"/>
      <c r="D1" s="2931"/>
      <c r="E1" s="2931"/>
      <c r="F1" s="2931"/>
      <c r="G1" s="2931"/>
      <c r="H1" s="2931"/>
      <c r="I1" s="2931"/>
      <c r="J1" s="2897"/>
      <c r="K1" s="2931" t="s">
        <v>454</v>
      </c>
      <c r="L1" s="2931"/>
      <c r="M1" s="2931"/>
      <c r="N1" s="2931"/>
      <c r="O1" s="2931"/>
      <c r="P1" s="2931"/>
      <c r="Q1" s="2897"/>
      <c r="R1" s="4111" t="s">
        <v>456</v>
      </c>
      <c r="S1" s="4112"/>
      <c r="T1" s="4112"/>
      <c r="U1" s="4112"/>
      <c r="V1" s="4112"/>
      <c r="W1" s="4112"/>
      <c r="X1" s="2897"/>
      <c r="Y1" s="4111" t="s">
        <v>457</v>
      </c>
      <c r="Z1" s="4112"/>
      <c r="AA1" s="4112"/>
      <c r="AB1" s="4112"/>
      <c r="AC1" s="4112"/>
      <c r="AD1" s="4112"/>
    </row>
    <row r="2" spans="1:30" s="2010" customFormat="1" ht="14.2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2.75">
      <c r="A3" s="2885" t="s">
        <v>2821</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3380</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3389</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3388</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3381</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3377</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3373</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3372</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3370</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3369</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3368</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3366</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3357</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2822</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2823</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2824</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2825</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2826</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3387</v>
      </c>
    </row>
    <row r="24" spans="1:30">
      <c r="I24" s="1405" t="s">
        <v>2827</v>
      </c>
    </row>
    <row r="26" spans="1:30" s="2009" customFormat="1" ht="12.75">
      <c r="B26" s="2930" t="s">
        <v>3385</v>
      </c>
      <c r="C26" s="2931"/>
      <c r="D26" s="2931"/>
      <c r="E26" s="2931"/>
      <c r="F26" s="2931"/>
      <c r="G26" s="2931"/>
      <c r="H26" s="2931"/>
      <c r="I26" s="2931"/>
      <c r="J26" s="2897"/>
      <c r="K26" s="2931" t="s">
        <v>2828</v>
      </c>
      <c r="L26" s="2931"/>
      <c r="M26" s="2931"/>
      <c r="N26" s="2931"/>
      <c r="O26" s="2931"/>
      <c r="P26" s="2931"/>
      <c r="Q26" s="2897"/>
      <c r="R26" s="4111" t="s">
        <v>2829</v>
      </c>
      <c r="S26" s="4112"/>
      <c r="T26" s="4112"/>
      <c r="U26" s="4112"/>
      <c r="V26" s="4112"/>
      <c r="W26" s="4112"/>
      <c r="X26" s="2897"/>
      <c r="Y26" s="4111" t="s">
        <v>2830</v>
      </c>
      <c r="Z26" s="4112"/>
      <c r="AA26" s="4112"/>
      <c r="AB26" s="4112"/>
      <c r="AC26" s="4112"/>
      <c r="AD26" s="4112"/>
    </row>
    <row r="27" spans="1:30" s="2010" customFormat="1" ht="14.25" thickBot="1">
      <c r="B27" s="2882"/>
      <c r="C27" s="2883"/>
      <c r="D27" s="2011" t="s">
        <v>2831</v>
      </c>
      <c r="E27" s="2012" t="s">
        <v>2832</v>
      </c>
      <c r="F27" s="2012" t="s">
        <v>2833</v>
      </c>
      <c r="G27" s="2012" t="s">
        <v>2834</v>
      </c>
      <c r="H27" s="2012"/>
      <c r="I27" s="2012" t="s">
        <v>2835</v>
      </c>
      <c r="J27" s="2884"/>
      <c r="K27" s="2011" t="s">
        <v>2831</v>
      </c>
      <c r="L27" s="2012" t="s">
        <v>2832</v>
      </c>
      <c r="M27" s="2012" t="s">
        <v>2833</v>
      </c>
      <c r="N27" s="2012" t="s">
        <v>2834</v>
      </c>
      <c r="O27" s="2012"/>
      <c r="P27" s="2012" t="s">
        <v>2835</v>
      </c>
      <c r="Q27" s="2884"/>
      <c r="R27" s="2011" t="s">
        <v>2831</v>
      </c>
      <c r="S27" s="2012" t="s">
        <v>2832</v>
      </c>
      <c r="T27" s="2012" t="s">
        <v>2833</v>
      </c>
      <c r="U27" s="2012" t="s">
        <v>2834</v>
      </c>
      <c r="V27" s="2012"/>
      <c r="W27" s="2012" t="s">
        <v>2835</v>
      </c>
      <c r="X27" s="2884"/>
      <c r="Y27" s="2011" t="s">
        <v>2831</v>
      </c>
      <c r="Z27" s="2012" t="s">
        <v>2832</v>
      </c>
      <c r="AA27" s="2012" t="s">
        <v>2833</v>
      </c>
      <c r="AB27" s="2012" t="s">
        <v>2834</v>
      </c>
      <c r="AC27" s="2012"/>
      <c r="AD27" s="2012" t="s">
        <v>2835</v>
      </c>
    </row>
    <row r="28" spans="1:30" s="2887" customFormat="1" ht="12.75">
      <c r="A28" s="2885" t="s">
        <v>2836</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3380</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3382</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3375</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3383</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3376</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3374</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3372</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3371</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3369</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3368</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3367</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3357</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2837</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2838</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2839</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2840</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2826</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4116" t="s">
        <v>452</v>
      </c>
      <c r="C1" s="4116"/>
      <c r="D1" s="4116"/>
      <c r="E1" s="4116"/>
      <c r="F1" s="4116"/>
      <c r="G1" s="4112" t="s">
        <v>453</v>
      </c>
      <c r="H1" s="4112"/>
      <c r="I1" s="4112"/>
      <c r="J1" s="4112"/>
      <c r="K1" s="4112"/>
      <c r="L1" s="4112"/>
      <c r="N1" s="4112" t="s">
        <v>454</v>
      </c>
      <c r="O1" s="4112"/>
      <c r="P1" s="4112"/>
      <c r="Q1" s="4112"/>
      <c r="S1" s="4112" t="s">
        <v>455</v>
      </c>
      <c r="T1" s="4112"/>
      <c r="U1" s="4112"/>
      <c r="V1" s="4112"/>
      <c r="X1" s="4111" t="s">
        <v>456</v>
      </c>
      <c r="Y1" s="4112"/>
      <c r="Z1" s="4112"/>
      <c r="AA1" s="4112"/>
      <c r="AB1" s="4112"/>
      <c r="AD1" s="4111" t="s">
        <v>457</v>
      </c>
      <c r="AE1" s="4112"/>
      <c r="AF1" s="4112"/>
      <c r="AG1" s="4112"/>
      <c r="AH1" s="411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411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411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411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412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411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411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411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412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411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411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411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411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411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411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411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411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411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411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411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411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411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411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411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412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411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411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411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411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411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411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411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411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411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411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411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411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411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411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411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411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411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411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411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411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411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411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411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411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411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411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411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411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411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411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411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411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411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411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411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411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411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411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411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411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411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411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411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411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E27" sqref="E27"/>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45473</v>
      </c>
      <c r="D1" s="1217" t="s">
        <v>603</v>
      </c>
      <c r="E1" s="1212">
        <f>'数据-取费表'!B22</f>
        <v>2</v>
      </c>
      <c r="F1" s="1217" t="s">
        <v>604</v>
      </c>
      <c r="G1" s="1213">
        <f ca="1">INDIRECT("d"&amp;$K$1)/100</f>
        <v>3.4500000000000003E-2</v>
      </c>
      <c r="H1" s="1217" t="s">
        <v>634</v>
      </c>
      <c r="I1" s="1213">
        <f ca="1">F4/100</f>
        <v>1.4999999999999999E-2</v>
      </c>
      <c r="J1" s="1218">
        <f>IF(C1&gt;C13,0,MATCH(C1,C$13:C$114,-1))+IF(SUMIF(C13:C114,C1,D13:D114)=0,13,12)</f>
        <v>15</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3.95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670" t="s">
        <v>949</v>
      </c>
      <c r="B1" s="3670"/>
      <c r="C1" s="3670"/>
      <c r="D1" s="3670"/>
    </row>
    <row r="2" spans="1:4" ht="18">
      <c r="A2" s="3671" t="s">
        <v>933</v>
      </c>
      <c r="B2" s="3671"/>
      <c r="C2" s="3671"/>
      <c r="D2" s="367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671" t="s">
        <v>939</v>
      </c>
      <c r="B6" s="3671"/>
      <c r="C6" s="3671"/>
      <c r="D6" s="367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672" t="s">
        <v>942</v>
      </c>
      <c r="B11" s="3664"/>
      <c r="C11" s="3664"/>
      <c r="D11" s="3664"/>
    </row>
    <row r="12" spans="1:4" ht="15.75">
      <c r="A12" s="36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69"/>
      <c r="C12" s="3669"/>
      <c r="D12" s="3669"/>
    </row>
    <row r="13" spans="1:4" ht="30" customHeight="1">
      <c r="A13" s="3664" t="str">
        <f>IF(项目基本情况!B8="抵押","3.抵押双方在办理抵押登记手续时，应使用本公司出具的正式《房地产评估报告》，特提醒报告使用者注意。","——")</f>
        <v>——</v>
      </c>
      <c r="B13" s="3669"/>
      <c r="C13" s="3669"/>
      <c r="D13" s="3669"/>
    </row>
    <row r="14" spans="1:4" ht="15.75" customHeight="1">
      <c r="A14" s="3664" t="str">
        <f>IF(项目基本情况!B8="抵押","4.本次评估估价师所知悉的法定优先受偿款情况说明如下：","——")</f>
        <v>——</v>
      </c>
      <c r="B14" s="3669"/>
      <c r="C14" s="3669"/>
      <c r="D14" s="3669"/>
    </row>
    <row r="15" spans="1:4" ht="42" customHeight="1">
      <c r="A15" s="3664" t="str">
        <f>IF(项目基本情况!B8="抵押","（1）"&amp;CONCATENATE(项目基本情况!L20,项目基本情况!L21,项目基本情况!L22),"——")</f>
        <v>——</v>
      </c>
      <c r="B15" s="3664"/>
      <c r="C15" s="3664"/>
      <c r="D15" s="3664"/>
    </row>
    <row r="16" spans="1:4" ht="30" customHeight="1">
      <c r="A16" s="3666" t="s">
        <v>943</v>
      </c>
      <c r="B16" s="3666"/>
      <c r="C16" s="3666"/>
      <c r="D16" s="3666"/>
    </row>
    <row r="17" spans="1:4" ht="144" customHeight="1">
      <c r="A17" s="3666" t="s">
        <v>944</v>
      </c>
      <c r="B17" s="3666"/>
      <c r="C17" s="3666"/>
      <c r="D17" s="3666"/>
    </row>
    <row r="18" spans="1:4" ht="15.75" customHeight="1">
      <c r="A18" s="3664" t="str">
        <f>IF(项目基本情况!B8="抵押",结果表!K120,"——")</f>
        <v>——</v>
      </c>
      <c r="B18" s="3664"/>
      <c r="C18" s="3664"/>
      <c r="D18" s="3664"/>
    </row>
    <row r="19" spans="1:4" ht="46.5" customHeight="1">
      <c r="A19" s="36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4"/>
      <c r="C19" s="3664"/>
      <c r="D19" s="3664"/>
    </row>
    <row r="20" spans="1:4" ht="57.75" customHeight="1">
      <c r="A20" s="36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4"/>
      <c r="C20" s="3664"/>
      <c r="D20" s="3664"/>
    </row>
    <row r="21" spans="1:4" ht="57.75" customHeight="1">
      <c r="A21" s="36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7"/>
      <c r="C21" s="3667"/>
      <c r="D21" s="3667"/>
    </row>
    <row r="22" spans="1:4" ht="18.75" customHeight="1">
      <c r="A22" s="3668" t="s">
        <v>945</v>
      </c>
      <c r="B22" s="3668"/>
      <c r="C22" s="3668"/>
      <c r="D22" s="366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665">
        <v>42551</v>
      </c>
      <c r="D31" s="36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678" t="s">
        <v>956</v>
      </c>
      <c r="B15" s="3673" t="s">
        <v>109</v>
      </c>
      <c r="C15" s="3674"/>
    </row>
    <row r="16" spans="1:7" ht="13.5">
      <c r="A16" s="3679"/>
      <c r="B16" s="3673" t="s">
        <v>42</v>
      </c>
      <c r="C16" s="3674"/>
    </row>
    <row r="17" spans="1:3" ht="13.5">
      <c r="A17" s="3679"/>
      <c r="B17" s="3676" t="s">
        <v>957</v>
      </c>
      <c r="C17" s="1429" t="s">
        <v>956</v>
      </c>
    </row>
    <row r="18" spans="1:3" ht="13.5">
      <c r="A18" s="3679"/>
      <c r="B18" s="3676"/>
      <c r="C18" s="1429" t="s">
        <v>958</v>
      </c>
    </row>
    <row r="19" spans="1:3" ht="13.5">
      <c r="A19" s="3679"/>
      <c r="B19" s="3676"/>
      <c r="C19" s="1429" t="s">
        <v>959</v>
      </c>
    </row>
    <row r="20" spans="1:3" ht="13.5">
      <c r="A20" s="3680"/>
      <c r="B20" s="3675" t="s">
        <v>960</v>
      </c>
      <c r="C20" s="3674"/>
    </row>
    <row r="21" spans="1:3" ht="13.5">
      <c r="A21" s="1430" t="s">
        <v>961</v>
      </c>
      <c r="B21" s="1431"/>
      <c r="C21" s="1432"/>
    </row>
    <row r="22" spans="1:3" ht="13.5">
      <c r="A22" s="3677" t="s">
        <v>962</v>
      </c>
      <c r="B22" s="3675" t="s">
        <v>963</v>
      </c>
      <c r="C22" s="3674"/>
    </row>
    <row r="23" spans="1:3" ht="13.5">
      <c r="A23" s="3677"/>
      <c r="B23" s="3675" t="s">
        <v>964</v>
      </c>
      <c r="C23" s="3674"/>
    </row>
    <row r="24" spans="1:3" ht="13.5">
      <c r="A24" s="3677"/>
      <c r="B24" s="3675" t="s">
        <v>965</v>
      </c>
      <c r="C24" s="3674"/>
    </row>
    <row r="25" spans="1:3" ht="13.5">
      <c r="A25" s="3677"/>
      <c r="B25" s="3676" t="s">
        <v>966</v>
      </c>
      <c r="C25" s="1429" t="s">
        <v>967</v>
      </c>
    </row>
    <row r="26" spans="1:3" ht="13.5">
      <c r="A26" s="3677"/>
      <c r="B26" s="3676"/>
      <c r="C26" s="1429" t="s">
        <v>968</v>
      </c>
    </row>
    <row r="27" spans="1:3" ht="13.5">
      <c r="A27" s="3677"/>
      <c r="B27" s="3676"/>
      <c r="C27" s="1429" t="s">
        <v>969</v>
      </c>
    </row>
    <row r="28" spans="1:3" ht="13.5">
      <c r="A28" s="3677"/>
      <c r="B28" s="3676"/>
      <c r="C28" s="1429" t="s">
        <v>970</v>
      </c>
    </row>
    <row r="29" spans="1:3" ht="13.5">
      <c r="A29" s="3677"/>
      <c r="B29" s="3676"/>
      <c r="C29" s="1429" t="s">
        <v>971</v>
      </c>
    </row>
    <row r="30" spans="1:3" ht="13.5">
      <c r="A30" s="3677"/>
      <c r="B30" s="3676"/>
      <c r="C30" s="1429" t="s">
        <v>972</v>
      </c>
    </row>
    <row r="31" spans="1:3" ht="13.5">
      <c r="A31" s="3677"/>
      <c r="B31" s="3676"/>
      <c r="C31" s="1429" t="s">
        <v>973</v>
      </c>
    </row>
    <row r="32" spans="1:3" ht="13.5">
      <c r="A32" s="3677"/>
      <c r="B32" s="3676"/>
      <c r="C32" s="1429" t="s">
        <v>974</v>
      </c>
    </row>
    <row r="33" spans="1:3" ht="13.5">
      <c r="A33" s="3677"/>
      <c r="B33" s="367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45622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681" t="s">
        <v>2160</v>
      </c>
      <c r="B17" s="3681"/>
      <c r="C17" s="3681"/>
      <c r="D17" s="3681"/>
      <c r="E17" s="3681"/>
      <c r="F17" s="3681"/>
      <c r="G17" s="3681"/>
      <c r="H17" s="3681"/>
    </row>
    <row r="18" spans="1:8" ht="24" customHeight="1">
      <c r="A18" s="3682" t="s">
        <v>2161</v>
      </c>
      <c r="B18" s="3682"/>
      <c r="C18" s="3682"/>
      <c r="D18" s="2160"/>
      <c r="E18" s="3683" t="s">
        <v>2162</v>
      </c>
      <c r="F18" s="3682"/>
      <c r="G18" s="368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224" priority="32" stopIfTrue="1" operator="equal">
      <formula>"已过期"</formula>
    </cfRule>
  </conditionalFormatting>
  <conditionalFormatting sqref="B4:B15">
    <cfRule type="cellIs" dxfId="223" priority="4" stopIfTrue="1" operator="equal">
      <formula>"已过期"</formula>
    </cfRule>
  </conditionalFormatting>
  <conditionalFormatting sqref="C7:C12">
    <cfRule type="expression" dxfId="222" priority="22">
      <formula>AND($C7-TODAY()&lt;30,TODAY()&lt;$C7)</formula>
    </cfRule>
    <cfRule type="cellIs" dxfId="221" priority="23" stopIfTrue="1" operator="lessThan">
      <formula>$B$2</formula>
    </cfRule>
  </conditionalFormatting>
  <conditionalFormatting sqref="C14:C15">
    <cfRule type="expression" dxfId="220" priority="7">
      <formula>AND($C14-TODAY()&lt;30,TODAY()&lt;$C14)</formula>
    </cfRule>
    <cfRule type="cellIs" dxfId="219" priority="8" stopIfTrue="1" operator="lessThan">
      <formula>$B$2</formula>
    </cfRule>
  </conditionalFormatting>
  <conditionalFormatting sqref="C4:D6 D14">
    <cfRule type="cellIs" dxfId="218" priority="50" stopIfTrue="1" operator="lessThan">
      <formula>$B$2</formula>
    </cfRule>
  </conditionalFormatting>
  <conditionalFormatting sqref="C12:D13">
    <cfRule type="expression" dxfId="217" priority="47">
      <formula>AND($C12-TODAY()&lt;30,TODAY()&lt;$C12)</formula>
    </cfRule>
  </conditionalFormatting>
  <conditionalFormatting sqref="C13:D14">
    <cfRule type="expression" dxfId="216" priority="18">
      <formula>AND($C13-TODAY()&lt;30,TODAY()&lt;$C13)</formula>
    </cfRule>
    <cfRule type="cellIs" dxfId="215" priority="19" stopIfTrue="1" operator="lessThan">
      <formula>$B$2</formula>
    </cfRule>
  </conditionalFormatting>
  <conditionalFormatting sqref="C15:D15">
    <cfRule type="expression" dxfId="214" priority="5">
      <formula>AND($C15-TODAY()&lt;30,TODAY()&lt;$C15)</formula>
    </cfRule>
    <cfRule type="cellIs" dxfId="213" priority="6" stopIfTrue="1" operator="lessThan">
      <formula>$B$2</formula>
    </cfRule>
  </conditionalFormatting>
  <conditionalFormatting sqref="C20:D20 C13:D13">
    <cfRule type="cellIs" dxfId="212" priority="54" stopIfTrue="1" operator="lessThan">
      <formula>$B$2</formula>
    </cfRule>
  </conditionalFormatting>
  <conditionalFormatting sqref="C20:D20">
    <cfRule type="expression" dxfId="211" priority="52">
      <formula>AND($C20-TODAY()&lt;30,TODAY()&lt;$C20)</formula>
    </cfRule>
  </conditionalFormatting>
  <conditionalFormatting sqref="D7:D12 D16">
    <cfRule type="expression" dxfId="210" priority="53">
      <formula>AND($C7-TODAY()&lt;30,TODAY()&lt;$C7)</formula>
    </cfRule>
  </conditionalFormatting>
  <conditionalFormatting sqref="D7:D12">
    <cfRule type="cellIs" dxfId="209" priority="48" stopIfTrue="1" operator="lessThan">
      <formula>$B$2</formula>
    </cfRule>
  </conditionalFormatting>
  <conditionalFormatting sqref="D14 C4:D6">
    <cfRule type="expression" dxfId="208" priority="49">
      <formula>AND($C4-TODAY()&lt;30,TODAY()&lt;$C4)</formula>
    </cfRule>
  </conditionalFormatting>
  <conditionalFormatting sqref="D15:D16">
    <cfRule type="expression" dxfId="207" priority="12">
      <formula>AND($C15-TODAY()&lt;30,TODAY()&lt;$C15)</formula>
    </cfRule>
    <cfRule type="cellIs" dxfId="206" priority="13" stopIfTrue="1" operator="lessThan">
      <formula>$B$2</formula>
    </cfRule>
  </conditionalFormatting>
  <conditionalFormatting sqref="E16:G16">
    <cfRule type="cellIs" dxfId="205" priority="31" stopIfTrue="1" operator="equal">
      <formula>"已过期"</formula>
    </cfRule>
  </conditionalFormatting>
  <conditionalFormatting sqref="F4:F15">
    <cfRule type="cellIs" dxfId="204" priority="9" stopIfTrue="1" operator="equal">
      <formula>"已过期"</formula>
    </cfRule>
  </conditionalFormatting>
  <conditionalFormatting sqref="G4:G15">
    <cfRule type="cellIs" dxfId="203" priority="3" stopIfTrue="1" operator="lessThan">
      <formula>$B$2</formula>
    </cfRule>
  </conditionalFormatting>
  <conditionalFormatting sqref="G20:G21">
    <cfRule type="expression" dxfId="202" priority="1" stopIfTrue="1">
      <formula>AND(#REF!-TODAY()&lt;30,TODAY()&lt;#REF!)</formula>
    </cfRule>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184</vt:i4>
      </vt:variant>
    </vt:vector>
  </HeadingPairs>
  <TitlesOfParts>
    <vt:vector size="24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成本法</vt:lpstr>
      <vt:lpstr>基准地价修正</vt:lpstr>
      <vt:lpstr>收益法（汇总）</vt:lpstr>
      <vt:lpstr>收益法-已出租</vt:lpstr>
      <vt:lpstr>收益法-未出租</vt:lpstr>
      <vt:lpstr>收益法-车库</vt:lpstr>
      <vt:lpstr>收益法 (元)</vt:lpstr>
      <vt:lpstr>收益法-酒店模型</vt:lpstr>
      <vt:lpstr>比较法-住宅</vt:lpstr>
      <vt:lpstr>比较法-商业</vt:lpstr>
      <vt:lpstr>比较法-办公</vt:lpstr>
      <vt:lpstr>比较法-工业</vt:lpstr>
      <vt:lpstr>比较法-车位</vt:lpstr>
      <vt:lpstr>土地比较法-住宅、综合</vt:lpstr>
      <vt:lpstr>土地比较法-工业</vt:lpstr>
      <vt:lpstr>典型户型修正</vt:lpstr>
      <vt:lpstr>基准地价（汇总）</vt:lpstr>
      <vt:lpstr>售价比较法-办公 </vt:lpstr>
      <vt:lpstr>收益法-库房</vt:lpstr>
      <vt:lpstr>比较法-仓储</vt:lpstr>
      <vt:lpstr>租金比较法-办公</vt:lpstr>
      <vt:lpstr>办公租金案例</vt:lpstr>
      <vt:lpstr>租金比较法-商业</vt:lpstr>
      <vt:lpstr>商业租金案例</vt:lpstr>
      <vt:lpstr>面积指标</vt:lpstr>
      <vt:lpstr>4-21火炬大厦</vt:lpstr>
      <vt:lpstr>租户信息表</vt:lpstr>
      <vt:lpstr>车库、仓储案例</vt:lpstr>
      <vt:lpstr>面积</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'收益法-库房'!Print_Area</vt:lpstr>
      <vt:lpstr>'收益法-未出租'!Print_Area</vt:lpstr>
      <vt:lpstr>'收益法-已出租'!Print_Area</vt:lpstr>
      <vt:lpstr>'售价比较法-办公 '!Print_Area</vt:lpstr>
      <vt:lpstr>'数据-汇总表'!Print_Area</vt:lpstr>
      <vt:lpstr>'土地比较法-工业'!Print_Area</vt:lpstr>
      <vt:lpstr>'土地比较法-住宅、综合'!Print_Area</vt:lpstr>
      <vt:lpstr>系统读取表!Print_Area</vt:lpstr>
      <vt:lpstr>项目基本情况!Print_Area</vt:lpstr>
      <vt:lpstr>'租金比较法-办公'!Print_Area</vt:lpstr>
      <vt:lpstr>'租金比较法-商业'!Print_Area</vt:lpstr>
      <vt:lpstr>八级</vt:lpstr>
      <vt:lpstr>'售价比较法-办公 '!办公层高</vt:lpstr>
      <vt:lpstr>'租金比较法-办公'!办公层高</vt:lpstr>
      <vt:lpstr>办公层高</vt:lpstr>
      <vt:lpstr>'售价比较法-办公 '!办公朝向</vt:lpstr>
      <vt:lpstr>'租金比较法-办公'!办公朝向</vt:lpstr>
      <vt:lpstr>办公朝向</vt:lpstr>
      <vt:lpstr>'售价比较法-办公 '!办公道路级别</vt:lpstr>
      <vt:lpstr>'租金比较法-办公'!办公道路级别</vt:lpstr>
      <vt:lpstr>办公道路级别</vt:lpstr>
      <vt:lpstr>'售价比较法-办公 '!办公公共部分装修</vt:lpstr>
      <vt:lpstr>'租金比较法-办公'!办公公共部分装修</vt:lpstr>
      <vt:lpstr>办公公共部分装修</vt:lpstr>
      <vt:lpstr>'售价比较法-办公 '!办公基础设施水平</vt:lpstr>
      <vt:lpstr>'租金比较法-办公'!办公基础设施水平</vt:lpstr>
      <vt:lpstr>办公基础设施水平</vt:lpstr>
      <vt:lpstr>办公集聚程度</vt:lpstr>
      <vt:lpstr>'售价比较法-办公 '!办公建筑结构</vt:lpstr>
      <vt:lpstr>'租金比较法-办公'!办公建筑结构</vt:lpstr>
      <vt:lpstr>办公建筑结构</vt:lpstr>
      <vt:lpstr>'售价比较法-办公 '!办公建筑类型</vt:lpstr>
      <vt:lpstr>'租金比较法-办公'!办公建筑类型</vt:lpstr>
      <vt:lpstr>办公建筑类型</vt:lpstr>
      <vt:lpstr>'售价比较法-办公 '!办公交易情况</vt:lpstr>
      <vt:lpstr>'租金比较法-办公'!办公交易情况</vt:lpstr>
      <vt:lpstr>办公交易情况</vt:lpstr>
      <vt:lpstr>'售价比较法-办公 '!办公楼层</vt:lpstr>
      <vt:lpstr>'租金比较法-办公'!办公楼层</vt:lpstr>
      <vt:lpstr>办公楼层</vt:lpstr>
      <vt:lpstr>'售价比较法-办公 '!办公内部装修</vt:lpstr>
      <vt:lpstr>'租金比较法-办公'!办公内部装修</vt:lpstr>
      <vt:lpstr>办公内部装修</vt:lpstr>
      <vt:lpstr>'售价比较法-办公 '!办公物业管理</vt:lpstr>
      <vt:lpstr>'租金比较法-办公'!办公物业管理</vt:lpstr>
      <vt:lpstr>办公物业管理</vt:lpstr>
      <vt:lpstr>'售价比较法-办公 '!办公用途</vt:lpstr>
      <vt:lpstr>'租金比较法-办公'!办公用途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'售价比较法-办公 '!写字楼等级</vt:lpstr>
      <vt:lpstr>'租金比较法-办公'!写字楼等级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2024-11-26T05:42:30Z</dcterms:modified>
</cp:coreProperties>
</file>